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5532" windowWidth="15396" windowHeight="3696"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4.4" sheetId="20" r:id="rId20"/>
    <sheet name="Table 5.1" sheetId="21" r:id="rId21"/>
    <sheet name="Table 5.2" sheetId="22" r:id="rId22"/>
    <sheet name="Tables 5.3-5.4" sheetId="23" r:id="rId23"/>
    <sheet name="Table 5.5" sheetId="24" r:id="rId24"/>
    <sheet name="Table 5.6" sheetId="25"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2"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4" hidden="1">[2]Table2.1..2.2!$B$13:$B$17</definedName>
    <definedName name="OLE_LINK1" localSheetId="15">'Table 3.1'!$A$5</definedName>
    <definedName name="_xlnm.Print_Area" localSheetId="1">AnnRptCont!$A$1:$E$50</definedName>
    <definedName name="_xlnm.Print_Area" localSheetId="3">'By Account'!$A$1:$J$47</definedName>
    <definedName name="_xlnm.Print_Area" localSheetId="30">Directory!$A$1:$J$18</definedName>
    <definedName name="_xlnm.Print_Area" localSheetId="2">Rev.Exp.!$A$1:$L$49</definedName>
    <definedName name="_xlnm.Print_Area" localSheetId="4">'Table 1.1'!$A$1:$F$46</definedName>
    <definedName name="_xlnm.Print_Area" localSheetId="12">'Table 1.10'!$A$1:$I$42</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2.1'!$A$1:$D$37</definedName>
    <definedName name="_xlnm.Print_Area" localSheetId="14">'Table 2.2'!$A$1:$N$32</definedName>
    <definedName name="_xlnm.Print_Area" localSheetId="15">'Table 3.1'!$A$1:$F$59</definedName>
    <definedName name="_xlnm.Print_Area" localSheetId="16">'Table 4.1'!$A$1:$G$46</definedName>
    <definedName name="_xlnm.Print_Area" localSheetId="17">'Table 4.2'!$A$1:$F$39</definedName>
    <definedName name="_xlnm.Print_Area" localSheetId="18">'Table 4.3'!$A$1:$J$98</definedName>
    <definedName name="_xlnm.Print_Area" localSheetId="19">'Table 4.4'!$A$1:$G$50</definedName>
    <definedName name="_xlnm.Print_Area" localSheetId="23">'Table 5.5'!$A$1:$F$197</definedName>
    <definedName name="_xlnm.Print_Area" localSheetId="24">'Table 5.6'!$A$1:$L$110</definedName>
    <definedName name="_xlnm.Print_Area" localSheetId="25">'Table 6.1'!$A$1:$H$30</definedName>
    <definedName name="_xlnm.Print_Area" localSheetId="26">'Table 6.2'!$A$1:$H$204</definedName>
    <definedName name="_xlnm.Print_Area" localSheetId="27">'Table 6.3'!$A$1:$H$209</definedName>
    <definedName name="_xlnm.Print_Area" localSheetId="28">'Table 6.4'!$A$1:$P$213</definedName>
    <definedName name="_xlnm.Print_Area" localSheetId="29">'Table 7.1'!$A$1:$D$29</definedName>
    <definedName name="_xlnm.Print_Area" localSheetId="9">Table1.6!$A$1:$L$211</definedName>
    <definedName name="_xlnm.Print_Area" localSheetId="22">'Tables 5.3-5.4'!$A$1:$F$44</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Account'!$A$1:$J$47</definedName>
    <definedName name="Z_E6BBE5A7_0B25_4EE8_BA45_5EA5DBAF3AD4_.wvu.PrintArea" localSheetId="30" hidden="1">Directory!$A$1:$J$18</definedName>
    <definedName name="Z_E6BBE5A7_0B25_4EE8_BA45_5EA5DBAF3AD4_.wvu.PrintArea" localSheetId="2" hidden="1">Rev.Exp.!$A$1:$L$49</definedName>
    <definedName name="Z_E6BBE5A7_0B25_4EE8_BA45_5EA5DBAF3AD4_.wvu.PrintArea" localSheetId="4" hidden="1">'Table 1.1'!$A$1:$F$46</definedName>
    <definedName name="Z_E6BBE5A7_0B25_4EE8_BA45_5EA5DBAF3AD4_.wvu.PrintArea" localSheetId="12" hidden="1">'Table 1.10'!$A$1:$I$42</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1.5'!$A$1:$M$212</definedName>
    <definedName name="Z_E6BBE5A7_0B25_4EE8_BA45_5EA5DBAF3AD4_.wvu.PrintArea" localSheetId="10" hidden="1">'Table 1.7'!$A$1:$G$208</definedName>
    <definedName name="Z_E6BBE5A7_0B25_4EE8_BA45_5EA5DBAF3AD4_.wvu.PrintArea" localSheetId="11" hidden="1">'Table 1.8-1.9'!$A$1:$M$42</definedName>
    <definedName name="Z_E6BBE5A7_0B25_4EE8_BA45_5EA5DBAF3AD4_.wvu.PrintArea" localSheetId="13" hidden="1">'Table 2.1'!$A$1:$D$37</definedName>
    <definedName name="Z_E6BBE5A7_0B25_4EE8_BA45_5EA5DBAF3AD4_.wvu.PrintArea" localSheetId="14" hidden="1">'Table 2.2'!$A$1:$N$32</definedName>
    <definedName name="Z_E6BBE5A7_0B25_4EE8_BA45_5EA5DBAF3AD4_.wvu.PrintArea" localSheetId="15" hidden="1">'Table 3.1'!$A$1:$F$59</definedName>
    <definedName name="Z_E6BBE5A7_0B25_4EE8_BA45_5EA5DBAF3AD4_.wvu.PrintArea" localSheetId="16" hidden="1">'Table 4.1'!$A$1:$G$46</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19" hidden="1">'Table 4.4'!$A$1:$G$50</definedName>
    <definedName name="Z_E6BBE5A7_0B25_4EE8_BA45_5EA5DBAF3AD4_.wvu.PrintArea" localSheetId="23" hidden="1">'Table 5.5'!$A$1:$F$197</definedName>
    <definedName name="Z_E6BBE5A7_0B25_4EE8_BA45_5EA5DBAF3AD4_.wvu.PrintArea" localSheetId="24" hidden="1">'Table 5.6'!$A$1:$L$110</definedName>
    <definedName name="Z_E6BBE5A7_0B25_4EE8_BA45_5EA5DBAF3AD4_.wvu.PrintArea" localSheetId="25" hidden="1">'Table 6.1'!$A$1:$H$30</definedName>
    <definedName name="Z_E6BBE5A7_0B25_4EE8_BA45_5EA5DBAF3AD4_.wvu.PrintArea" localSheetId="26" hidden="1">'Table 6.2'!$A$1:$H$204</definedName>
    <definedName name="Z_E6BBE5A7_0B25_4EE8_BA45_5EA5DBAF3AD4_.wvu.PrintArea" localSheetId="27" hidden="1">'Table 6.3'!$A$1:$H$209</definedName>
    <definedName name="Z_E6BBE5A7_0B25_4EE8_BA45_5EA5DBAF3AD4_.wvu.PrintArea" localSheetId="28" hidden="1">'Table 6.4'!$A$1:$P$213</definedName>
    <definedName name="Z_E6BBE5A7_0B25_4EE8_BA45_5EA5DBAF3AD4_.wvu.PrintArea" localSheetId="29" hidden="1">'Table 7.1'!$A$1:$D$29</definedName>
    <definedName name="Z_E6BBE5A7_0B25_4EE8_BA45_5EA5DBAF3AD4_.wvu.PrintArea" localSheetId="9" hidden="1">Table1.6!$A$1:$L$211</definedName>
    <definedName name="Z_E6BBE5A7_0B25_4EE8_BA45_5EA5DBAF3AD4_.wvu.PrintArea" localSheetId="22" hidden="1">'Tables 5.3-5.4'!$A$1:$F$44</definedName>
    <definedName name="Z_E6BBE5A7_0B25_4EE8_BA45_5EA5DBAF3AD4_.wvu.PrintArea" localSheetId="0" hidden="1">'Title Page'!$A$1:$H$20</definedName>
    <definedName name="Z_E6BBE5A7_0B25_4EE8_BA45_5EA5DBAF3AD4_.wvu.PrintTitles" localSheetId="15" hidden="1">'Table 3.1'!$5:$5</definedName>
  </definedNames>
  <calcPr calcId="125725"/>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F28" i="23"/>
  <c r="E28"/>
  <c r="B34" i="13"/>
  <c r="I34" l="1"/>
  <c r="H34"/>
  <c r="F34"/>
  <c r="E34"/>
  <c r="C34"/>
  <c r="C9" i="4"/>
  <c r="C6" i="3"/>
  <c r="C8"/>
  <c r="G18" i="17" l="1"/>
  <c r="M209" i="9" l="1"/>
  <c r="G203" i="28" l="1"/>
  <c r="G200"/>
  <c r="Z4" i="4" l="1"/>
  <c r="Z3"/>
  <c r="J25" i="20" l="1"/>
  <c r="J26"/>
  <c r="J27"/>
  <c r="J28"/>
  <c r="J29"/>
  <c r="I16" i="17"/>
  <c r="I17"/>
  <c r="I96" i="19"/>
  <c r="I94"/>
  <c r="I91"/>
  <c r="E18" i="17"/>
  <c r="D18"/>
  <c r="H22" i="15"/>
  <c r="L22"/>
  <c r="J38" i="12"/>
  <c r="B203" i="11" l="1"/>
  <c r="C208" i="10"/>
  <c r="B208"/>
  <c r="F39" i="8" l="1"/>
  <c r="F40"/>
  <c r="F41"/>
  <c r="F42"/>
  <c r="G35" i="7"/>
  <c r="K8" i="6"/>
  <c r="AB21" i="5"/>
  <c r="AE20"/>
  <c r="AD13"/>
  <c r="K32" i="6"/>
  <c r="K9"/>
  <c r="K10"/>
  <c r="K11"/>
  <c r="K12"/>
  <c r="K13"/>
  <c r="K14"/>
  <c r="K15"/>
  <c r="K16"/>
  <c r="K17"/>
  <c r="K18"/>
  <c r="K19"/>
  <c r="K20"/>
  <c r="K21"/>
  <c r="K22"/>
  <c r="K23"/>
  <c r="K24"/>
  <c r="K25"/>
  <c r="K26"/>
  <c r="K27"/>
  <c r="K28"/>
  <c r="K29"/>
  <c r="K30"/>
  <c r="K31"/>
  <c r="D34"/>
  <c r="E34"/>
  <c r="F43" i="8" l="1"/>
  <c r="J34" i="6"/>
  <c r="C40" i="4"/>
  <c r="N31"/>
  <c r="C38" i="3"/>
  <c r="C11"/>
  <c r="C16" s="1"/>
  <c r="C7" l="1"/>
  <c r="E6"/>
  <c r="J47" l="1"/>
  <c r="E7"/>
  <c r="I47"/>
  <c r="I46"/>
  <c r="C29" i="4"/>
  <c r="C22" i="26"/>
  <c r="B136" i="27" l="1"/>
  <c r="B195" s="1"/>
  <c r="B194" l="1"/>
  <c r="B26" i="26"/>
  <c r="B25"/>
  <c r="B24"/>
  <c r="B23"/>
  <c r="B16"/>
  <c r="B17" s="1"/>
  <c r="B18" s="1"/>
  <c r="B19" s="1"/>
  <c r="B10"/>
  <c r="B11" s="1"/>
  <c r="B12" s="1"/>
  <c r="B9"/>
  <c r="B18" i="15" l="1"/>
  <c r="F24" i="20" l="1"/>
  <c r="AC21" i="7"/>
  <c r="AC20"/>
  <c r="AC19"/>
  <c r="C10" i="4" l="1"/>
  <c r="C14"/>
  <c r="I41" i="22" l="1"/>
  <c r="I40"/>
  <c r="C36" i="4"/>
  <c r="H40" i="22"/>
  <c r="H41"/>
  <c r="C32" i="4"/>
  <c r="G41" i="22"/>
  <c r="G40"/>
  <c r="C33" i="4"/>
  <c r="F40" i="22"/>
  <c r="F41"/>
  <c r="C34" i="4"/>
  <c r="E41" i="22"/>
  <c r="E40"/>
  <c r="C24" i="4"/>
  <c r="D41" i="22"/>
  <c r="D40"/>
  <c r="C31" i="4"/>
  <c r="C40" i="22"/>
  <c r="C41"/>
  <c r="C35" i="4"/>
  <c r="B41" i="22"/>
  <c r="B40"/>
  <c r="C30" i="4"/>
  <c r="H16" i="22"/>
  <c r="H15"/>
  <c r="C20" i="4"/>
  <c r="C22"/>
  <c r="C21"/>
  <c r="G15" i="22"/>
  <c r="F15"/>
  <c r="G16"/>
  <c r="F16"/>
  <c r="E16" l="1"/>
  <c r="C26" i="4"/>
  <c r="D15" i="22"/>
  <c r="D16"/>
  <c r="C25" i="4"/>
  <c r="C16" i="22"/>
  <c r="C23" i="4"/>
  <c r="B16" i="22"/>
  <c r="C28" i="4"/>
  <c r="G17" i="21"/>
  <c r="C15" i="4"/>
  <c r="F17" i="21"/>
  <c r="E17"/>
  <c r="C17"/>
  <c r="C12" i="4"/>
  <c r="B17" i="21" l="1"/>
  <c r="C11" i="4" l="1"/>
  <c r="F18" i="17"/>
  <c r="H96" i="19"/>
  <c r="C18" i="17"/>
  <c r="C27" i="4"/>
  <c r="C7"/>
  <c r="B18" i="17"/>
  <c r="C13" i="4" l="1"/>
  <c r="I18" i="17" l="1"/>
  <c r="F22" i="20" l="1"/>
  <c r="F13"/>
  <c r="F13" i="23" l="1"/>
  <c r="G93" i="19" l="1"/>
  <c r="I52"/>
  <c r="I53"/>
  <c r="I54"/>
  <c r="I55"/>
  <c r="I56"/>
  <c r="I58"/>
  <c r="I59"/>
  <c r="I60"/>
  <c r="I61"/>
  <c r="I62"/>
  <c r="I64"/>
  <c r="I65"/>
  <c r="I66"/>
  <c r="I67"/>
  <c r="I68"/>
  <c r="I70"/>
  <c r="I71"/>
  <c r="I72"/>
  <c r="I73"/>
  <c r="I74"/>
  <c r="I76"/>
  <c r="I77"/>
  <c r="I78"/>
  <c r="I79"/>
  <c r="I80"/>
  <c r="I82"/>
  <c r="I83"/>
  <c r="I84"/>
  <c r="I85"/>
  <c r="I86"/>
  <c r="I88"/>
  <c r="I89"/>
  <c r="I90"/>
  <c r="B206" i="9"/>
  <c r="B205"/>
  <c r="M9"/>
  <c r="M10"/>
  <c r="M11"/>
  <c r="M12"/>
  <c r="M13"/>
  <c r="M15"/>
  <c r="M16"/>
  <c r="M17"/>
  <c r="M18"/>
  <c r="M19"/>
  <c r="M21"/>
  <c r="M22"/>
  <c r="M23"/>
  <c r="M24"/>
  <c r="M25"/>
  <c r="M27"/>
  <c r="M28"/>
  <c r="M29"/>
  <c r="M30"/>
  <c r="M31"/>
  <c r="M33"/>
  <c r="M34"/>
  <c r="M35"/>
  <c r="M36"/>
  <c r="M37"/>
  <c r="M39"/>
  <c r="M40"/>
  <c r="M41"/>
  <c r="M42"/>
  <c r="M43"/>
  <c r="M52"/>
  <c r="G39" i="8" l="1"/>
  <c r="D35" i="7" l="1"/>
  <c r="E35"/>
  <c r="F35"/>
  <c r="E193" i="24" l="1"/>
  <c r="F196" l="1"/>
  <c r="F194"/>
  <c r="F193"/>
  <c r="F136" l="1"/>
  <c r="E196" l="1"/>
  <c r="E194"/>
  <c r="E136"/>
  <c r="D16" i="14" l="1"/>
  <c r="C8" i="4"/>
  <c r="J39" i="12"/>
  <c r="J37"/>
  <c r="I31"/>
  <c r="I32"/>
  <c r="I33"/>
  <c r="I34"/>
  <c r="I35"/>
  <c r="I36"/>
  <c r="I37"/>
  <c r="I38"/>
  <c r="I39"/>
  <c r="I30"/>
  <c r="J30"/>
  <c r="AD21" i="5"/>
  <c r="AE21"/>
  <c r="AD9"/>
  <c r="AB8"/>
  <c r="AB19"/>
  <c r="N28" i="4"/>
  <c r="Y4" l="1"/>
  <c r="Y3"/>
  <c r="N30" l="1"/>
  <c r="N29"/>
  <c r="C35" i="3"/>
  <c r="C36" l="1"/>
  <c r="C34"/>
  <c r="C33"/>
  <c r="J46"/>
  <c r="C17" i="4" l="1"/>
  <c r="B8" i="3"/>
  <c r="B6"/>
  <c r="D194" i="24"/>
  <c r="C194"/>
  <c r="B194"/>
  <c r="D193"/>
  <c r="D196" s="1"/>
  <c r="C193"/>
  <c r="C196" s="1"/>
  <c r="B193"/>
  <c r="B196" s="1"/>
  <c r="E172"/>
  <c r="D136"/>
  <c r="C136"/>
  <c r="B136"/>
  <c r="I39" i="22"/>
  <c r="H39"/>
  <c r="G39"/>
  <c r="F39"/>
  <c r="E39"/>
  <c r="D39"/>
  <c r="C39"/>
  <c r="B39"/>
  <c r="I38"/>
  <c r="H38"/>
  <c r="G38"/>
  <c r="F38"/>
  <c r="E38"/>
  <c r="D38"/>
  <c r="C38"/>
  <c r="B38"/>
  <c r="I37"/>
  <c r="H37"/>
  <c r="G37"/>
  <c r="F37"/>
  <c r="E37"/>
  <c r="D37"/>
  <c r="C37"/>
  <c r="B37"/>
  <c r="I36"/>
  <c r="H36"/>
  <c r="G36"/>
  <c r="F36"/>
  <c r="E36"/>
  <c r="D36"/>
  <c r="C36"/>
  <c r="B36"/>
  <c r="I35"/>
  <c r="H35"/>
  <c r="G35"/>
  <c r="F35"/>
  <c r="E35"/>
  <c r="D35"/>
  <c r="C35"/>
  <c r="B35"/>
  <c r="H34"/>
  <c r="G34"/>
  <c r="F34"/>
  <c r="E34"/>
  <c r="D34"/>
  <c r="C34"/>
  <c r="B34"/>
  <c r="E15"/>
  <c r="C15"/>
  <c r="B15"/>
  <c r="H14"/>
  <c r="G14"/>
  <c r="F14"/>
  <c r="E14"/>
  <c r="D14"/>
  <c r="C14"/>
  <c r="B14"/>
  <c r="H13"/>
  <c r="G13"/>
  <c r="F13"/>
  <c r="E13"/>
  <c r="D13"/>
  <c r="C13"/>
  <c r="B13"/>
  <c r="H12"/>
  <c r="G12"/>
  <c r="F12"/>
  <c r="E12"/>
  <c r="D12"/>
  <c r="C12"/>
  <c r="B12"/>
  <c r="H11"/>
  <c r="G11"/>
  <c r="F11"/>
  <c r="E11"/>
  <c r="D11"/>
  <c r="C11"/>
  <c r="B11"/>
  <c r="H10"/>
  <c r="G10"/>
  <c r="F10"/>
  <c r="E10"/>
  <c r="D10"/>
  <c r="C10"/>
  <c r="B10"/>
  <c r="H9"/>
  <c r="G9"/>
  <c r="F9"/>
  <c r="E9"/>
  <c r="D9"/>
  <c r="C9"/>
  <c r="B9"/>
  <c r="G16" i="21"/>
  <c r="F16"/>
  <c r="E16"/>
  <c r="C16"/>
  <c r="B16"/>
  <c r="G15"/>
  <c r="F15"/>
  <c r="E15"/>
  <c r="C15"/>
  <c r="B15"/>
  <c r="G14"/>
  <c r="F14"/>
  <c r="E14"/>
  <c r="C14"/>
  <c r="B14"/>
  <c r="G13"/>
  <c r="F13"/>
  <c r="E13"/>
  <c r="C13"/>
  <c r="B13"/>
  <c r="G12"/>
  <c r="F12"/>
  <c r="E12"/>
  <c r="C12"/>
  <c r="B12"/>
  <c r="G11"/>
  <c r="F11"/>
  <c r="E11"/>
  <c r="C11"/>
  <c r="B11"/>
  <c r="G10"/>
  <c r="F10"/>
  <c r="E10"/>
  <c r="C10"/>
  <c r="B10"/>
  <c r="E24" i="20"/>
  <c r="E22"/>
  <c r="E13"/>
  <c r="D33" i="18"/>
  <c r="C33"/>
  <c r="B33"/>
  <c r="E31"/>
  <c r="E33" s="1"/>
  <c r="F17" i="17"/>
  <c r="E17"/>
  <c r="C17"/>
  <c r="B17"/>
  <c r="D17" s="1"/>
  <c r="G17" s="1"/>
  <c r="F16"/>
  <c r="E16"/>
  <c r="D16"/>
  <c r="G16" s="1"/>
  <c r="C16"/>
  <c r="B16"/>
  <c r="F15"/>
  <c r="E15"/>
  <c r="C15"/>
  <c r="B15"/>
  <c r="D15" s="1"/>
  <c r="G15" s="1"/>
  <c r="F14"/>
  <c r="E14"/>
  <c r="D14"/>
  <c r="G14" s="1"/>
  <c r="C14"/>
  <c r="B14"/>
  <c r="F13"/>
  <c r="E13"/>
  <c r="C13"/>
  <c r="B13"/>
  <c r="D13" s="1"/>
  <c r="G13" s="1"/>
  <c r="G12"/>
  <c r="D12"/>
  <c r="E11"/>
  <c r="C11"/>
  <c r="B11"/>
  <c r="D11" s="1"/>
  <c r="G11" s="1"/>
  <c r="G10"/>
  <c r="D10"/>
  <c r="D9"/>
  <c r="G9" s="1"/>
  <c r="C9"/>
  <c r="B9"/>
  <c r="D15" i="14"/>
  <c r="D14"/>
  <c r="J19" i="12"/>
  <c r="I19"/>
  <c r="G19"/>
  <c r="F19"/>
  <c r="D19"/>
  <c r="C19"/>
  <c r="B7" i="3" l="1"/>
  <c r="A3" i="10" l="1"/>
  <c r="A3" i="9"/>
  <c r="M96" l="1"/>
  <c r="M97"/>
  <c r="B199" i="29" l="1"/>
  <c r="C25" i="26" l="1"/>
  <c r="D25"/>
  <c r="E25"/>
  <c r="F25"/>
  <c r="G25"/>
  <c r="H25"/>
  <c r="B199" i="11" l="1"/>
  <c r="F33" i="18"/>
  <c r="I9" i="17"/>
  <c r="G94" i="19"/>
  <c r="B82"/>
  <c r="G96" l="1"/>
  <c r="D28" i="23"/>
  <c r="L176" i="10"/>
  <c r="L204" s="1"/>
  <c r="K176"/>
  <c r="K204" s="1"/>
  <c r="J176"/>
  <c r="J204" s="1"/>
  <c r="I176"/>
  <c r="H176"/>
  <c r="H204" s="1"/>
  <c r="G176"/>
  <c r="G204" s="1"/>
  <c r="F176"/>
  <c r="F204" s="1"/>
  <c r="E176"/>
  <c r="E204" s="1"/>
  <c r="D176"/>
  <c r="C176"/>
  <c r="C204" s="1"/>
  <c r="B176"/>
  <c r="B204" s="1"/>
  <c r="L133"/>
  <c r="K133"/>
  <c r="J133"/>
  <c r="I133"/>
  <c r="H133"/>
  <c r="G133"/>
  <c r="F133"/>
  <c r="E133"/>
  <c r="D133"/>
  <c r="C133"/>
  <c r="B133"/>
  <c r="L90"/>
  <c r="K90"/>
  <c r="J90"/>
  <c r="I90"/>
  <c r="H90"/>
  <c r="G90"/>
  <c r="F90"/>
  <c r="E90"/>
  <c r="D90"/>
  <c r="C90"/>
  <c r="B90"/>
  <c r="L47"/>
  <c r="K47"/>
  <c r="J47"/>
  <c r="I47"/>
  <c r="H47"/>
  <c r="G47"/>
  <c r="F47"/>
  <c r="E47"/>
  <c r="D47"/>
  <c r="C47"/>
  <c r="B47"/>
  <c r="A46"/>
  <c r="A89" s="1"/>
  <c r="A132" s="1"/>
  <c r="A175" s="1"/>
  <c r="M207" i="9"/>
  <c r="G205"/>
  <c r="M203"/>
  <c r="M202"/>
  <c r="M201"/>
  <c r="M200"/>
  <c r="M198"/>
  <c r="M197"/>
  <c r="M196"/>
  <c r="M195"/>
  <c r="M194"/>
  <c r="M192"/>
  <c r="M191"/>
  <c r="M190"/>
  <c r="M189"/>
  <c r="M188"/>
  <c r="M186"/>
  <c r="M185"/>
  <c r="M184"/>
  <c r="M183"/>
  <c r="M182"/>
  <c r="L177"/>
  <c r="L205" s="1"/>
  <c r="K177"/>
  <c r="K205" s="1"/>
  <c r="J177"/>
  <c r="J205" s="1"/>
  <c r="I177"/>
  <c r="I205" s="1"/>
  <c r="H177"/>
  <c r="H205" s="1"/>
  <c r="G177"/>
  <c r="F177"/>
  <c r="F205" s="1"/>
  <c r="E177"/>
  <c r="E205" s="1"/>
  <c r="D177"/>
  <c r="D205" s="1"/>
  <c r="C177"/>
  <c r="C205" s="1"/>
  <c r="B177"/>
  <c r="M173"/>
  <c r="M172"/>
  <c r="M171"/>
  <c r="M170"/>
  <c r="M169"/>
  <c r="M167"/>
  <c r="M166"/>
  <c r="M165"/>
  <c r="M164"/>
  <c r="M163"/>
  <c r="M161"/>
  <c r="M160"/>
  <c r="M159"/>
  <c r="M158"/>
  <c r="M157"/>
  <c r="M155"/>
  <c r="M154"/>
  <c r="M153"/>
  <c r="M152"/>
  <c r="M151"/>
  <c r="M177" s="1"/>
  <c r="M142"/>
  <c r="M141"/>
  <c r="M140"/>
  <c r="M139"/>
  <c r="M138"/>
  <c r="L133"/>
  <c r="K133"/>
  <c r="J133"/>
  <c r="I133"/>
  <c r="H133"/>
  <c r="G133"/>
  <c r="F133"/>
  <c r="E133"/>
  <c r="D133"/>
  <c r="C133"/>
  <c r="B133"/>
  <c r="M129"/>
  <c r="M128"/>
  <c r="M127"/>
  <c r="M126"/>
  <c r="M125"/>
  <c r="M123"/>
  <c r="M122"/>
  <c r="M121"/>
  <c r="M120"/>
  <c r="M119"/>
  <c r="M117"/>
  <c r="M116"/>
  <c r="M115"/>
  <c r="M114"/>
  <c r="M113"/>
  <c r="M111"/>
  <c r="M110"/>
  <c r="M109"/>
  <c r="M108"/>
  <c r="M107"/>
  <c r="M105"/>
  <c r="M104"/>
  <c r="M103"/>
  <c r="M102"/>
  <c r="M101"/>
  <c r="M99"/>
  <c r="M98"/>
  <c r="M95"/>
  <c r="L90"/>
  <c r="K90"/>
  <c r="J90"/>
  <c r="I90"/>
  <c r="I144" s="1"/>
  <c r="I206" s="1"/>
  <c r="H90"/>
  <c r="G90"/>
  <c r="F90"/>
  <c r="E90"/>
  <c r="E144" s="1"/>
  <c r="E206" s="1"/>
  <c r="D90"/>
  <c r="C90"/>
  <c r="B90"/>
  <c r="M86"/>
  <c r="M85"/>
  <c r="M84"/>
  <c r="M83"/>
  <c r="M82"/>
  <c r="M80"/>
  <c r="M79"/>
  <c r="M78"/>
  <c r="M77"/>
  <c r="M76"/>
  <c r="M74"/>
  <c r="M73"/>
  <c r="M72"/>
  <c r="M71"/>
  <c r="M70"/>
  <c r="M68"/>
  <c r="M67"/>
  <c r="M66"/>
  <c r="M65"/>
  <c r="M64"/>
  <c r="M62"/>
  <c r="M61"/>
  <c r="M60"/>
  <c r="M59"/>
  <c r="M58"/>
  <c r="M56"/>
  <c r="M55"/>
  <c r="M54"/>
  <c r="M90" s="1"/>
  <c r="M53"/>
  <c r="L47"/>
  <c r="K47"/>
  <c r="J47"/>
  <c r="I47"/>
  <c r="H47"/>
  <c r="G47"/>
  <c r="F47"/>
  <c r="E47"/>
  <c r="D47"/>
  <c r="C47"/>
  <c r="B47"/>
  <c r="M47"/>
  <c r="A46"/>
  <c r="A89" s="1"/>
  <c r="A132" s="1"/>
  <c r="A176" s="1"/>
  <c r="N18" i="15"/>
  <c r="N22" s="1"/>
  <c r="F20" i="23"/>
  <c r="F19"/>
  <c r="F16"/>
  <c r="E16"/>
  <c r="D16"/>
  <c r="F15"/>
  <c r="F14"/>
  <c r="F12"/>
  <c r="F8"/>
  <c r="F9"/>
  <c r="F10"/>
  <c r="F11"/>
  <c r="F7"/>
  <c r="F6"/>
  <c r="F5"/>
  <c r="H144" i="10" l="1"/>
  <c r="H205" s="1"/>
  <c r="L144"/>
  <c r="L205" s="1"/>
  <c r="C144"/>
  <c r="C205" s="1"/>
  <c r="G144"/>
  <c r="G205" s="1"/>
  <c r="K144"/>
  <c r="K205" s="1"/>
  <c r="B144"/>
  <c r="B205" s="1"/>
  <c r="F144"/>
  <c r="F205" s="1"/>
  <c r="F208" s="1"/>
  <c r="J144"/>
  <c r="J205" s="1"/>
  <c r="E144"/>
  <c r="E205" s="1"/>
  <c r="M205" i="9"/>
  <c r="M133"/>
  <c r="M144" s="1"/>
  <c r="M206" s="1"/>
  <c r="B144"/>
  <c r="B209" s="1"/>
  <c r="J144"/>
  <c r="J206" s="1"/>
  <c r="F144"/>
  <c r="F206" s="1"/>
  <c r="F209" s="1"/>
  <c r="C144"/>
  <c r="C206" s="1"/>
  <c r="C209" s="1"/>
  <c r="G144"/>
  <c r="G206" s="1"/>
  <c r="G209" s="1"/>
  <c r="K144"/>
  <c r="K206" s="1"/>
  <c r="K209" s="1"/>
  <c r="D144"/>
  <c r="D206" s="1"/>
  <c r="D209" s="1"/>
  <c r="H144"/>
  <c r="H206" s="1"/>
  <c r="H209" s="1"/>
  <c r="L144"/>
  <c r="L206" s="1"/>
  <c r="L209" s="1"/>
  <c r="H208" i="10"/>
  <c r="J208"/>
  <c r="L208"/>
  <c r="E208"/>
  <c r="G208"/>
  <c r="K208"/>
  <c r="E209" i="9"/>
  <c r="I209"/>
  <c r="J209"/>
  <c r="A3" i="11" l="1"/>
  <c r="L18" i="15"/>
  <c r="J18"/>
  <c r="J22" s="1"/>
  <c r="H18"/>
  <c r="F18"/>
  <c r="D18"/>
  <c r="K101" i="25"/>
  <c r="K100"/>
  <c r="K28"/>
  <c r="H23"/>
  <c r="K28" i="20"/>
  <c r="K27"/>
  <c r="K26"/>
  <c r="K25"/>
  <c r="K29"/>
  <c r="AD20" i="5" l="1"/>
  <c r="AB20" s="1"/>
  <c r="C140" i="28"/>
  <c r="C201" s="1"/>
  <c r="C203" s="1"/>
  <c r="B140"/>
  <c r="B201" s="1"/>
  <c r="B203" s="1"/>
  <c r="G136" i="27"/>
  <c r="G195" s="1"/>
  <c r="C136"/>
  <c r="C195" s="1"/>
  <c r="H140" i="28"/>
  <c r="H201" s="1"/>
  <c r="F140"/>
  <c r="F201" s="1"/>
  <c r="E140"/>
  <c r="E201" s="1"/>
  <c r="G194" i="27"/>
  <c r="G197" s="1"/>
  <c r="F194"/>
  <c r="E194"/>
  <c r="D194"/>
  <c r="C194"/>
  <c r="F136"/>
  <c r="F195" s="1"/>
  <c r="E136"/>
  <c r="E195" s="1"/>
  <c r="E197" s="1"/>
  <c r="D136"/>
  <c r="D195" s="1"/>
  <c r="D197" s="1"/>
  <c r="B197"/>
  <c r="P199" i="29"/>
  <c r="N199"/>
  <c r="F200" i="28"/>
  <c r="F203" s="1"/>
  <c r="H200"/>
  <c r="B140" i="29"/>
  <c r="B200" s="1"/>
  <c r="A3" i="8"/>
  <c r="I34"/>
  <c r="E34"/>
  <c r="F34"/>
  <c r="G34"/>
  <c r="H34"/>
  <c r="A3" i="7"/>
  <c r="D8" i="8"/>
  <c r="D9"/>
  <c r="D10"/>
  <c r="D11"/>
  <c r="D12"/>
  <c r="D13"/>
  <c r="D14"/>
  <c r="D15"/>
  <c r="D16"/>
  <c r="D17"/>
  <c r="D18"/>
  <c r="D19"/>
  <c r="D20"/>
  <c r="D21"/>
  <c r="D22"/>
  <c r="D23"/>
  <c r="D24"/>
  <c r="D25"/>
  <c r="D26"/>
  <c r="D27"/>
  <c r="D28"/>
  <c r="D29"/>
  <c r="D30"/>
  <c r="D31"/>
  <c r="D32"/>
  <c r="F34" i="6"/>
  <c r="G34"/>
  <c r="H34"/>
  <c r="I34"/>
  <c r="K34" s="1"/>
  <c r="E36" i="4"/>
  <c r="E35"/>
  <c r="E34"/>
  <c r="E33"/>
  <c r="E32"/>
  <c r="E31"/>
  <c r="E30"/>
  <c r="E29"/>
  <c r="E28"/>
  <c r="E27"/>
  <c r="E26"/>
  <c r="E25"/>
  <c r="E24"/>
  <c r="E23"/>
  <c r="E22"/>
  <c r="E21"/>
  <c r="E20"/>
  <c r="E15"/>
  <c r="E14"/>
  <c r="E13"/>
  <c r="E12"/>
  <c r="E11"/>
  <c r="E10"/>
  <c r="E9"/>
  <c r="E8"/>
  <c r="E7"/>
  <c r="C38"/>
  <c r="C12" i="3" s="1"/>
  <c r="B38" i="4"/>
  <c r="B12" i="3" s="1"/>
  <c r="B17" s="1"/>
  <c r="B17" i="4"/>
  <c r="B11" i="3" s="1"/>
  <c r="J36" i="12"/>
  <c r="J35"/>
  <c r="J34"/>
  <c r="J33"/>
  <c r="J32"/>
  <c r="J31"/>
  <c r="H24" i="26"/>
  <c r="G24"/>
  <c r="F24"/>
  <c r="E24"/>
  <c r="D24"/>
  <c r="C24"/>
  <c r="G23"/>
  <c r="F23"/>
  <c r="E23"/>
  <c r="D23"/>
  <c r="C23"/>
  <c r="H22"/>
  <c r="G22"/>
  <c r="F22"/>
  <c r="E22"/>
  <c r="D22"/>
  <c r="L199" i="29"/>
  <c r="J199"/>
  <c r="H199"/>
  <c r="F199"/>
  <c r="D199"/>
  <c r="P140"/>
  <c r="P200" s="1"/>
  <c r="N140"/>
  <c r="L140"/>
  <c r="L200" s="1"/>
  <c r="J140"/>
  <c r="J200" s="1"/>
  <c r="H140"/>
  <c r="H200" s="1"/>
  <c r="H202" s="1"/>
  <c r="E19" i="26" s="1"/>
  <c r="F140" i="29"/>
  <c r="F200" s="1"/>
  <c r="D140"/>
  <c r="D200" s="1"/>
  <c r="D200" i="28"/>
  <c r="C200"/>
  <c r="M19" i="12"/>
  <c r="L19"/>
  <c r="G199" i="11"/>
  <c r="F199"/>
  <c r="E199"/>
  <c r="D199"/>
  <c r="C199"/>
  <c r="G140"/>
  <c r="G200" s="1"/>
  <c r="F140"/>
  <c r="F200" s="1"/>
  <c r="F203" s="1"/>
  <c r="E140"/>
  <c r="E200" s="1"/>
  <c r="E203" s="1"/>
  <c r="D140"/>
  <c r="D200" s="1"/>
  <c r="D203" s="1"/>
  <c r="C140"/>
  <c r="C200" s="1"/>
  <c r="B140"/>
  <c r="B200" s="1"/>
  <c r="A129"/>
  <c r="H94" i="19"/>
  <c r="D82" s="1"/>
  <c r="H93"/>
  <c r="D92"/>
  <c r="D91"/>
  <c r="D90"/>
  <c r="D89"/>
  <c r="D88"/>
  <c r="C82"/>
  <c r="D80"/>
  <c r="D79"/>
  <c r="D78"/>
  <c r="D77"/>
  <c r="D76"/>
  <c r="D74"/>
  <c r="D73"/>
  <c r="D72"/>
  <c r="D71"/>
  <c r="D70"/>
  <c r="D68"/>
  <c r="D67"/>
  <c r="D66"/>
  <c r="D65"/>
  <c r="D64"/>
  <c r="D62"/>
  <c r="D61"/>
  <c r="D60"/>
  <c r="D59"/>
  <c r="D58"/>
  <c r="D56"/>
  <c r="D55"/>
  <c r="D54"/>
  <c r="D53"/>
  <c r="D52"/>
  <c r="I46"/>
  <c r="D46"/>
  <c r="I45"/>
  <c r="D45"/>
  <c r="I44"/>
  <c r="D44"/>
  <c r="I43"/>
  <c r="D43"/>
  <c r="I42"/>
  <c r="D42"/>
  <c r="I40"/>
  <c r="D40"/>
  <c r="I39"/>
  <c r="D39"/>
  <c r="I38"/>
  <c r="D38"/>
  <c r="I37"/>
  <c r="D37"/>
  <c r="I36"/>
  <c r="D36"/>
  <c r="I34"/>
  <c r="D34"/>
  <c r="I33"/>
  <c r="D33"/>
  <c r="I32"/>
  <c r="D32"/>
  <c r="I31"/>
  <c r="D31"/>
  <c r="I30"/>
  <c r="D30"/>
  <c r="I28"/>
  <c r="D28"/>
  <c r="I27"/>
  <c r="D27"/>
  <c r="I26"/>
  <c r="D26"/>
  <c r="I25"/>
  <c r="D25"/>
  <c r="I24"/>
  <c r="D24"/>
  <c r="I22"/>
  <c r="D22"/>
  <c r="I21"/>
  <c r="D21"/>
  <c r="I20"/>
  <c r="D20"/>
  <c r="I19"/>
  <c r="D19"/>
  <c r="I18"/>
  <c r="D18"/>
  <c r="I16"/>
  <c r="D16"/>
  <c r="I15"/>
  <c r="D15"/>
  <c r="I14"/>
  <c r="D14"/>
  <c r="I13"/>
  <c r="D13"/>
  <c r="I12"/>
  <c r="D12"/>
  <c r="I10"/>
  <c r="D10"/>
  <c r="I9"/>
  <c r="D9"/>
  <c r="I8"/>
  <c r="D8"/>
  <c r="I7"/>
  <c r="D7"/>
  <c r="I6"/>
  <c r="D6"/>
  <c r="K102" i="25"/>
  <c r="K104" s="1"/>
  <c r="I93" i="19"/>
  <c r="AD19" i="5"/>
  <c r="AD18"/>
  <c r="AB18" s="1"/>
  <c r="AD17"/>
  <c r="AB17" s="1"/>
  <c r="AD16"/>
  <c r="AB16" s="1"/>
  <c r="AD15"/>
  <c r="AB15" s="1"/>
  <c r="AD14"/>
  <c r="AB14" s="1"/>
  <c r="AB13"/>
  <c r="AD12"/>
  <c r="AB12" s="1"/>
  <c r="AD11"/>
  <c r="AB11" s="1"/>
  <c r="AD10"/>
  <c r="AB10" s="1"/>
  <c r="AB9"/>
  <c r="AD8"/>
  <c r="I11" i="17"/>
  <c r="I12"/>
  <c r="I13"/>
  <c r="B38" i="3"/>
  <c r="E8"/>
  <c r="A87" i="11"/>
  <c r="A171"/>
  <c r="A45"/>
  <c r="D140" i="28"/>
  <c r="D201" s="1"/>
  <c r="B200"/>
  <c r="E200"/>
  <c r="C17" i="3" l="1"/>
  <c r="C13"/>
  <c r="B16"/>
  <c r="E16" s="1"/>
  <c r="E11"/>
  <c r="D202" i="29"/>
  <c r="D19" i="26" s="1"/>
  <c r="H203" i="28"/>
  <c r="D203"/>
  <c r="C197" i="27"/>
  <c r="F197"/>
  <c r="C12" i="26" s="1"/>
  <c r="C19"/>
  <c r="C203" i="11"/>
  <c r="B40" i="4"/>
  <c r="P202" i="29"/>
  <c r="G19" i="26" s="1"/>
  <c r="G140" i="28"/>
  <c r="L202" i="29"/>
  <c r="F19" i="26" s="1"/>
  <c r="B202" i="29"/>
  <c r="D12" i="26" s="1"/>
  <c r="F202" i="29"/>
  <c r="J202"/>
  <c r="F12" i="26" s="1"/>
  <c r="N200" i="29"/>
  <c r="N202" s="1"/>
  <c r="G12" i="26" s="1"/>
  <c r="H23"/>
  <c r="E203" i="28"/>
  <c r="I10" i="17"/>
  <c r="I15"/>
  <c r="I14"/>
  <c r="G203" i="11"/>
  <c r="E12" i="3"/>
  <c r="E38" i="4"/>
  <c r="B13" i="3"/>
  <c r="B40" s="1"/>
  <c r="G201" i="28"/>
  <c r="E17" i="4"/>
  <c r="G41" i="8"/>
  <c r="AC22" i="7"/>
  <c r="AD19" s="1"/>
  <c r="D34" i="8"/>
  <c r="C18" i="3" l="1"/>
  <c r="F12" s="1"/>
  <c r="C26" i="26"/>
  <c r="B18" i="3"/>
  <c r="D26" i="26"/>
  <c r="E12"/>
  <c r="H12" s="1"/>
  <c r="H19"/>
  <c r="E40" i="4"/>
  <c r="O31"/>
  <c r="F26" i="26"/>
  <c r="C40" i="3"/>
  <c r="G26" i="26"/>
  <c r="AD21" i="7"/>
  <c r="AD20"/>
  <c r="G42" i="8"/>
  <c r="G40"/>
  <c r="E26" i="26" l="1"/>
  <c r="F16" i="3"/>
  <c r="F11"/>
  <c r="F17"/>
  <c r="H26" i="26"/>
  <c r="O28" i="4"/>
  <c r="O30"/>
  <c r="O29"/>
  <c r="E17" i="3"/>
  <c r="E18"/>
  <c r="E13"/>
  <c r="AD22" i="7"/>
</calcChain>
</file>

<file path=xl/sharedStrings.xml><?xml version="1.0" encoding="utf-8"?>
<sst xmlns="http://schemas.openxmlformats.org/spreadsheetml/2006/main" count="3034" uniqueCount="1120">
  <si>
    <t>Total Department Other Fund Revenues</t>
  </si>
  <si>
    <t>Aggregate (All Funds)</t>
  </si>
  <si>
    <t>Notes:</t>
  </si>
  <si>
    <t>Sales and Use Tax</t>
  </si>
  <si>
    <t>Individual Income Tax</t>
  </si>
  <si>
    <t xml:space="preserve">5. Source: The Commonwealth Accounting and Reporting System. </t>
  </si>
  <si>
    <t>FY 2009</t>
  </si>
  <si>
    <t xml:space="preserve">Corporation income </t>
  </si>
  <si>
    <t xml:space="preserve">Individual income </t>
  </si>
  <si>
    <t>FY 2010</t>
  </si>
  <si>
    <t>Net Revenue Collections</t>
  </si>
  <si>
    <t>General Fund</t>
  </si>
  <si>
    <t>All Other Funds</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</si>
  <si>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</si>
  <si>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</si>
  <si>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</si>
  <si>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</si>
  <si>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</si>
  <si>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</si>
  <si>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</si>
  <si>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</si>
  <si>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</si>
  <si>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</si>
  <si>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</si>
  <si>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</si>
  <si>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</si>
  <si>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</si>
  <si>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</si>
  <si>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 The Tax Department is custodian of the funds appropriated to the State Land Evaluation Advisory</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</si>
  <si>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</si>
  <si>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</si>
  <si>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</si>
  <si>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</si>
  <si>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</si>
  <si>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</si>
  <si>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</si>
  <si>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</si>
  <si>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</si>
  <si>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</si>
  <si>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</si>
  <si>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</si>
  <si>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</si>
  <si>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</si>
  <si>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</si>
  <si>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</si>
  <si>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</si>
  <si>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</si>
  <si>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</si>
  <si>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Number of Corporate Returns</t>
  </si>
  <si>
    <t>Percent of</t>
  </si>
  <si>
    <t>Taxable</t>
  </si>
  <si>
    <t xml:space="preserve">Tax </t>
  </si>
  <si>
    <t>From Virginia Sources</t>
  </si>
  <si>
    <t>Form 500</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</si>
  <si>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</si>
  <si>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</si>
  <si>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</si>
  <si>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</si>
  <si>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</si>
  <si>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</si>
  <si>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</si>
  <si>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</si>
  <si>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</si>
  <si>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</si>
  <si>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</si>
  <si>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</si>
  <si>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</si>
  <si>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 xml:space="preserve">1. The tax rate is 6% of the corporation's Virginia taxable income, except in the case of certain energy suppliers </t>
  </si>
  <si>
    <t xml:space="preserve">    and telecommunication companies who are subject to a Minimum Tax.</t>
  </si>
  <si>
    <t>2. Tax Assessed shown is before any credits.</t>
  </si>
  <si>
    <t>3. Some columns may not match totals due to rounding.</t>
  </si>
  <si>
    <t>4. If a corporation reports a negative taxable income, its taxable income is treated as zero in this table.</t>
  </si>
  <si>
    <r>
      <t>Form 502</t>
    </r>
    <r>
      <rPr>
        <b/>
        <vertAlign val="superscript"/>
        <sz val="10"/>
        <rFont val="Arial"/>
        <family val="2"/>
      </rPr>
      <t>†</t>
    </r>
  </si>
  <si>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</si>
  <si>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</si>
  <si>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</si>
  <si>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</si>
  <si>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</si>
  <si>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</si>
  <si>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</si>
  <si>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</si>
  <si>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</si>
  <si>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</si>
  <si>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</si>
  <si>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</si>
  <si>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</si>
  <si>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</si>
  <si>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</si>
  <si>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</si>
  <si>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</si>
  <si>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</si>
  <si>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3. One-fourth of the 4% state tax is returned to localities for education, based on each locality's school-age population.</t>
  </si>
  <si>
    <t>4. One-eighth of the 4% state tax is allocated to the Transportation Trust Fund for use by the Commonwealth Transportation Board.</t>
  </si>
  <si>
    <t>5. The local option tax of 1% is distributed to localities based on point of sale.  Local tax collections are net of all adjustments and costs of collection.</t>
  </si>
  <si>
    <t>6. One-sixteenth of the 4% state tax is allocated to the Public Education Standards of Quality/Local Real Estate Property Tax Relief Fund.</t>
  </si>
  <si>
    <t>7. The state tax was increased from 3.5% to 4% on September 1, 2004.</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</si>
  <si>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</si>
  <si>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</si>
  <si>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</si>
  <si>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</si>
  <si>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</si>
  <si>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</si>
  <si>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</si>
  <si>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</si>
  <si>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</si>
  <si>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</si>
  <si>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</si>
  <si>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</si>
  <si>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</si>
  <si>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</si>
  <si>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</si>
  <si>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</si>
  <si>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</si>
  <si>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</si>
  <si>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</si>
  <si>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</si>
  <si>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</si>
  <si>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</si>
  <si>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</si>
  <si>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</si>
  <si>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</si>
  <si>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</si>
  <si>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</si>
  <si>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</si>
  <si>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</si>
  <si>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</si>
  <si>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</si>
  <si>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</si>
  <si>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</si>
  <si>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</si>
  <si>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</si>
  <si>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</si>
  <si>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</si>
  <si>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</si>
  <si>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</si>
  <si>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</si>
  <si>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</si>
  <si>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</si>
  <si>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</si>
  <si>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</si>
  <si>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</si>
  <si>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</si>
  <si>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</si>
  <si>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</si>
  <si>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</si>
  <si>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</si>
  <si>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</si>
  <si>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</si>
  <si>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</si>
  <si>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</si>
  <si>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</si>
  <si>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</si>
  <si>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</si>
  <si>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</si>
  <si>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</si>
  <si>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</si>
  <si>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</si>
  <si>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</si>
  <si>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</si>
  <si>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</si>
  <si>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</si>
  <si>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</si>
  <si>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</si>
  <si>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</si>
  <si>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</si>
  <si>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</si>
  <si>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</si>
  <si>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</si>
  <si>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</si>
  <si>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</si>
  <si>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</si>
  <si>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</si>
  <si>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</si>
  <si>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</si>
  <si>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</si>
  <si>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</si>
  <si>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</si>
  <si>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</si>
  <si>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</si>
  <si>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</si>
  <si>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</si>
  <si>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</si>
  <si>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</si>
  <si>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</si>
  <si>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</si>
  <si>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</si>
  <si>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</si>
  <si>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</si>
  <si>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</si>
  <si>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</si>
  <si>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</si>
  <si>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</si>
  <si>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</si>
  <si>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</si>
  <si>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</si>
  <si>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</si>
  <si>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</si>
  <si>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</si>
  <si>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</si>
  <si>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</si>
  <si>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</si>
  <si>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</si>
  <si>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</si>
  <si>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</si>
  <si>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</si>
  <si>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</si>
  <si>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</si>
  <si>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</si>
  <si>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</si>
  <si>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</si>
  <si>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</si>
  <si>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</si>
  <si>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</si>
  <si>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</si>
  <si>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</si>
  <si>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</si>
  <si>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</si>
  <si>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</si>
  <si>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</si>
  <si>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</si>
  <si>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</si>
  <si>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</si>
  <si>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</si>
  <si>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</si>
  <si>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</si>
  <si>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Virginia Motor Fuel Sales Tax Revenue Collections by Locality</t>
  </si>
  <si>
    <t>Locality</t>
  </si>
  <si>
    <t>Arlington County</t>
  </si>
  <si>
    <t>Fairfax County</t>
  </si>
  <si>
    <t>Loudoun County</t>
  </si>
  <si>
    <t>Alexandria City</t>
  </si>
  <si>
    <t>Fairfax City</t>
  </si>
  <si>
    <t>Falls Church City</t>
  </si>
  <si>
    <t>Northern Virginia</t>
  </si>
  <si>
    <t>Transportation Commission</t>
  </si>
  <si>
    <t>Prince William County</t>
  </si>
  <si>
    <t>Stafford County</t>
  </si>
  <si>
    <t>Fredericksburg City</t>
  </si>
  <si>
    <t>Manassas City</t>
  </si>
  <si>
    <t>Manassas Park City</t>
  </si>
  <si>
    <t>Spotsylvania County</t>
  </si>
  <si>
    <t>N/A</t>
  </si>
  <si>
    <t>Potomac and Rappahannock</t>
  </si>
  <si>
    <t>Table 4.1</t>
  </si>
  <si>
    <t>Other Taxes Net Revenue Collections - General Fund</t>
  </si>
  <si>
    <t>Recordation</t>
  </si>
  <si>
    <t>Suits</t>
  </si>
  <si>
    <t>Tobacco</t>
  </si>
  <si>
    <t>Estate</t>
  </si>
  <si>
    <t>Watercraft</t>
  </si>
  <si>
    <t>Rolling</t>
  </si>
  <si>
    <t>&amp; Deeds</t>
  </si>
  <si>
    <t>&amp; Wills</t>
  </si>
  <si>
    <t>Excise</t>
  </si>
  <si>
    <t>Stock Tax</t>
  </si>
  <si>
    <t>5. The watercraft sales and use tax is imposed at a rate of 2 percent of the purchase price, up to a maximum of $2,000.</t>
  </si>
  <si>
    <t>6. The rolling stock tax on railroads, freight car companies, and certified motor vehicle carriers is $1 on each $100 of assessed value.</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</si>
  <si>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</si>
  <si>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3.  Prior to September 1, 2004, the cigarette tax was imposed at the rate of 2.5 cents per pack of 20 cigarettes and revenues were deposited in the General Fund.  Beginning September 1, 2004, all cigarette tax revenues are now deposited into the Virginia Health Care Fund.  The revenue from the Tobacco Excise Tax in the General Fund for FY 2005 corresponds to collections from July and August 2004 purchases.</t>
  </si>
  <si>
    <t>Other Taxes Net Revenue Collections - Other Funds</t>
  </si>
  <si>
    <t>Tire</t>
  </si>
  <si>
    <t>Egg</t>
  </si>
  <si>
    <t>Peanut</t>
  </si>
  <si>
    <t>Cigarette</t>
  </si>
  <si>
    <t>Other Tobacco</t>
  </si>
  <si>
    <t>Recycling</t>
  </si>
  <si>
    <t>Promotion</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</si>
  <si>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</si>
  <si>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</si>
  <si>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</si>
  <si>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</si>
  <si>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</si>
  <si>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</si>
  <si>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</si>
  <si>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</si>
  <si>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</si>
  <si>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</si>
  <si>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</si>
  <si>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</si>
  <si>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</si>
  <si>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</si>
  <si>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</si>
  <si>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</si>
  <si>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</si>
  <si>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</si>
  <si>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</si>
  <si>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</si>
  <si>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</si>
  <si>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</si>
  <si>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</si>
  <si>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</si>
  <si>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</si>
  <si>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</si>
  <si>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</si>
  <si>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</si>
  <si>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</si>
  <si>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</si>
  <si>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</si>
  <si>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</si>
  <si>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</si>
  <si>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</si>
  <si>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</si>
  <si>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</si>
  <si>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</si>
  <si>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</si>
  <si>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</si>
  <si>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</si>
  <si>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</si>
  <si>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</si>
  <si>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</si>
  <si>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</si>
  <si>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</si>
  <si>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</si>
  <si>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</si>
  <si>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</si>
  <si>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</si>
  <si>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</si>
  <si>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</si>
  <si>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</si>
  <si>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</si>
  <si>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</si>
  <si>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</si>
  <si>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</si>
  <si>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</si>
  <si>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</si>
  <si>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</si>
  <si>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</si>
  <si>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</si>
  <si>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</si>
  <si>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</si>
  <si>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</si>
  <si>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</si>
  <si>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 xml:space="preserve">Virginia Coal Employment and Production Incentive Tax Credit </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</si>
  <si>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</si>
  <si>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</si>
  <si>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</si>
  <si>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</si>
  <si>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</si>
  <si>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</si>
  <si>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</si>
  <si>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</si>
  <si>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</si>
  <si>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</si>
  <si>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</si>
  <si>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</si>
  <si>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</si>
  <si>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</si>
  <si>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</si>
  <si>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</si>
  <si>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</si>
  <si>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</si>
  <si>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</si>
  <si>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</si>
  <si>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7. The Aircraft Sales and Use Tax is imposed at 2 percent of the sales price.  All revenues from this tax are deposited in a special fund within the Commonwealth Transportation Fund for the administration of the aviation laws of the Commonwealth.</t>
  </si>
  <si>
    <t>Corn</t>
  </si>
  <si>
    <t>Small</t>
  </si>
  <si>
    <t xml:space="preserve">Forest </t>
  </si>
  <si>
    <t>Soft Drink</t>
  </si>
  <si>
    <t>Litter</t>
  </si>
  <si>
    <t>Grains</t>
  </si>
  <si>
    <t>8. The corn assessment is imposed at the rate of 1 cent per bushel.  All revenues from the tax are deposited into the Virginia Corn Fund.</t>
  </si>
  <si>
    <t>9. The cotton assessment is imposed at the rate of 85 cents per bale.  All revenues from the tax are deposited into the Virginia Cotton Fund. The assessment was initially imposed July 1, 1997.</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</si>
  <si>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</si>
  <si>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</si>
  <si>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</si>
  <si>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</si>
  <si>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</si>
  <si>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</si>
  <si>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 xml:space="preserve">5. Beginning September 1, 2004, the tax on cigarettes was imposed at a rate of 20 cents per pack of 20 cigarettes.  Effective July 1, 2005, this rate is increased to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</si>
  <si>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</si>
  <si>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</si>
  <si>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</si>
  <si>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</si>
  <si>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4.4</t>
  </si>
  <si>
    <t>Table 5.1</t>
  </si>
  <si>
    <t>Table 5.2</t>
  </si>
  <si>
    <t>Table 5.2, continued</t>
  </si>
  <si>
    <t>VIRGINIA DEPARTMENT OF TAXATION</t>
  </si>
  <si>
    <t>Fiscal Year Individual and Corporate Income Tax Credits</t>
  </si>
  <si>
    <t>Directory</t>
  </si>
  <si>
    <t>Virginia Department of Taxation</t>
  </si>
  <si>
    <t xml:space="preserve">Main Street Centre        </t>
  </si>
  <si>
    <t xml:space="preserve">600 East Main Street                </t>
  </si>
  <si>
    <t>Richmond, VA 23219</t>
  </si>
  <si>
    <t>This and other economic and demographic data may be found</t>
  </si>
  <si>
    <t>on the University of Virginia's Weldon Cooper Center for</t>
  </si>
  <si>
    <t>Customer Service</t>
  </si>
  <si>
    <t>Public Service (CPS) website at</t>
  </si>
  <si>
    <t>http://www.virginia.edu/coopercenter/vastat, or contact Bill</t>
  </si>
  <si>
    <t>Shobe at (434) 982-5376 or by e-mail at shobe@virginia.edu.</t>
  </si>
  <si>
    <t>Richmond, VA 23230</t>
  </si>
  <si>
    <t xml:space="preserve">This report prepared by the </t>
  </si>
  <si>
    <t>General Mailing Address</t>
  </si>
  <si>
    <t>Office of Tax Policy, Policy Development Division</t>
  </si>
  <si>
    <t>P.O. Box 1880</t>
  </si>
  <si>
    <t>Richmond, VA 23218-1880</t>
  </si>
  <si>
    <t>Internet: http://www.tax.virginia.gov</t>
  </si>
  <si>
    <r>
      <t>Administration</t>
    </r>
    <r>
      <rPr>
        <sz val="11"/>
        <rFont val="Arial"/>
        <family val="2"/>
      </rPr>
      <t xml:space="preserve"> </t>
    </r>
  </si>
  <si>
    <t>ANNUAL REPORT</t>
  </si>
  <si>
    <t>Report of the Tax Commissioner</t>
  </si>
  <si>
    <t>to the Governor of the Commonwealth of Virginia</t>
  </si>
  <si>
    <t>The Honorable Robert F. McDonnell, Governor</t>
  </si>
  <si>
    <t>The Honorable Richard D. Brown, Secretary of Finance</t>
  </si>
  <si>
    <t>Craig M. Burns, Tax Commissioner</t>
  </si>
  <si>
    <t>Other Funds Revenues</t>
  </si>
  <si>
    <t>Apple</t>
  </si>
  <si>
    <t>1. As reported in these tables, individual income tax includes individual income tax, individual estimated income tax, fiduciary income tax, and employer income tax withholding.</t>
  </si>
  <si>
    <t>Cotton</t>
  </si>
  <si>
    <t>Sheep</t>
  </si>
  <si>
    <t>Yr/Yr</t>
  </si>
  <si>
    <t>% Chg</t>
  </si>
  <si>
    <t>Net Revenue Collections After Refunds by Tax Subject</t>
  </si>
  <si>
    <t>Taxes Administered by the Department of Taxation</t>
  </si>
  <si>
    <t>Revenues</t>
  </si>
  <si>
    <t>General Fund (GF) Revenues</t>
  </si>
  <si>
    <t>Bank franchise (state share)</t>
  </si>
  <si>
    <t>Estate (inheritance, gift, and estate)</t>
  </si>
  <si>
    <t>Recordation and deeds of conveyance</t>
  </si>
  <si>
    <t>Suits, wills and administration</t>
  </si>
  <si>
    <t>State sales, use, and vending (GF part)</t>
  </si>
  <si>
    <t>Watercraft sales and use</t>
  </si>
  <si>
    <t>Total Department GF Revenues</t>
  </si>
  <si>
    <t>Aircraft sales and use</t>
  </si>
  <si>
    <t>Cigarette Tax</t>
  </si>
  <si>
    <t>State Sales and Use Tax (TTF part)</t>
  </si>
  <si>
    <t>Other Tobacco Products</t>
  </si>
  <si>
    <t>Egg excise</t>
  </si>
  <si>
    <t>Forest products</t>
  </si>
  <si>
    <t>Peanut excise</t>
  </si>
  <si>
    <t>Soybeans</t>
  </si>
  <si>
    <t>Tire tax</t>
  </si>
  <si>
    <t>Corporation Income</t>
  </si>
  <si>
    <t>Sales tax on fuel</t>
  </si>
  <si>
    <t>Other</t>
  </si>
  <si>
    <t>Corn excise</t>
  </si>
  <si>
    <t>Small grains tax</t>
  </si>
  <si>
    <t>Litter tax</t>
  </si>
  <si>
    <t>Soft drink excise</t>
  </si>
  <si>
    <t>FY 2011</t>
  </si>
  <si>
    <t>Table 2.1</t>
  </si>
  <si>
    <t>Corporate Income Tax Revenue</t>
  </si>
  <si>
    <t>1. Revenue represents net tax collections by fiscal year.</t>
  </si>
  <si>
    <t>2. Source: The Commonwealth Accounting and Reporting System.</t>
  </si>
  <si>
    <t>Table 5.3</t>
  </si>
  <si>
    <t>Counties</t>
  </si>
  <si>
    <t>Cities</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</si>
  <si>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</si>
  <si>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</si>
  <si>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</si>
  <si>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</si>
  <si>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</si>
  <si>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</si>
  <si>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</si>
  <si>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</si>
  <si>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</si>
  <si>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</si>
  <si>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</si>
  <si>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</si>
  <si>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</si>
  <si>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</si>
  <si>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Enterprise Zone Credit</t>
  </si>
  <si>
    <t>Major Business Facility Job Tax Credit</t>
  </si>
  <si>
    <t>Worker Retraining Credit</t>
  </si>
  <si>
    <t>Low Income Housing Credit</t>
  </si>
  <si>
    <t>Total State Tax Assessment</t>
  </si>
  <si>
    <t>Table 5.4</t>
  </si>
  <si>
    <t>Bank Franchise Tax Net Revenue Collections</t>
  </si>
  <si>
    <t>Collections</t>
  </si>
  <si>
    <t>Table 1.1</t>
  </si>
  <si>
    <t>Individual Income Tax Liability</t>
  </si>
  <si>
    <t>Taxable Year</t>
  </si>
  <si>
    <t>1. Tax Liability is before any tax credits but after the spouse tax adjustment.</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</si>
  <si>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</si>
  <si>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</si>
  <si>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</si>
  <si>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</si>
  <si>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</si>
  <si>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</si>
  <si>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</si>
  <si>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</si>
  <si>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</si>
  <si>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</si>
  <si>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</si>
  <si>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</si>
  <si>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</si>
  <si>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</si>
  <si>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</si>
  <si>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</si>
  <si>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</si>
  <si>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</si>
  <si>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</si>
  <si>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</si>
  <si>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</si>
  <si>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Nonjoint</t>
  </si>
  <si>
    <t>Number of</t>
  </si>
  <si>
    <t>Returns</t>
  </si>
  <si>
    <t>Separate</t>
  </si>
  <si>
    <t>Table 1.2</t>
  </si>
  <si>
    <t>Virginia Adjusted Gross Income, Total Exemptions, Total Deductions, Total Taxable Income, Total Tax Liability, and Average Tax Rates</t>
  </si>
  <si>
    <t>Itemized</t>
  </si>
  <si>
    <t>Standard</t>
  </si>
  <si>
    <t>Average</t>
  </si>
  <si>
    <t>Total Adjusted</t>
  </si>
  <si>
    <t>Exemptions</t>
  </si>
  <si>
    <t>Deductions</t>
  </si>
  <si>
    <t xml:space="preserve">Deductions </t>
  </si>
  <si>
    <t>Total Taxable</t>
  </si>
  <si>
    <t>Total Tax</t>
  </si>
  <si>
    <t>Gross Income</t>
  </si>
  <si>
    <t>Claimed ($)</t>
  </si>
  <si>
    <t>Liability</t>
  </si>
  <si>
    <t>Rate</t>
  </si>
  <si>
    <t>1. The tax rate is 2% for taxable income of $3,000 or less; 3% for taxable income $3,001 to $5,000; 5% for income $5,001 to $17,000; and 5.75% for income over $17,000.</t>
  </si>
  <si>
    <t>2. Exemption and Deduction amounts for nonresidents include the full amount before the VA allocable portion is computed.</t>
  </si>
  <si>
    <t>3. Tax Liability is before any tax credits but after the spouse tax adjustment.</t>
  </si>
  <si>
    <t>4. Average tax rate is the total tax liability divided by the total taxable income.</t>
  </si>
  <si>
    <t>5. All revenue generated by the individual income tax is deposited to the General Fund.</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</si>
  <si>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</si>
  <si>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</si>
  <si>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</si>
  <si>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</si>
  <si>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</si>
  <si>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</si>
  <si>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</si>
  <si>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</si>
  <si>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</si>
  <si>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</si>
  <si>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</si>
  <si>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</si>
  <si>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</si>
  <si>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</si>
  <si>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</si>
  <si>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</si>
  <si>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</si>
  <si>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</si>
  <si>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</si>
  <si>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</si>
  <si>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</si>
  <si>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</si>
  <si>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</si>
  <si>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</si>
  <si>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</si>
  <si>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</si>
  <si>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</si>
  <si>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</si>
  <si>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</si>
  <si>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</si>
  <si>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</si>
  <si>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</si>
  <si>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</si>
  <si>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</si>
  <si>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</si>
  <si>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</si>
  <si>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</si>
  <si>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</si>
  <si>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</si>
  <si>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</si>
  <si>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</si>
  <si>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</si>
  <si>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</si>
  <si>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</si>
  <si>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</si>
  <si>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</si>
  <si>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</si>
  <si>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</si>
  <si>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</si>
  <si>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</si>
  <si>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</si>
  <si>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</si>
  <si>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</si>
  <si>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</si>
  <si>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</si>
  <si>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</si>
  <si>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</si>
  <si>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</si>
  <si>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</si>
  <si>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</si>
  <si>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</si>
  <si>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</si>
  <si>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</si>
  <si>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</si>
  <si>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</si>
  <si>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</si>
  <si>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</si>
  <si>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</si>
  <si>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</si>
  <si>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</si>
  <si>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</si>
  <si>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</si>
  <si>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</si>
  <si>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</si>
  <si>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</si>
  <si>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</si>
  <si>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</si>
  <si>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</si>
  <si>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</si>
  <si>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</si>
  <si>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</si>
  <si>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</si>
  <si>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</si>
  <si>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</si>
  <si>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</si>
  <si>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</si>
  <si>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</si>
  <si>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</si>
  <si>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</si>
  <si>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</si>
  <si>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</si>
  <si>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</si>
  <si>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</si>
  <si>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</si>
  <si>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</si>
  <si>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</si>
  <si>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</si>
  <si>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</si>
  <si>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</si>
  <si>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</si>
  <si>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</si>
  <si>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</si>
  <si>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</si>
  <si>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</si>
  <si>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</si>
  <si>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</si>
  <si>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</si>
  <si>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</si>
  <si>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</si>
  <si>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</si>
  <si>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</si>
  <si>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</si>
  <si>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</si>
  <si>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</si>
  <si>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</si>
  <si>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</si>
  <si>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</si>
  <si>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</si>
  <si>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</si>
  <si>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</si>
  <si>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</si>
  <si>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</si>
  <si>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</si>
  <si>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</si>
  <si>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</si>
  <si>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</si>
  <si>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</si>
  <si>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</si>
  <si>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</si>
  <si>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</si>
  <si>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</si>
  <si>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</si>
  <si>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</si>
  <si>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</si>
  <si>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</si>
  <si>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</si>
  <si>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</si>
  <si>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</si>
  <si>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</si>
  <si>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</si>
  <si>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</si>
  <si>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</si>
  <si>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</si>
  <si>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</si>
  <si>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</si>
  <si>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</si>
  <si>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</si>
  <si>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</si>
  <si>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</si>
  <si>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</si>
  <si>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</si>
  <si>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</si>
  <si>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</si>
  <si>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</si>
  <si>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</si>
  <si>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</si>
  <si>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</si>
  <si>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</si>
  <si>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</si>
  <si>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</si>
  <si>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</si>
  <si>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</si>
  <si>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</si>
  <si>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</si>
  <si>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</si>
  <si>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</si>
  <si>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</si>
  <si>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</si>
  <si>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</si>
  <si>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</si>
  <si>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</si>
  <si>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 xml:space="preserve">Stephens City </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</si>
  <si>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</si>
  <si>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</si>
  <si>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</si>
  <si>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</si>
  <si>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</si>
  <si>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</si>
  <si>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</si>
  <si>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</si>
  <si>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</si>
  <si>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</si>
  <si>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</si>
  <si>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</si>
  <si>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</si>
  <si>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</si>
  <si>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</si>
  <si>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</si>
  <si>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</si>
  <si>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</si>
  <si>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</si>
  <si>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</si>
  <si>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</si>
  <si>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</si>
  <si>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</si>
  <si>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</si>
  <si>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</si>
  <si>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</si>
  <si>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</si>
  <si>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</si>
  <si>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</si>
  <si>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</si>
  <si>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</si>
  <si>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</si>
  <si>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</si>
  <si>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</si>
  <si>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Brodnax</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</si>
  <si>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</si>
  <si>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</si>
  <si>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</si>
  <si>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</si>
  <si>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</si>
  <si>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</si>
  <si>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</si>
  <si>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</si>
  <si>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</si>
  <si>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</si>
  <si>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</si>
  <si>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</si>
  <si>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</si>
  <si>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</si>
  <si>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</si>
  <si>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</si>
  <si>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</si>
  <si>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</si>
  <si>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</si>
  <si>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</si>
  <si>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</si>
  <si>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</si>
  <si>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</si>
  <si>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</si>
  <si>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</si>
  <si>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</si>
  <si>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</si>
  <si>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</si>
  <si>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</si>
  <si>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</si>
  <si>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</si>
  <si>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</si>
  <si>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</si>
  <si>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</si>
  <si>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</si>
  <si>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</si>
  <si>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</si>
  <si>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</si>
  <si>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</si>
  <si>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</si>
  <si>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</si>
  <si>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</si>
  <si>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</si>
  <si>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</si>
  <si>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</si>
  <si>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</si>
  <si>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</si>
  <si>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</si>
  <si>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</si>
  <si>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</si>
  <si>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</si>
  <si>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</si>
  <si>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</si>
  <si>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</si>
  <si>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</si>
  <si>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</si>
  <si>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</si>
  <si>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</si>
  <si>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</si>
  <si>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</si>
  <si>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</si>
  <si>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</si>
  <si>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</si>
  <si>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</si>
  <si>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</si>
  <si>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</si>
  <si>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</si>
  <si>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</si>
  <si>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</si>
  <si>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</si>
  <si>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1. The Communications Sales Tax is imposed on the sale of communications services at a rate of 5%.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will be responsible for paying a communications use tax.</t>
  </si>
  <si>
    <t>Table 5.5</t>
  </si>
  <si>
    <t xml:space="preserve">Recordation Tax and Deeds of Conveyance Revenue Collections </t>
  </si>
  <si>
    <t>Table 5.5, continued</t>
  </si>
  <si>
    <t xml:space="preserve">Halifax   </t>
  </si>
  <si>
    <t xml:space="preserve">Virginia Beach </t>
  </si>
  <si>
    <r>
      <t xml:space="preserve">1. The Spotsylvania County Board of Supervisors voted to join the Potomac and Rappahannock Transportation Commission.  An agreement was executed between the County and the Commission using the process set forth in </t>
    </r>
    <r>
      <rPr>
        <i/>
        <sz val="9"/>
        <rFont val="Arial"/>
        <family val="2"/>
      </rPr>
      <t>Va. Code</t>
    </r>
    <r>
      <rPr>
        <sz val="9"/>
        <rFont val="Arial"/>
        <family val="2"/>
      </rPr>
      <t xml:space="preserve"> § 58.1-609.10.  Spotsylvania County was added to the Potomac and Rappahannock Transportation Commission on February 15, 2010.  </t>
    </r>
  </si>
  <si>
    <t>Table 1.5</t>
  </si>
  <si>
    <t>Virginia Adjusted Gross Income by Locality/Income Level</t>
  </si>
  <si>
    <t>Adjusted Gross Income:</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</si>
  <si>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</si>
  <si>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</si>
  <si>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</si>
  <si>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</si>
  <si>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</si>
  <si>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</si>
  <si>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</si>
  <si>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</si>
  <si>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</si>
  <si>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</si>
  <si>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</si>
  <si>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</si>
  <si>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</si>
  <si>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</si>
  <si>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</si>
  <si>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</si>
  <si>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</si>
  <si>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</si>
  <si>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</si>
  <si>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</si>
  <si>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</si>
  <si>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</si>
  <si>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</si>
  <si>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</si>
  <si>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</si>
  <si>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Total Exemptions, Total Deductions, and Number of Returns by Filing Status/Locality</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</si>
  <si>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</si>
  <si>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</si>
  <si>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</si>
  <si>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</si>
  <si>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</si>
  <si>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</si>
  <si>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</si>
  <si>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</si>
  <si>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</si>
  <si>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</si>
  <si>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</si>
  <si>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</si>
  <si>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</si>
  <si>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</si>
  <si>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</si>
  <si>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</si>
  <si>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</si>
  <si>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</si>
  <si>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1. Totals in Table 1.7 may not agree with totals in previous tables due to minor variations in tabulations.</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</si>
  <si>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</si>
  <si>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</si>
  <si>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</si>
  <si>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</si>
  <si>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</si>
  <si>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</si>
  <si>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</si>
  <si>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</si>
  <si>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</si>
  <si>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</si>
  <si>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</si>
  <si>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</si>
  <si>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</si>
  <si>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1. Set-Off Debt is a program that sets-off an overpayment amount on a taxpayer's return against accounts receivable due to an agency of the Commonwealth.</t>
  </si>
  <si>
    <t>Table 1.9</t>
  </si>
  <si>
    <t>Refund Match Totals</t>
  </si>
  <si>
    <t>Tax Year</t>
  </si>
  <si>
    <t>1. Refund Match is a program that automatically matches an overpayment amount on a taxpayer's return to any outstanding tax due amount the taxpayer has with the Department of Taxation, with the exception of fiduciary and estate tax accounts.</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</si>
  <si>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</si>
  <si>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</si>
  <si>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</si>
  <si>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</si>
  <si>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</si>
  <si>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</si>
  <si>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</si>
  <si>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</si>
  <si>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</si>
  <si>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</si>
  <si>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</si>
  <si>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</si>
  <si>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</si>
  <si>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</si>
  <si>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</si>
  <si>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</si>
  <si>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</si>
  <si>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</si>
  <si>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</si>
  <si>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</si>
  <si>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</si>
  <si>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</si>
  <si>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</si>
  <si>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</si>
  <si>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</si>
  <si>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</si>
  <si>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</si>
  <si>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</si>
  <si>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</si>
  <si>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</si>
  <si>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 Contributions are voluntary and are limited to one per person (filing a separate return) or two check-offs for a married couple filing together. Section 58.1-344.3 B.3 of the Code of Virginia sets the limit at $25 per individual and at $25 for each spouse on a joint return.</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</si>
  <si>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</si>
  <si>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</si>
  <si>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</si>
  <si>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</si>
  <si>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</si>
  <si>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</si>
  <si>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</si>
  <si>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</si>
  <si>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</si>
  <si>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</si>
  <si>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</si>
  <si>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</si>
  <si>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</si>
  <si>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</si>
  <si>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</si>
  <si>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</si>
  <si>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</si>
  <si>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</si>
  <si>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</si>
  <si>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</si>
  <si>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</si>
  <si>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</si>
  <si>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</si>
  <si>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</si>
  <si>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</si>
  <si>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</si>
  <si>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</si>
  <si>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</si>
  <si>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</si>
  <si>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Due to database modifications needed to implement the Department's new accounting system, the business classification codes used in the past were eliminated during 2005.  The current classifications are based on NAICS codes.  Historic taxable sales cannot be converted to the new classification system.</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</si>
  <si>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</si>
  <si>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</si>
  <si>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4. Not all sales are subject to the retail sales tax.  Numerous sales are excluded or exempted.</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</si>
  <si>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</si>
  <si>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</si>
  <si>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</si>
  <si>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</si>
  <si>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</si>
  <si>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</si>
  <si>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</si>
  <si>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</si>
  <si>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</si>
  <si>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</si>
  <si>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</si>
  <si>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</si>
  <si>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</si>
  <si>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</si>
  <si>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</si>
  <si>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</si>
  <si>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</si>
  <si>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</si>
  <si>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</si>
  <si>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</si>
  <si>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</si>
  <si>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</si>
  <si>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</si>
  <si>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</si>
  <si>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</si>
  <si>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</si>
  <si>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</si>
  <si>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</si>
  <si>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</si>
  <si>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New Kent *</t>
  </si>
  <si>
    <t xml:space="preserve">Manassas Park  </t>
  </si>
  <si>
    <t>* Did not provide complete information on tax-exempt real estate.</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</si>
  <si>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</si>
  <si>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</si>
  <si>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</si>
  <si>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</si>
  <si>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</si>
  <si>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</si>
  <si>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</si>
  <si>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</si>
  <si>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</si>
  <si>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1. A local license tax may be imposed on gross receipts under the Code of Virginia, Section 58.1-3706.</t>
  </si>
  <si>
    <t>2. Data are based on information provided by the local Commissioners of the Revenue and Assessors.</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</si>
  <si>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</si>
  <si>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</si>
  <si>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</si>
  <si>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</si>
  <si>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</si>
  <si>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</si>
  <si>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</si>
  <si>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</si>
  <si>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</si>
  <si>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</si>
  <si>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</si>
  <si>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</si>
  <si>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</si>
  <si>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</si>
  <si>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</si>
  <si>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</si>
  <si>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</si>
  <si>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</si>
  <si>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</si>
  <si>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</si>
  <si>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 Average Tax Rate is the aggregate levy for all counties and cities divided by the aggregate assessed value for all counties and cities.</t>
  </si>
  <si>
    <t>Table 6.2, continued</t>
  </si>
  <si>
    <t>Table 6.4</t>
  </si>
  <si>
    <t>Table 6.4, continued</t>
  </si>
  <si>
    <t>Table of Contents</t>
  </si>
  <si>
    <t xml:space="preserve">Net Revenue Collections and Expenditures                                                                </t>
  </si>
  <si>
    <t>Net Revenue Collections and Department of Taxation Expenditures ………………………………………………...……………………....………………….…………………………..……………………………..</t>
  </si>
  <si>
    <t>Net Revenue Collections After Refunds by Tax Subject ……………………………………...……………………....………………….…………………………..……………………………..</t>
  </si>
  <si>
    <t xml:space="preserve">Individual Income Tax Liability ……………………………………...……………………....………………….……………………………………………………………………….…………………..……………………………..                                                        </t>
  </si>
  <si>
    <t xml:space="preserve">Virginia Adjusted Gross Income, Total Exemptions, Total Taxable Income, Total Tax Liability, and Total Deductions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</si>
  <si>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</si>
  <si>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</si>
  <si>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</si>
  <si>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Exemptions, Total Deductions, and Number of Returns by Filing Status/Locality ……………………………………...……………………....………………….……………………………………………………………………….…………………..……………………………..                                                     </t>
  </si>
  <si>
    <t xml:space="preserve">Total Net Taxable Income, Amount Taxed at Each Tax Rate, Total Income Tax Liability by Locality ……………………………………...……………………....………………….……………………………………………………………………….…………………..……………………………..                                         </t>
  </si>
  <si>
    <t xml:space="preserve">Set-Off Debt Transferred to Agencies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</si>
  <si>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</si>
  <si>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</si>
  <si>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</si>
  <si>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</si>
  <si>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</si>
  <si>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</si>
  <si>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</si>
  <si>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Fiscal Year Individual and Corporate Income Tax Credits ……………………………………...……………………....………………….……………………………………………………………………….…………………..……………………………..     </t>
  </si>
  <si>
    <t xml:space="preserve">State and Local Retail Sales and Use Tax Net Revenue Collections ……………………………………...……………………....………………….……………………………………………………………………….…………………..……………………………..                 </t>
  </si>
  <si>
    <t>4.2</t>
  </si>
  <si>
    <t xml:space="preserve">Annual Taxable Sales by Category for the Commonwealth of Virginia by Calendar Year ……………………………………...……………………………………………...………                                            </t>
  </si>
  <si>
    <t>4.3</t>
  </si>
  <si>
    <t xml:space="preserve">Sales Tax Distribution by Locality ……………………………………...……………………....………………….……………………………………………………………………….…………………..……………………………..                 </t>
  </si>
  <si>
    <t>4.4</t>
  </si>
  <si>
    <t xml:space="preserve">Virginia Motor Fuel Sales Tax Revenue Collections by Locality ……………………………………...……………………....………………….……………………………………………………………………….…………………..……………………………..                 </t>
  </si>
  <si>
    <t>Other State Taxes</t>
  </si>
  <si>
    <t xml:space="preserve">Other Taxes Net Revenue Collections - General Fund ……………………………………...……………………....………………….……………………………………………………………………….…………………..……………………………..                 </t>
  </si>
  <si>
    <t xml:space="preserve">Other Taxes Net Revenue Collections - Special Funds ……………………………………...……………………....………………….……………………………………………………………………….…………………..……………………………..                 </t>
  </si>
  <si>
    <t>5.3</t>
  </si>
  <si>
    <t xml:space="preserve">Bank Franchise Tax Assessment Statement ……………………………………...……………………....………………….……………………………………………………………………….…………………..……………………………..                                                                         </t>
  </si>
  <si>
    <t>5.4</t>
  </si>
  <si>
    <t xml:space="preserve">Bank Franchise Tax Net Revenue Collections ……………………………………...……………………....………………….……………………………………………………………………….…………………..……………………………..                 </t>
  </si>
  <si>
    <t>5.5</t>
  </si>
  <si>
    <t xml:space="preserve">Recordation Tax and Deeds of Conveyance Revenue Collections by Locality ……………………………………...……………………....………………….……………………………………………………………………….…………………..……………………………..                 </t>
  </si>
  <si>
    <t>5.6</t>
  </si>
  <si>
    <t xml:space="preserve">Communications Sales Tax Distributions ……………………………………...……………………....………………….……………………………………………………………………….…………………..……………………………..                                                                   </t>
  </si>
  <si>
    <t>Local Property Taxes</t>
  </si>
  <si>
    <t xml:space="preserve">Assessed Values, Levies Assessed, and Average Tax Rates ……………………………………...……………………....………………….……………………………………………………………………….…………………..……………………………..                                                                   </t>
  </si>
  <si>
    <t xml:space="preserve">Real Estate Fair Market Value (FMV), Fair Market Value (Taxable), Local Levy by Locality ……………………………………...……………………....………………….……………………………………………………………………….…………………..……………………………..                                        </t>
  </si>
  <si>
    <t xml:space="preserve">Comparison of Tax Exempt Value to Total Fair Market Value (FMV) of Real Estate by Locality ……………………………………...……………………....………………….……………………………………………………………………….…………………..……………………………..                                          </t>
  </si>
  <si>
    <t xml:space="preserve">Tangible Personal Property, Machinery and Tools, Merchants' Capital, and Public Service Corporations by Locality ……………………………………...……………………....………………….……………………………………………………………………….…………………..……………………………..                             </t>
  </si>
  <si>
    <t>1957 Westmoreland Street</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</si>
  <si>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</si>
  <si>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</si>
  <si>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</si>
  <si>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5.  Some credits may be claimed against taxes in addition to income taxes; amounts in table are for only individual and corporate income tax.</t>
  </si>
  <si>
    <t>§ 58.1-439.12:05</t>
  </si>
  <si>
    <t>Green Job Creation Tax Credit</t>
  </si>
  <si>
    <t>2010 (effective 2010)</t>
  </si>
  <si>
    <t>§ 58.1-439.12:04</t>
  </si>
  <si>
    <t>Tax Credit for Participating Landlords (Community of Opportunity)</t>
  </si>
  <si>
    <t>Rolling Stock Tax</t>
  </si>
  <si>
    <t>State Forests Fund</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</si>
  <si>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The figures stated above are net of refunds. </t>
  </si>
  <si>
    <t>By the Commonwealth of Virginia*</t>
  </si>
  <si>
    <t>By the Department of Taxation**</t>
  </si>
  <si>
    <t>** Includes all taxes administered by the Department of Taxation.</t>
  </si>
  <si>
    <t>* Source: the Commonwealth Accounting and Reporting System, Net Revenue Fund Report</t>
  </si>
  <si>
    <t>FY 2012</t>
  </si>
  <si>
    <t>*</t>
  </si>
  <si>
    <t>§ 58.1-339.12</t>
  </si>
  <si>
    <t>Farm Wineries and Vineyards Tax Credit</t>
  </si>
  <si>
    <t>2011 (effective 2011)</t>
  </si>
  <si>
    <t>§ 58.1-439.12:03</t>
  </si>
  <si>
    <t>Motion Picture Production Tax Credit (refundable)</t>
  </si>
  <si>
    <t>§ 58.1-439.12:06</t>
  </si>
  <si>
    <t>International Trade Facility Tax Credit</t>
  </si>
  <si>
    <t>§ 58.1-439.12:08</t>
  </si>
  <si>
    <t>Research and Development Expenses Tax Credit (refundable)</t>
  </si>
  <si>
    <t>§ 58.1-439.12:09</t>
  </si>
  <si>
    <t>Barge and Rail Usage Tax Credit</t>
  </si>
  <si>
    <t>§ 58.1-439.12:10</t>
  </si>
  <si>
    <t>Virginia Port Volume Increase Tax Credit</t>
  </si>
  <si>
    <t>Nonprofit Exemption Annual Report</t>
  </si>
  <si>
    <t xml:space="preserve">Nonprofit Exemption Annual Report……………………………………...……………………....………………….……………………………………………………………………….…………………..……………………………..    </t>
  </si>
  <si>
    <t>Table 7.1</t>
  </si>
  <si>
    <t>Nonprofit Organization Tax Exemption Annual Report</t>
  </si>
  <si>
    <r>
      <t>Brown vs. The Board of Education Scholarship Fund</t>
    </r>
    <r>
      <rPr>
        <vertAlign val="superscript"/>
        <sz val="10"/>
        <color indexed="8"/>
        <rFont val="Arial"/>
        <family val="2"/>
      </rPr>
      <t>#</t>
    </r>
  </si>
  <si>
    <t>**</t>
  </si>
  <si>
    <t>Mathews *</t>
  </si>
  <si>
    <t>** Data for this program is not available for release because fewer than four taxpayers contributing to this fund have been processed in 2011.</t>
  </si>
  <si>
    <t>1. The sales and use tax on aircraft and on watercraft are reported separately in Tables 5.1 and 5.2, respectively.</t>
  </si>
  <si>
    <t>† Pass-through entities (e.g., Subchapter S corporations, partnerships, limited liability companies, etc.) file Form 502.  They report all taxable income on individual returns.  They are reported on this table as having no taxable income for purposes of the corporate income tax.</t>
  </si>
  <si>
    <t>Amount ($)</t>
  </si>
  <si>
    <t>State and Local Retail Sales &amp; Use  
Tax Expenditure Resulting From Purchases 
Made by Nonprofit Organizations</t>
  </si>
  <si>
    <t>3. The peanut excise tax was imposed at the rate of 15 cents per 100 pounds.  Effective July 1, 2010, the peanut excise tax is imposed at the rate of 30 cents per 100 pounds.  All revenues are deposited into the Peanut Fund.</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</si>
  <si>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</si>
  <si>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</si>
  <si>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*Legislation enacted in the 2003 Session of the General Assembly simplified the process for nonprofit organizations to qualify for a sales and use tax exemption.  Prior to this law change, nonprofit entities needed to obtain legislation granting them an exemption from the General Assembly, unless they qualified under an existing exemption.  The Department’s estimate of the total annual state and local sales and use tax revenue impact of the nonprofit entity exemption is based on the amounts of exempt purchases reported to the Department by nonprofit entities on their applications for a new or renewed exemption under Va. Code § 58.1-609.11.  As many medical related nonprofit organizations enjoyed a grandfathered exemption under Va. Code § 58.1-609.7 until July 1, 2008, the fiscal year 2007 estimate is understated.  It does not include the estimated purchases of such organizations that did not apply for a new exemption under 58.1-609.11 prior to July 1, 2007.     </t>
  </si>
  <si>
    <t>2. Tax Liability is before any tax credits but after the spouse tax adjustment.</t>
  </si>
  <si>
    <t>FISCAL YEAR 2013</t>
  </si>
  <si>
    <t>FY 2013</t>
  </si>
  <si>
    <t>2013/2012</t>
  </si>
  <si>
    <t>Taxable Year 2011</t>
  </si>
  <si>
    <t>Based on corporate tax returns filed for Taxable Year 2011*</t>
  </si>
  <si>
    <t>* This table is not comparable to equivalent tables in annual reports prior to FY 2006.  Returns are selected for inclusion on this table if the tax reporting period on the return began in 2011.  Reports prior to FY 2006 selected returns based on the state fiscal year in which they were received.</t>
  </si>
  <si>
    <t xml:space="preserve">1.  Number of returns and amounts are for income tax returns processed during FY 2013, regardless of taxable year.  For most credits, returns for multiple taxable years were processed during the fiscal year.  The total for each return may include carryovers from prior years.   </t>
  </si>
  <si>
    <t>Returns Processed During Fiscal Year 2013</t>
  </si>
  <si>
    <t>* Data for this credit is not available for release because fewer than four returns claiming the credit have been processed in FY 2013.</t>
  </si>
  <si>
    <t>Local Sales Tax Distribution - Fiscal Year 2013</t>
  </si>
  <si>
    <t>Bank Franchise Tax Assessment Tax Statement - Fiscal Year 2013</t>
  </si>
  <si>
    <t>Communications Sales Tax Distributions, Fiscal Year 2013</t>
  </si>
  <si>
    <t>2. The distributions for FY 2013 were based on collections for May 2012 through April 2013.</t>
  </si>
  <si>
    <t>Real Estate Fair Market Value (FMV), Fair Market Value (Taxable), and Local Levy by Locality - Tax Year 2012</t>
  </si>
  <si>
    <t>Comparison of Tax Exempt Value to Total Fair Market Value (FMV) of Real Estate by Locality - Tax Year 2012</t>
  </si>
  <si>
    <t>Assessed Values and Levies by Locality - Tax Year 2012</t>
  </si>
  <si>
    <t xml:space="preserve">* Personal property tax data was not available for Tax Year 2012 for this locality.  </t>
  </si>
  <si>
    <t>Fiscal Year 2013</t>
  </si>
  <si>
    <t>FY 2012 expenditures on behalf of SLEAC were $103,080.  FY 2013 expenditures were $104,080.</t>
  </si>
  <si>
    <t>§ 58.1-439.12:07</t>
  </si>
  <si>
    <t>Telework Expenses Tax Credit</t>
  </si>
  <si>
    <t>2011 (effective 2012)</t>
  </si>
  <si>
    <t>4. The estate tax is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the estates of those individuals who have died on or after July 1, 2007.  In general, estates owing the tax have nine months to file a return.  Therefore, the last returns applicable to the Estate Tax were due on March 30, 2008.  However, revenue from this tax may continue to be generated by delinquent filers or returns filed on extension.</t>
  </si>
  <si>
    <t xml:space="preserve">9. Effective beginning FY 2010, dealers with annual taxable sales of $1 million or more were required to make a June payment equal to 90 percent of their sales and use tax liability for the previous June. In FY 2013, this requirement added $157.9 million to general fund revenue.  For the payment due June 2013, the threshold increased to $26 million of annual taxable sales.  </t>
  </si>
  <si>
    <t/>
  </si>
  <si>
    <t>2012 - 2013</t>
  </si>
  <si>
    <t>Wytheville</t>
  </si>
  <si>
    <r>
      <t xml:space="preserve"># </t>
    </r>
    <r>
      <rPr>
        <sz val="10"/>
        <rFont val="Arial"/>
        <family val="2"/>
      </rPr>
      <t>These organizations were removed from the Tax Year 2009 return. Amounts reported for Tax Years 2009, 2010 and 2011 represent contributions made on returns filed for prior years processed in 2010, 2011and 2012 respectively.</t>
    </r>
  </si>
  <si>
    <t>2. Contributions are reported by processing done in a calendar year.  For example, contributions reported for Taxable Year 2011 are from all returns processed in calendar year 2012.  The majority of returns processed in 2012 are for TY 2011; however, some returns from previous years are included.</t>
  </si>
  <si>
    <t>(January 1st through May 31st)</t>
  </si>
</sst>
</file>

<file path=xl/styles.xml><?xml version="1.0" encoding="utf-8"?>
<styleSheet xmlns="http://schemas.openxmlformats.org/spreadsheetml/2006/main">
  <numFmts count="23">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numFmt numFmtId="177" formatCode="0.00\ %"/>
    <numFmt numFmtId="178" formatCode="General_)"/>
    <numFmt numFmtId="179" formatCode="0.000%"/>
    <numFmt numFmtId="180" formatCode="_(* #,##0_);_(* \(#,##0\);_(* &quot;-&quot;??_);_(@_)"/>
  </numFmts>
  <fonts count="104">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vertAlign val="superscript"/>
      <sz val="10"/>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i/>
      <sz val="9"/>
      <name val="Arial"/>
      <family val="2"/>
    </font>
    <font>
      <sz val="10"/>
      <color indexed="9"/>
      <name val="Arial"/>
      <family val="2"/>
    </font>
    <font>
      <sz val="9"/>
      <color indexed="9"/>
      <name val="Arial"/>
      <family val="2"/>
    </font>
    <font>
      <sz val="9"/>
      <name val="Bookman Old Style"/>
      <family val="1"/>
    </font>
    <font>
      <vertAlign val="superscript"/>
      <sz val="10"/>
      <name val="Arial"/>
      <family val="2"/>
    </font>
    <font>
      <b/>
      <sz val="12"/>
      <name val="Arial "/>
    </font>
    <font>
      <b/>
      <sz val="10"/>
      <name val="Arial "/>
    </font>
    <font>
      <b/>
      <u/>
      <sz val="9"/>
      <name val="Arial"/>
      <family val="2"/>
    </font>
    <font>
      <b/>
      <sz val="12"/>
      <color indexed="9"/>
      <name val="Arial"/>
      <family val="2"/>
    </font>
    <font>
      <sz val="12"/>
      <color indexed="9"/>
      <name val="COUR"/>
    </font>
    <font>
      <vertAlign val="superscript"/>
      <sz val="10"/>
      <color indexed="8"/>
      <name val="Arial"/>
      <family val="2"/>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sz val="10"/>
      <color theme="1"/>
      <name val="COUR"/>
    </font>
    <font>
      <b/>
      <sz val="12"/>
      <color theme="1"/>
      <name val="Arial"/>
      <family val="2"/>
    </font>
    <font>
      <sz val="12"/>
      <color rgb="FFC00000"/>
      <name val="Arial"/>
      <family val="2"/>
    </font>
    <font>
      <i/>
      <sz val="12"/>
      <color theme="0" tint="-0.499984740745262"/>
      <name val="Arial"/>
      <family val="2"/>
    </font>
    <font>
      <i/>
      <sz val="12"/>
      <color rgb="FFC00000"/>
      <name val="Arial"/>
      <family val="2"/>
    </font>
    <font>
      <sz val="12"/>
      <color theme="1"/>
      <name val="Arial"/>
      <family val="2"/>
    </font>
    <font>
      <sz val="9"/>
      <color theme="1"/>
      <name val="Arial"/>
      <family val="2"/>
    </font>
    <font>
      <i/>
      <sz val="9"/>
      <color theme="0" tint="-0.34998626667073579"/>
      <name val="Arial"/>
      <family val="2"/>
    </font>
    <font>
      <i/>
      <sz val="10"/>
      <color theme="0" tint="-0.499984740745262"/>
      <name val="Arial"/>
      <family val="2"/>
    </font>
    <font>
      <i/>
      <sz val="10"/>
      <color theme="0" tint="-0.499984740745262"/>
      <name val="Arial "/>
    </font>
    <font>
      <i/>
      <sz val="10"/>
      <color theme="0" tint="-0.34998626667073579"/>
      <name val="Arial"/>
      <family val="2"/>
    </font>
    <font>
      <sz val="12"/>
      <color theme="0" tint="-0.249977111117893"/>
      <name val="Arial"/>
      <family val="2"/>
    </font>
    <font>
      <b/>
      <sz val="12"/>
      <color theme="0" tint="-0.249977111117893"/>
      <name val="Arial"/>
      <family val="2"/>
    </font>
    <font>
      <sz val="12"/>
      <color theme="0" tint="-0.249977111117893"/>
      <name val="COUR"/>
    </font>
    <font>
      <sz val="10"/>
      <color theme="0" tint="-0.249977111117893"/>
      <name val="Arial"/>
      <family val="2"/>
    </font>
    <font>
      <sz val="10"/>
      <color theme="0" tint="-0.249977111117893"/>
      <name val="Arial "/>
      <family val="2"/>
    </font>
    <font>
      <sz val="12"/>
      <color theme="0" tint="-0.14999847407452621"/>
      <name val="Arial"/>
      <family val="2"/>
    </font>
    <font>
      <sz val="12"/>
      <color theme="0" tint="-4.9989318521683403E-2"/>
      <name val="Arial"/>
      <family val="2"/>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
    <xf numFmtId="0" fontId="0" fillId="0" borderId="0"/>
    <xf numFmtId="43" fontId="45" fillId="0" borderId="0" applyFont="0" applyFill="0" applyBorder="0" applyAlignment="0" applyProtection="0"/>
    <xf numFmtId="43" fontId="61"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5" fillId="0" borderId="0" applyFont="0" applyFill="0" applyBorder="0" applyAlignment="0" applyProtection="0"/>
    <xf numFmtId="44" fontId="12" fillId="0" borderId="0" applyFont="0" applyFill="0" applyBorder="0" applyProtection="0"/>
    <xf numFmtId="0" fontId="61"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5" fillId="0" borderId="0"/>
    <xf numFmtId="0" fontId="45" fillId="0" borderId="0"/>
    <xf numFmtId="0" fontId="19" fillId="0" borderId="0"/>
    <xf numFmtId="0" fontId="19" fillId="0" borderId="0"/>
    <xf numFmtId="0" fontId="3" fillId="0" borderId="0"/>
    <xf numFmtId="0" fontId="45" fillId="0" borderId="0"/>
    <xf numFmtId="0" fontId="8" fillId="0" borderId="0"/>
    <xf numFmtId="0" fontId="12" fillId="0" borderId="0"/>
    <xf numFmtId="0" fontId="19" fillId="0" borderId="0"/>
    <xf numFmtId="0" fontId="45" fillId="0" borderId="0"/>
    <xf numFmtId="0" fontId="45" fillId="0" borderId="0"/>
    <xf numFmtId="178" fontId="49" fillId="0" borderId="0"/>
    <xf numFmtId="0" fontId="12" fillId="0" borderId="0"/>
    <xf numFmtId="0" fontId="12" fillId="0" borderId="0"/>
    <xf numFmtId="0" fontId="45" fillId="0" borderId="0"/>
    <xf numFmtId="0" fontId="12" fillId="0" borderId="0"/>
    <xf numFmtId="9" fontId="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9" fontId="61" fillId="0" borderId="0" applyFont="0" applyFill="0" applyBorder="0" applyAlignment="0" applyProtection="0"/>
    <xf numFmtId="0" fontId="2" fillId="0" borderId="0"/>
    <xf numFmtId="0" fontId="2" fillId="0" borderId="0"/>
    <xf numFmtId="43" fontId="66" fillId="0" borderId="0" applyFont="0" applyFill="0" applyBorder="0" applyAlignment="0" applyProtection="0"/>
    <xf numFmtId="0" fontId="67" fillId="0" borderId="0" applyNumberFormat="0" applyFill="0" applyBorder="0" applyAlignment="0" applyProtection="0"/>
    <xf numFmtId="0" fontId="68" fillId="0" borderId="31" applyNumberFormat="0" applyFill="0" applyAlignment="0" applyProtection="0"/>
    <xf numFmtId="0" fontId="69" fillId="0" borderId="32" applyNumberFormat="0" applyFill="0" applyAlignment="0" applyProtection="0"/>
    <xf numFmtId="0" fontId="70" fillId="0" borderId="33" applyNumberFormat="0" applyFill="0" applyAlignment="0" applyProtection="0"/>
    <xf numFmtId="0" fontId="70" fillId="0" borderId="0" applyNumberFormat="0" applyFill="0" applyBorder="0" applyAlignment="0" applyProtection="0"/>
    <xf numFmtId="0" fontId="71" fillId="6" borderId="0" applyNumberFormat="0" applyBorder="0" applyAlignment="0" applyProtection="0"/>
    <xf numFmtId="0" fontId="72" fillId="7" borderId="0" applyNumberFormat="0" applyBorder="0" applyAlignment="0" applyProtection="0"/>
    <xf numFmtId="0" fontId="73" fillId="8" borderId="0" applyNumberFormat="0" applyBorder="0" applyAlignment="0" applyProtection="0"/>
    <xf numFmtId="0" fontId="74" fillId="9" borderId="34" applyNumberFormat="0" applyAlignment="0" applyProtection="0"/>
    <xf numFmtId="0" fontId="75" fillId="10" borderId="35" applyNumberFormat="0" applyAlignment="0" applyProtection="0"/>
    <xf numFmtId="0" fontId="76" fillId="10" borderId="34" applyNumberFormat="0" applyAlignment="0" applyProtection="0"/>
    <xf numFmtId="0" fontId="77" fillId="0" borderId="36" applyNumberFormat="0" applyFill="0" applyAlignment="0" applyProtection="0"/>
    <xf numFmtId="0" fontId="78" fillId="11" borderId="37"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39" applyNumberFormat="0" applyFill="0" applyAlignment="0" applyProtection="0"/>
    <xf numFmtId="0" fontId="8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82" fillId="20" borderId="0" applyNumberFormat="0" applyBorder="0" applyAlignment="0" applyProtection="0"/>
    <xf numFmtId="0" fontId="8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82" fillId="24" borderId="0" applyNumberFormat="0" applyBorder="0" applyAlignment="0" applyProtection="0"/>
    <xf numFmtId="0" fontId="8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82" fillId="28" borderId="0" applyNumberFormat="0" applyBorder="0" applyAlignment="0" applyProtection="0"/>
    <xf numFmtId="0" fontId="8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82" fillId="32" borderId="0" applyNumberFormat="0" applyBorder="0" applyAlignment="0" applyProtection="0"/>
    <xf numFmtId="0" fontId="8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82"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cellStyleXfs>
  <cellXfs count="1160">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4"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10"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10" fontId="3" fillId="0" borderId="1" xfId="0" applyNumberFormat="1" applyFont="1" applyBorder="1" applyAlignment="1">
      <alignment horizontal="right"/>
    </xf>
    <xf numFmtId="10" fontId="3" fillId="0" borderId="0" xfId="0" applyNumberFormat="1" applyFont="1" applyBorder="1" applyAlignment="1">
      <alignment horizontal="right"/>
    </xf>
    <xf numFmtId="0" fontId="6" fillId="0" borderId="2" xfId="0" applyFont="1" applyBorder="1"/>
    <xf numFmtId="167" fontId="6" fillId="0" borderId="2" xfId="0" applyNumberFormat="1" applyFont="1" applyBorder="1"/>
    <xf numFmtId="0" fontId="0" fillId="0" borderId="2" xfId="0" applyBorder="1"/>
    <xf numFmtId="10" fontId="6" fillId="0" borderId="0" xfId="0" applyNumberFormat="1" applyFont="1" applyBorder="1" applyAlignment="1">
      <alignment horizontal="right"/>
    </xf>
    <xf numFmtId="168" fontId="14" fillId="0" borderId="0" xfId="0" applyNumberFormat="1" applyFont="1" applyAlignment="1"/>
    <xf numFmtId="164" fontId="3" fillId="0" borderId="0" xfId="0" applyNumberFormat="1" applyFont="1" applyBorder="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0" fontId="3" fillId="0" borderId="4" xfId="0" applyNumberFormat="1" applyFont="1" applyBorder="1" applyAlignment="1">
      <alignment horizontal="right"/>
    </xf>
    <xf numFmtId="164" fontId="14" fillId="0" borderId="0" xfId="0" applyNumberFormat="1" applyFont="1" applyAlignment="1"/>
    <xf numFmtId="3" fontId="14" fillId="0" borderId="0" xfId="0" applyNumberFormat="1" applyFont="1" applyAlignment="1"/>
    <xf numFmtId="10" fontId="6" fillId="0" borderId="5" xfId="0" applyNumberFormat="1" applyFont="1" applyBorder="1" applyAlignment="1">
      <alignment horizontal="right"/>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22" fillId="0" borderId="0" xfId="14" applyFont="1" applyProtection="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center"/>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0" fontId="25" fillId="0" borderId="0" xfId="14" applyFont="1" applyBorder="1" applyAlignment="1" applyProtection="1">
      <alignment horizontal="left"/>
    </xf>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22" fillId="0" borderId="0" xfId="16" applyFont="1"/>
    <xf numFmtId="0" fontId="3" fillId="0" borderId="0" xfId="16"/>
    <xf numFmtId="0" fontId="6" fillId="0" borderId="0" xfId="16" applyFont="1"/>
    <xf numFmtId="0" fontId="8" fillId="0" borderId="9" xfId="16" applyFont="1" applyBorder="1"/>
    <xf numFmtId="0" fontId="8" fillId="0" borderId="0" xfId="16" applyFont="1"/>
    <xf numFmtId="0" fontId="12" fillId="0" borderId="0" xfId="16" applyFont="1"/>
    <xf numFmtId="0" fontId="12" fillId="0" borderId="0" xfId="16" applyFont="1" applyProtection="1"/>
    <xf numFmtId="0" fontId="31" fillId="0" borderId="0" xfId="16" applyFont="1" applyAlignment="1">
      <alignment horizontal="center"/>
    </xf>
    <xf numFmtId="0" fontId="12" fillId="4" borderId="0" xfId="16" applyFont="1" applyFill="1"/>
    <xf numFmtId="0" fontId="24" fillId="4" borderId="0" xfId="16" applyFont="1" applyFill="1" applyAlignment="1">
      <alignment horizontal="center"/>
    </xf>
    <xf numFmtId="0" fontId="27" fillId="3" borderId="0" xfId="16" applyFont="1" applyFill="1" applyAlignment="1" applyProtection="1">
      <alignment horizontal="center"/>
    </xf>
    <xf numFmtId="0" fontId="24" fillId="3" borderId="0" xfId="16" applyFont="1" applyFill="1" applyAlignment="1">
      <alignment horizontal="center"/>
    </xf>
    <xf numFmtId="5" fontId="27" fillId="3" borderId="0" xfId="16" applyNumberFormat="1" applyFont="1" applyFill="1" applyAlignment="1" applyProtection="1">
      <alignment horizontal="center"/>
    </xf>
    <xf numFmtId="0" fontId="24" fillId="0" borderId="0" xfId="16" applyFont="1" applyAlignment="1">
      <alignment horizontal="center"/>
    </xf>
    <xf numFmtId="0" fontId="27" fillId="3" borderId="9" xfId="16" applyFont="1" applyFill="1" applyBorder="1" applyAlignment="1" applyProtection="1">
      <alignment horizontal="center"/>
    </xf>
    <xf numFmtId="0" fontId="27" fillId="3" borderId="9" xfId="16" applyFont="1" applyFill="1" applyBorder="1" applyAlignment="1">
      <alignment horizontal="center"/>
    </xf>
    <xf numFmtId="0" fontId="24" fillId="0" borderId="9" xfId="16" applyFont="1" applyBorder="1" applyAlignment="1">
      <alignment horizontal="center"/>
    </xf>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5" fontId="12" fillId="0" borderId="0" xfId="16" applyNumberFormat="1" applyFont="1" applyAlignment="1" applyProtection="1">
      <alignment horizontal="center"/>
    </xf>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3" fillId="0" borderId="0" xfId="16" applyFont="1"/>
    <xf numFmtId="0" fontId="34" fillId="0" borderId="0" xfId="16" applyFont="1"/>
    <xf numFmtId="0" fontId="35" fillId="0" borderId="0" xfId="16" applyFont="1" applyAlignment="1">
      <alignment horizontal="center"/>
    </xf>
    <xf numFmtId="0" fontId="12" fillId="0" borderId="0" xfId="0" applyFont="1"/>
    <xf numFmtId="44" fontId="2" fillId="0" borderId="0" xfId="3"/>
    <xf numFmtId="3" fontId="22" fillId="0" borderId="0" xfId="0" applyNumberFormat="1" applyFont="1" applyAlignme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40"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40"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37" fillId="0" borderId="0" xfId="0" applyNumberFormat="1" applyFont="1" applyFill="1" applyBorder="1" applyAlignment="1"/>
    <xf numFmtId="0" fontId="12" fillId="0" borderId="0" xfId="0" applyNumberFormat="1" applyFont="1" applyFill="1" applyBorder="1" applyAlignment="1"/>
    <xf numFmtId="0" fontId="12" fillId="0" borderId="0" xfId="0" applyNumberFormat="1" applyFont="1" applyAlignment="1"/>
    <xf numFmtId="0" fontId="22" fillId="0" borderId="0" xfId="0" applyNumberFormat="1" applyFont="1" applyAlignment="1"/>
    <xf numFmtId="0" fontId="14" fillId="0" borderId="10" xfId="0" applyNumberFormat="1" applyFont="1" applyFill="1" applyBorder="1" applyAlignment="1">
      <alignment horizontal="center"/>
    </xf>
    <xf numFmtId="3" fontId="2" fillId="0" borderId="0" xfId="0" applyNumberFormat="1" applyFont="1" applyAlignment="1">
      <alignment horizontal="center"/>
    </xf>
    <xf numFmtId="0" fontId="37" fillId="0" borderId="0" xfId="0" applyNumberFormat="1" applyFont="1" applyAlignment="1"/>
    <xf numFmtId="0" fontId="2" fillId="0" borderId="0" xfId="0" applyFont="1"/>
    <xf numFmtId="167" fontId="2" fillId="0" borderId="0" xfId="0" applyNumberFormat="1" applyFont="1" applyAlignment="1">
      <alignment horizontal="center"/>
    </xf>
    <xf numFmtId="0" fontId="41" fillId="0" borderId="0" xfId="0" applyFont="1" applyAlignment="1">
      <alignment horizontal="centerContinuous"/>
    </xf>
    <xf numFmtId="0" fontId="42" fillId="0" borderId="0" xfId="0" applyFont="1" applyAlignment="1">
      <alignment horizontal="centerContinuous"/>
    </xf>
    <xf numFmtId="0" fontId="21" fillId="0" borderId="0" xfId="0" applyFont="1"/>
    <xf numFmtId="0" fontId="35" fillId="0" borderId="0" xfId="0" applyFont="1"/>
    <xf numFmtId="0" fontId="21" fillId="0" borderId="0" xfId="0" applyFont="1" applyBorder="1"/>
    <xf numFmtId="0" fontId="21" fillId="0" borderId="0" xfId="0" applyFont="1" applyBorder="1" applyAlignment="1"/>
    <xf numFmtId="0" fontId="21" fillId="0" borderId="0" xfId="0" applyFont="1" applyBorder="1" applyAlignment="1">
      <alignment horizontal="center"/>
    </xf>
    <xf numFmtId="0" fontId="21" fillId="0" borderId="11" xfId="0" applyFont="1" applyBorder="1"/>
    <xf numFmtId="0" fontId="8" fillId="0" borderId="0" xfId="0" applyFont="1"/>
    <xf numFmtId="0" fontId="43" fillId="0" borderId="0" xfId="0" applyFont="1" applyAlignment="1"/>
    <xf numFmtId="0" fontId="44"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22" fillId="0" borderId="0" xfId="0" applyFont="1"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22" fillId="0" borderId="0" xfId="15" applyFont="1" applyProtection="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22" fillId="0" borderId="0" xfId="29" applyFont="1"/>
    <xf numFmtId="0" fontId="45" fillId="0" borderId="0" xfId="29"/>
    <xf numFmtId="0" fontId="6" fillId="0" borderId="0" xfId="29" applyFont="1"/>
    <xf numFmtId="0" fontId="45" fillId="0" borderId="15" xfId="29" applyFont="1" applyFill="1" applyBorder="1" applyAlignment="1"/>
    <xf numFmtId="0" fontId="24" fillId="0" borderId="15" xfId="29" applyFont="1" applyFill="1" applyBorder="1" applyAlignment="1">
      <alignment horizontal="center"/>
    </xf>
    <xf numFmtId="0" fontId="45" fillId="0" borderId="0" xfId="29" applyFill="1" applyBorder="1" applyAlignment="1"/>
    <xf numFmtId="5" fontId="45" fillId="0" borderId="0" xfId="29" applyNumberFormat="1" applyFont="1" applyFill="1" applyBorder="1" applyAlignment="1"/>
    <xf numFmtId="5" fontId="45" fillId="0" borderId="0" xfId="29" applyNumberFormat="1" applyFont="1" applyFill="1" applyBorder="1" applyAlignment="1">
      <alignment horizontal="right"/>
    </xf>
    <xf numFmtId="0" fontId="45" fillId="0" borderId="0" xfId="29" applyFill="1" applyBorder="1" applyAlignment="1">
      <alignment horizontal="left"/>
    </xf>
    <xf numFmtId="37" fontId="45" fillId="0" borderId="0" xfId="29" applyNumberFormat="1" applyFont="1" applyFill="1" applyBorder="1" applyAlignment="1"/>
    <xf numFmtId="37" fontId="45" fillId="0" borderId="0" xfId="29" applyNumberFormat="1" applyFont="1" applyFill="1" applyBorder="1" applyAlignment="1">
      <alignment horizontal="right"/>
    </xf>
    <xf numFmtId="37" fontId="12" fillId="0" borderId="0" xfId="18" applyNumberFormat="1" applyFont="1" applyAlignment="1">
      <alignment horizontal="right"/>
    </xf>
    <xf numFmtId="37" fontId="45" fillId="0" borderId="1" xfId="29" applyNumberFormat="1" applyFont="1" applyFill="1" applyBorder="1" applyAlignment="1"/>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5" fillId="0" borderId="0" xfId="29" applyNumberFormat="1" applyFill="1" applyBorder="1" applyAlignment="1"/>
    <xf numFmtId="0" fontId="45" fillId="0" borderId="0" xfId="29" applyFont="1" applyFill="1" applyBorder="1" applyAlignment="1"/>
    <xf numFmtId="5" fontId="12" fillId="0" borderId="0" xfId="18" applyNumberFormat="1" applyFont="1"/>
    <xf numFmtId="37" fontId="12" fillId="0" borderId="0" xfId="18" applyNumberFormat="1" applyFont="1"/>
    <xf numFmtId="37" fontId="45" fillId="0" borderId="0" xfId="29" applyNumberFormat="1"/>
    <xf numFmtId="37" fontId="45" fillId="0" borderId="0" xfId="29" applyNumberFormat="1" applyAlignment="1">
      <alignment horizontal="right"/>
    </xf>
    <xf numFmtId="0" fontId="24" fillId="0" borderId="15" xfId="29" applyFont="1" applyBorder="1"/>
    <xf numFmtId="5" fontId="24" fillId="0" borderId="15" xfId="29" applyNumberFormat="1" applyFont="1" applyBorder="1"/>
    <xf numFmtId="5" fontId="24" fillId="0" borderId="15" xfId="29" applyNumberFormat="1" applyFont="1" applyFill="1" applyBorder="1" applyAlignment="1"/>
    <xf numFmtId="0" fontId="22" fillId="0" borderId="0" xfId="30" applyFont="1" applyAlignment="1">
      <alignment horizontal="left"/>
    </xf>
    <xf numFmtId="0" fontId="24" fillId="0" borderId="0" xfId="30" applyFont="1" applyAlignment="1">
      <alignment horizontal="centerContinuous"/>
    </xf>
    <xf numFmtId="0" fontId="45" fillId="0" borderId="0" xfId="30"/>
    <xf numFmtId="0" fontId="6" fillId="0" borderId="0" xfId="30" applyFont="1" applyAlignment="1">
      <alignment horizontal="left"/>
    </xf>
    <xf numFmtId="0" fontId="45" fillId="0" borderId="0" xfId="30" applyAlignment="1">
      <alignment horizontal="centerContinuous"/>
    </xf>
    <xf numFmtId="0" fontId="45" fillId="0" borderId="0" xfId="30" applyAlignment="1">
      <alignment horizontal="left"/>
    </xf>
    <xf numFmtId="0" fontId="45" fillId="0" borderId="16" xfId="30" applyBorder="1"/>
    <xf numFmtId="0" fontId="45" fillId="0" borderId="0" xfId="30" applyBorder="1"/>
    <xf numFmtId="0" fontId="45" fillId="0" borderId="0" xfId="30" applyBorder="1" applyAlignment="1">
      <alignment horizontal="center"/>
    </xf>
    <xf numFmtId="0" fontId="24" fillId="0" borderId="1" xfId="30" applyFont="1" applyBorder="1" applyAlignment="1">
      <alignment horizontal="center"/>
    </xf>
    <xf numFmtId="0" fontId="24" fillId="0" borderId="1" xfId="30" applyFont="1" applyBorder="1" applyAlignment="1">
      <alignment horizontal="right"/>
    </xf>
    <xf numFmtId="0" fontId="24" fillId="0" borderId="0" xfId="30" applyFont="1" applyBorder="1" applyAlignment="1">
      <alignment horizontal="center"/>
    </xf>
    <xf numFmtId="0" fontId="45" fillId="0" borderId="0" xfId="29" applyBorder="1"/>
    <xf numFmtId="0" fontId="45" fillId="0" borderId="0" xfId="30" applyAlignment="1">
      <alignment horizontal="center"/>
    </xf>
    <xf numFmtId="3" fontId="45" fillId="0" borderId="0" xfId="30" applyNumberFormat="1"/>
    <xf numFmtId="3" fontId="45" fillId="0" borderId="0" xfId="1" applyNumberFormat="1" applyAlignment="1">
      <alignment horizontal="right"/>
    </xf>
    <xf numFmtId="3" fontId="45" fillId="0" borderId="0" xfId="1" applyNumberFormat="1"/>
    <xf numFmtId="0" fontId="0" fillId="0" borderId="0" xfId="0" applyNumberFormat="1" applyFont="1" applyAlignment="1"/>
    <xf numFmtId="0" fontId="46"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7"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20" fillId="0" borderId="0" xfId="22" applyFo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3" fontId="20" fillId="0" borderId="0" xfId="22" applyNumberFormat="1" applyFont="1"/>
    <xf numFmtId="0" fontId="17" fillId="0" borderId="16" xfId="22" applyNumberFormat="1" applyFont="1" applyFill="1" applyBorder="1" applyAlignment="1">
      <alignment horizontal="right" vertical="center" wrapText="1"/>
    </xf>
    <xf numFmtId="0" fontId="20" fillId="0" borderId="16" xfId="22" applyFont="1" applyBorder="1"/>
    <xf numFmtId="167" fontId="17" fillId="0" borderId="15" xfId="22" applyNumberFormat="1" applyFont="1" applyFill="1" applyBorder="1" applyAlignment="1">
      <alignment horizontal="right" vertical="center"/>
    </xf>
    <xf numFmtId="0" fontId="0" fillId="0" borderId="0" xfId="0" applyNumberFormat="1" applyFont="1" applyFill="1" applyAlignment="1"/>
    <xf numFmtId="168" fontId="0" fillId="0" borderId="0" xfId="0" applyNumberFormat="1" applyFont="1" applyAlignment="1"/>
    <xf numFmtId="167" fontId="10" fillId="0" borderId="0" xfId="0" applyNumberFormat="1" applyFont="1" applyFill="1" applyAlignment="1">
      <alignment horizontal="right"/>
    </xf>
    <xf numFmtId="0" fontId="20" fillId="0" borderId="0" xfId="22" applyFont="1" applyBorder="1"/>
    <xf numFmtId="177" fontId="17" fillId="0" borderId="15" xfId="22" applyNumberFormat="1" applyFont="1" applyFill="1" applyBorder="1" applyAlignment="1">
      <alignment horizontal="right" vertical="center"/>
    </xf>
    <xf numFmtId="167" fontId="20" fillId="0" borderId="0" xfId="22" applyNumberFormat="1" applyFont="1"/>
    <xf numFmtId="37" fontId="22" fillId="4" borderId="0" xfId="17" applyNumberFormat="1" applyFont="1" applyFill="1" applyAlignment="1" applyProtection="1">
      <alignment horizontal="left"/>
    </xf>
    <xf numFmtId="4" fontId="28" fillId="4" borderId="0" xfId="17" applyNumberFormat="1" applyFont="1" applyFill="1" applyProtection="1"/>
    <xf numFmtId="0" fontId="12" fillId="4" borderId="0" xfId="33" applyFont="1" applyFill="1"/>
    <xf numFmtId="0" fontId="12" fillId="4" borderId="0" xfId="33" applyFont="1" applyFill="1" applyBorder="1"/>
    <xf numFmtId="37" fontId="6" fillId="4" borderId="0" xfId="17" applyNumberFormat="1" applyFont="1" applyFill="1" applyAlignment="1" applyProtection="1">
      <alignment horizontal="left"/>
    </xf>
    <xf numFmtId="37" fontId="24" fillId="4" borderId="0" xfId="17" applyNumberFormat="1" applyFont="1" applyFill="1" applyAlignment="1" applyProtection="1">
      <alignment horizontal="left"/>
    </xf>
    <xf numFmtId="0" fontId="12" fillId="4" borderId="16" xfId="33" applyFont="1" applyFill="1" applyBorder="1" applyAlignment="1">
      <alignment horizontal="center"/>
    </xf>
    <xf numFmtId="4" fontId="12" fillId="4" borderId="16" xfId="33" applyNumberFormat="1" applyFont="1" applyFill="1" applyBorder="1" applyAlignment="1">
      <alignment horizontal="center"/>
    </xf>
    <xf numFmtId="0" fontId="24" fillId="4" borderId="1" xfId="33" applyFont="1" applyFill="1" applyBorder="1" applyAlignment="1">
      <alignment horizontal="left"/>
    </xf>
    <xf numFmtId="4" fontId="24" fillId="4" borderId="1" xfId="33" applyNumberFormat="1" applyFont="1" applyFill="1" applyBorder="1" applyAlignment="1">
      <alignment horizontal="right"/>
    </xf>
    <xf numFmtId="3" fontId="12" fillId="4" borderId="0" xfId="33" applyNumberFormat="1" applyFont="1" applyFill="1" applyBorder="1" applyAlignment="1"/>
    <xf numFmtId="10" fontId="12" fillId="4" borderId="0" xfId="38" applyNumberFormat="1" applyFont="1" applyFill="1"/>
    <xf numFmtId="5" fontId="24" fillId="4" borderId="8" xfId="17" applyNumberFormat="1" applyFont="1" applyFill="1" applyBorder="1" applyProtection="1"/>
    <xf numFmtId="167" fontId="24" fillId="4" borderId="8" xfId="17" applyNumberFormat="1" applyFont="1" applyFill="1" applyBorder="1" applyProtection="1"/>
    <xf numFmtId="5" fontId="24" fillId="4" borderId="0" xfId="17" applyNumberFormat="1" applyFont="1" applyFill="1" applyBorder="1" applyProtection="1"/>
    <xf numFmtId="167" fontId="12" fillId="4" borderId="0" xfId="17" applyNumberFormat="1" applyFont="1" applyFill="1" applyBorder="1" applyProtection="1"/>
    <xf numFmtId="3" fontId="12" fillId="4" borderId="0" xfId="33" applyNumberFormat="1" applyFont="1" applyFill="1" applyBorder="1"/>
    <xf numFmtId="0" fontId="12" fillId="4" borderId="13" xfId="33" applyFont="1" applyFill="1" applyBorder="1"/>
    <xf numFmtId="10" fontId="12" fillId="0" borderId="0" xfId="38" applyNumberFormat="1" applyFont="1" applyFill="1"/>
    <xf numFmtId="3" fontId="12" fillId="4" borderId="0" xfId="33" applyNumberFormat="1" applyFont="1" applyFill="1"/>
    <xf numFmtId="10" fontId="48" fillId="4" borderId="0" xfId="38" applyNumberFormat="1" applyFont="1" applyFill="1"/>
    <xf numFmtId="44" fontId="12" fillId="4" borderId="0" xfId="4" applyFont="1" applyFill="1"/>
    <xf numFmtId="0" fontId="22" fillId="4" borderId="0" xfId="32" applyNumberFormat="1" applyFont="1" applyFill="1" applyAlignment="1"/>
    <xf numFmtId="0" fontId="14" fillId="4" borderId="0" xfId="32" applyNumberFormat="1" applyFont="1" applyFill="1" applyAlignment="1"/>
    <xf numFmtId="167" fontId="14" fillId="4" borderId="0" xfId="38" applyNumberFormat="1" applyFont="1" applyFill="1" applyAlignment="1"/>
    <xf numFmtId="170" fontId="6" fillId="4" borderId="0" xfId="32" applyNumberFormat="1" applyFont="1" applyFill="1" applyAlignment="1"/>
    <xf numFmtId="0" fontId="23" fillId="4" borderId="0" xfId="31" applyNumberFormat="1" applyFont="1" applyFill="1" applyAlignment="1">
      <alignment horizontal="left" wrapText="1"/>
    </xf>
    <xf numFmtId="0" fontId="12" fillId="4" borderId="10" xfId="32" applyNumberFormat="1" applyFont="1" applyFill="1" applyBorder="1" applyAlignment="1"/>
    <xf numFmtId="3" fontId="24" fillId="4" borderId="10" xfId="32" applyNumberFormat="1" applyFont="1" applyFill="1" applyBorder="1" applyAlignment="1">
      <alignment horizontal="right"/>
    </xf>
    <xf numFmtId="167" fontId="24" fillId="4" borderId="10" xfId="32" applyNumberFormat="1" applyFont="1" applyFill="1" applyBorder="1" applyAlignment="1">
      <alignment horizontal="right"/>
    </xf>
    <xf numFmtId="0" fontId="12" fillId="4" borderId="0" xfId="32" applyFont="1" applyFill="1"/>
    <xf numFmtId="3" fontId="24" fillId="4" borderId="1" xfId="32" applyNumberFormat="1" applyFont="1" applyFill="1" applyBorder="1" applyAlignment="1">
      <alignment horizontal="left"/>
    </xf>
    <xf numFmtId="0" fontId="24" fillId="4" borderId="1" xfId="32" applyFont="1" applyFill="1" applyBorder="1" applyAlignment="1">
      <alignment horizontal="right"/>
    </xf>
    <xf numFmtId="0" fontId="24" fillId="4" borderId="1" xfId="32" applyNumberFormat="1" applyFont="1" applyFill="1" applyBorder="1" applyAlignment="1">
      <alignment horizontal="right"/>
    </xf>
    <xf numFmtId="3" fontId="24" fillId="4" borderId="0" xfId="32" applyNumberFormat="1" applyFont="1" applyFill="1" applyBorder="1" applyAlignment="1">
      <alignment horizontal="left"/>
    </xf>
    <xf numFmtId="0" fontId="24" fillId="4" borderId="0" xfId="32" applyFont="1" applyFill="1" applyBorder="1" applyAlignment="1">
      <alignment horizontal="right"/>
    </xf>
    <xf numFmtId="167" fontId="12" fillId="4" borderId="0" xfId="38" applyNumberFormat="1" applyFont="1" applyFill="1" applyBorder="1"/>
    <xf numFmtId="0" fontId="12" fillId="4" borderId="0" xfId="32" applyFont="1" applyFill="1" applyBorder="1"/>
    <xf numFmtId="167" fontId="12" fillId="4" borderId="0" xfId="32" applyNumberFormat="1" applyFont="1" applyFill="1" applyBorder="1"/>
    <xf numFmtId="167" fontId="12" fillId="4" borderId="0" xfId="32" applyNumberFormat="1" applyFont="1" applyFill="1"/>
    <xf numFmtId="167" fontId="12" fillId="4" borderId="0" xfId="38" applyNumberFormat="1" applyFont="1" applyFill="1"/>
    <xf numFmtId="3" fontId="12" fillId="4" borderId="0" xfId="32" applyNumberFormat="1" applyFont="1" applyFill="1" applyBorder="1"/>
    <xf numFmtId="3" fontId="12" fillId="4" borderId="0" xfId="32" applyNumberFormat="1" applyFont="1" applyFill="1"/>
    <xf numFmtId="3" fontId="12" fillId="4" borderId="0" xfId="38" applyNumberFormat="1" applyFont="1" applyFill="1"/>
    <xf numFmtId="170" fontId="24" fillId="4" borderId="0" xfId="32" applyNumberFormat="1" applyFont="1" applyFill="1" applyAlignment="1">
      <alignment horizontal="left"/>
    </xf>
    <xf numFmtId="3" fontId="24" fillId="4" borderId="0" xfId="32" applyNumberFormat="1" applyFont="1" applyFill="1" applyBorder="1" applyAlignment="1">
      <alignment horizontal="right"/>
    </xf>
    <xf numFmtId="3" fontId="12" fillId="4" borderId="0" xfId="32" applyNumberFormat="1" applyFont="1" applyFill="1" applyAlignment="1"/>
    <xf numFmtId="0" fontId="12" fillId="4" borderId="0" xfId="32" applyNumberFormat="1" applyFont="1" applyFill="1" applyAlignment="1"/>
    <xf numFmtId="3" fontId="12" fillId="4" borderId="0" xfId="38" applyNumberFormat="1" applyFont="1" applyFill="1" applyAlignment="1"/>
    <xf numFmtId="178" fontId="49" fillId="0" borderId="0" xfId="31"/>
    <xf numFmtId="3" fontId="12" fillId="4" borderId="1" xfId="32" applyNumberFormat="1" applyFont="1" applyFill="1" applyBorder="1"/>
    <xf numFmtId="3" fontId="24" fillId="4" borderId="15" xfId="32" applyNumberFormat="1" applyFont="1" applyFill="1" applyBorder="1" applyAlignment="1"/>
    <xf numFmtId="167" fontId="24" fillId="4" borderId="15" xfId="38" applyNumberFormat="1" applyFont="1" applyFill="1" applyBorder="1"/>
    <xf numFmtId="3" fontId="24" fillId="4" borderId="12" xfId="32" applyNumberFormat="1" applyFont="1" applyFill="1" applyBorder="1" applyAlignment="1"/>
    <xf numFmtId="167" fontId="12" fillId="4" borderId="0" xfId="32" applyNumberFormat="1" applyFont="1" applyFill="1" applyBorder="1" applyAlignment="1"/>
    <xf numFmtId="3" fontId="12" fillId="0" borderId="0" xfId="32" applyNumberFormat="1" applyFont="1" applyFill="1" applyBorder="1"/>
    <xf numFmtId="167" fontId="24" fillId="4" borderId="0" xfId="32" applyNumberFormat="1" applyFont="1" applyFill="1"/>
    <xf numFmtId="0" fontId="12" fillId="4" borderId="15" xfId="32" applyFont="1" applyFill="1" applyBorder="1"/>
    <xf numFmtId="167" fontId="24" fillId="4" borderId="0" xfId="38" applyNumberFormat="1" applyFont="1" applyFill="1"/>
    <xf numFmtId="3" fontId="24" fillId="4" borderId="0" xfId="32" applyNumberFormat="1" applyFont="1" applyFill="1" applyBorder="1" applyAlignment="1"/>
    <xf numFmtId="164" fontId="24" fillId="4" borderId="0" xfId="32" applyNumberFormat="1" applyFont="1" applyFill="1" applyBorder="1" applyAlignment="1">
      <alignment horizontal="right"/>
    </xf>
    <xf numFmtId="3" fontId="12" fillId="5" borderId="0" xfId="32" applyNumberFormat="1" applyFont="1" applyFill="1" applyBorder="1"/>
    <xf numFmtId="3" fontId="12" fillId="5" borderId="0" xfId="32" applyNumberFormat="1" applyFont="1" applyFill="1"/>
    <xf numFmtId="0" fontId="12" fillId="5" borderId="0" xfId="32" applyFont="1" applyFill="1"/>
    <xf numFmtId="0" fontId="12" fillId="4" borderId="0" xfId="17" applyFont="1" applyFill="1" applyAlignment="1" applyProtection="1">
      <alignment horizontal="left"/>
    </xf>
    <xf numFmtId="37" fontId="28" fillId="4" borderId="0" xfId="17" applyNumberFormat="1" applyFont="1" applyFill="1" applyProtection="1"/>
    <xf numFmtId="0" fontId="28" fillId="4" borderId="0" xfId="17" applyFont="1" applyFill="1" applyProtection="1"/>
    <xf numFmtId="37" fontId="12" fillId="4" borderId="0" xfId="17" applyNumberFormat="1" applyFont="1" applyFill="1" applyAlignment="1" applyProtection="1">
      <alignment horizontal="centerContinuous"/>
    </xf>
    <xf numFmtId="5" fontId="36" fillId="4" borderId="6" xfId="17" applyNumberFormat="1" applyFont="1" applyFill="1" applyBorder="1" applyProtection="1"/>
    <xf numFmtId="37" fontId="36" fillId="4" borderId="6" xfId="17" applyNumberFormat="1" applyFont="1" applyFill="1" applyBorder="1" applyAlignment="1" applyProtection="1">
      <alignment horizontal="center"/>
    </xf>
    <xf numFmtId="0" fontId="36" fillId="4" borderId="0" xfId="17" applyFont="1" applyFill="1" applyBorder="1" applyProtection="1"/>
    <xf numFmtId="0" fontId="36" fillId="4" borderId="6" xfId="17" applyFont="1" applyFill="1" applyBorder="1" applyProtection="1"/>
    <xf numFmtId="5" fontId="36" fillId="4" borderId="7" xfId="17" applyNumberFormat="1" applyFont="1" applyFill="1" applyBorder="1" applyAlignment="1" applyProtection="1">
      <alignment horizontal="center"/>
    </xf>
    <xf numFmtId="37" fontId="36" fillId="4" borderId="7" xfId="17" applyNumberFormat="1" applyFont="1" applyFill="1" applyBorder="1" applyAlignment="1" applyProtection="1">
      <alignment horizontal="center"/>
    </xf>
    <xf numFmtId="5" fontId="36" fillId="4" borderId="7" xfId="17" applyNumberFormat="1" applyFont="1" applyFill="1" applyBorder="1" applyProtection="1"/>
    <xf numFmtId="5" fontId="37" fillId="4" borderId="0" xfId="17" applyNumberFormat="1" applyFont="1" applyFill="1" applyBorder="1" applyProtection="1"/>
    <xf numFmtId="10" fontId="38" fillId="4" borderId="0" xfId="38" applyNumberFormat="1" applyFont="1" applyFill="1" applyBorder="1" applyProtection="1"/>
    <xf numFmtId="0" fontId="37" fillId="4" borderId="0" xfId="17" applyFont="1" applyFill="1" applyBorder="1" applyProtection="1"/>
    <xf numFmtId="10" fontId="38" fillId="4" borderId="0" xfId="38" applyNumberFormat="1" applyFont="1" applyFill="1" applyProtection="1"/>
    <xf numFmtId="37" fontId="37" fillId="4" borderId="0" xfId="17" applyNumberFormat="1" applyFont="1" applyFill="1" applyBorder="1" applyProtection="1"/>
    <xf numFmtId="5" fontId="37" fillId="4" borderId="1" xfId="17" applyNumberFormat="1" applyFont="1" applyFill="1" applyBorder="1" applyProtection="1"/>
    <xf numFmtId="37" fontId="37" fillId="4" borderId="1" xfId="17" applyNumberFormat="1" applyFont="1" applyFill="1" applyBorder="1" applyProtection="1"/>
    <xf numFmtId="0" fontId="37" fillId="4" borderId="1" xfId="17" applyFont="1" applyFill="1" applyBorder="1" applyProtection="1"/>
    <xf numFmtId="4" fontId="12" fillId="4" borderId="0" xfId="27" applyNumberFormat="1" applyFill="1"/>
    <xf numFmtId="37" fontId="37" fillId="4" borderId="0" xfId="17" applyNumberFormat="1" applyFont="1" applyFill="1" applyProtection="1"/>
    <xf numFmtId="0" fontId="37" fillId="4" borderId="0" xfId="17" applyFont="1" applyFill="1" applyProtection="1"/>
    <xf numFmtId="37" fontId="12" fillId="4" borderId="0" xfId="17" applyNumberFormat="1" applyFont="1" applyFill="1" applyProtection="1"/>
    <xf numFmtId="0" fontId="12" fillId="4" borderId="0" xfId="17" applyFont="1" applyFill="1" applyProtection="1"/>
    <xf numFmtId="5" fontId="37" fillId="4" borderId="6" xfId="17" applyNumberFormat="1" applyFont="1" applyFill="1" applyBorder="1" applyProtection="1"/>
    <xf numFmtId="0" fontId="37" fillId="4" borderId="6" xfId="17" applyFont="1" applyFill="1" applyBorder="1" applyProtection="1"/>
    <xf numFmtId="5" fontId="36" fillId="4" borderId="8" xfId="17" applyNumberFormat="1" applyFont="1" applyFill="1" applyBorder="1" applyProtection="1"/>
    <xf numFmtId="0" fontId="12" fillId="4" borderId="0" xfId="17" applyFont="1" applyFill="1" applyBorder="1" applyProtection="1"/>
    <xf numFmtId="37" fontId="12" fillId="4" borderId="0" xfId="17" applyNumberFormat="1" applyFont="1" applyFill="1" applyBorder="1" applyProtection="1"/>
    <xf numFmtId="0" fontId="36" fillId="4" borderId="8" xfId="17" applyFont="1" applyFill="1" applyBorder="1" applyProtection="1"/>
    <xf numFmtId="167" fontId="12" fillId="0" borderId="0" xfId="8" applyNumberFormat="1"/>
    <xf numFmtId="0" fontId="22" fillId="0" borderId="0" xfId="11" applyNumberFormat="1" applyFont="1" applyAlignment="1"/>
    <xf numFmtId="0" fontId="23" fillId="0" borderId="0" xfId="11" applyNumberFormat="1" applyFont="1" applyAlignment="1"/>
    <xf numFmtId="0" fontId="6" fillId="0" borderId="0" xfId="11" applyNumberFormat="1" applyFont="1" applyAlignment="1"/>
    <xf numFmtId="3" fontId="6" fillId="0" borderId="0" xfId="11" applyNumberFormat="1" applyFont="1" applyAlignment="1"/>
    <xf numFmtId="0" fontId="12" fillId="0" borderId="0" xfId="11" applyNumberFormat="1" applyFont="1" applyAlignment="1"/>
    <xf numFmtId="167" fontId="12" fillId="0" borderId="0" xfId="11" applyNumberFormat="1" applyFont="1"/>
    <xf numFmtId="0" fontId="12" fillId="0" borderId="0" xfId="11" applyFont="1"/>
    <xf numFmtId="3" fontId="12" fillId="0" borderId="0" xfId="11" applyNumberFormat="1" applyFont="1"/>
    <xf numFmtId="0" fontId="22" fillId="0" borderId="0" xfId="11" applyNumberFormat="1" applyFont="1" applyBorder="1" applyAlignment="1"/>
    <xf numFmtId="0" fontId="3" fillId="0" borderId="0" xfId="11"/>
    <xf numFmtId="3" fontId="12" fillId="0" borderId="0" xfId="11" applyNumberFormat="1" applyFont="1" applyBorder="1"/>
    <xf numFmtId="167" fontId="24" fillId="0" borderId="15" xfId="11" applyNumberFormat="1" applyFont="1" applyBorder="1"/>
    <xf numFmtId="0" fontId="12" fillId="0" borderId="0" xfId="11" applyNumberFormat="1" applyFont="1" applyBorder="1" applyAlignment="1"/>
    <xf numFmtId="167" fontId="24" fillId="0" borderId="0" xfId="11" applyNumberFormat="1" applyFont="1"/>
    <xf numFmtId="3" fontId="12" fillId="0" borderId="0" xfId="11" applyNumberFormat="1" applyFont="1" applyAlignment="1"/>
    <xf numFmtId="3" fontId="12" fillId="0" borderId="0" xfId="11" applyNumberFormat="1" applyFont="1" applyBorder="1" applyAlignment="1"/>
    <xf numFmtId="3" fontId="6" fillId="0" borderId="0" xfId="11" applyNumberFormat="1" applyFont="1" applyBorder="1" applyAlignment="1"/>
    <xf numFmtId="0" fontId="3" fillId="0" borderId="0" xfId="11" applyBorder="1"/>
    <xf numFmtId="3" fontId="24" fillId="0" borderId="1" xfId="11" applyNumberFormat="1" applyFont="1" applyBorder="1" applyAlignment="1">
      <alignment horizontal="center"/>
    </xf>
    <xf numFmtId="167" fontId="12" fillId="0" borderId="0" xfId="11" applyNumberFormat="1" applyFont="1" applyBorder="1"/>
    <xf numFmtId="0" fontId="6" fillId="0" borderId="0" xfId="11" applyNumberFormat="1" applyFont="1" applyBorder="1" applyAlignment="1"/>
    <xf numFmtId="3" fontId="51" fillId="0" borderId="0" xfId="11" applyNumberFormat="1" applyFont="1" applyBorder="1" applyAlignment="1"/>
    <xf numFmtId="3" fontId="24" fillId="0" borderId="0" xfId="11" applyNumberFormat="1" applyFont="1" applyBorder="1" applyAlignment="1"/>
    <xf numFmtId="3" fontId="24" fillId="0" borderId="0" xfId="11" applyNumberFormat="1" applyFont="1" applyBorder="1" applyAlignment="1">
      <alignment horizontal="center"/>
    </xf>
    <xf numFmtId="3" fontId="3" fillId="0" borderId="0" xfId="11" applyNumberFormat="1"/>
    <xf numFmtId="3" fontId="24" fillId="0" borderId="15" xfId="11" applyNumberFormat="1" applyFont="1" applyBorder="1"/>
    <xf numFmtId="3" fontId="12" fillId="0" borderId="1" xfId="11" applyNumberFormat="1" applyFont="1" applyBorder="1" applyAlignment="1"/>
    <xf numFmtId="3" fontId="24" fillId="0" borderId="0" xfId="11" applyNumberFormat="1" applyFont="1" applyBorder="1"/>
    <xf numFmtId="3" fontId="24" fillId="0" borderId="15" xfId="11" applyNumberFormat="1" applyFont="1" applyBorder="1" applyAlignment="1"/>
    <xf numFmtId="167" fontId="24" fillId="0" borderId="0" xfId="11" applyNumberFormat="1" applyFont="1" applyBorder="1"/>
    <xf numFmtId="0" fontId="23" fillId="0" borderId="0" xfId="11" applyFont="1"/>
    <xf numFmtId="3" fontId="22" fillId="0" borderId="0" xfId="11" applyNumberFormat="1" applyFont="1" applyAlignment="1"/>
    <xf numFmtId="3" fontId="24" fillId="0" borderId="16" xfId="11" applyNumberFormat="1" applyFont="1" applyBorder="1" applyAlignment="1">
      <alignment horizontal="center"/>
    </xf>
    <xf numFmtId="3" fontId="22" fillId="0" borderId="0" xfId="11" applyNumberFormat="1" applyFont="1" applyBorder="1" applyAlignment="1"/>
    <xf numFmtId="3" fontId="8" fillId="0" borderId="0" xfId="11" applyNumberFormat="1" applyFont="1" applyBorder="1" applyAlignment="1"/>
    <xf numFmtId="0" fontId="8" fillId="0" borderId="0" xfId="11" applyFont="1" applyBorder="1"/>
    <xf numFmtId="0" fontId="8" fillId="0" borderId="0" xfId="11" applyFont="1"/>
    <xf numFmtId="167" fontId="45" fillId="0" borderId="0" xfId="23" applyNumberFormat="1" applyFont="1" applyFill="1" applyBorder="1" applyAlignment="1">
      <alignment vertical="center"/>
    </xf>
    <xf numFmtId="3" fontId="45" fillId="0" borderId="0" xfId="23" applyNumberFormat="1" applyFont="1" applyFill="1" applyBorder="1" applyAlignment="1">
      <alignment vertical="center"/>
    </xf>
    <xf numFmtId="3" fontId="12" fillId="4" borderId="1" xfId="11" applyNumberFormat="1" applyFont="1" applyFill="1" applyBorder="1" applyAlignment="1"/>
    <xf numFmtId="167" fontId="12" fillId="0" borderId="0" xfId="11" applyNumberFormat="1" applyFont="1" applyBorder="1" applyAlignment="1"/>
    <xf numFmtId="0" fontId="22" fillId="0" borderId="0" xfId="25" applyFont="1" applyAlignment="1"/>
    <xf numFmtId="0" fontId="45" fillId="0" borderId="0" xfId="25"/>
    <xf numFmtId="0" fontId="22" fillId="0" borderId="0" xfId="25" applyFont="1" applyAlignment="1">
      <alignment horizontal="right"/>
    </xf>
    <xf numFmtId="0" fontId="45" fillId="0" borderId="0" xfId="25" applyAlignment="1"/>
    <xf numFmtId="0" fontId="45" fillId="0" borderId="0" xfId="25" applyAlignment="1">
      <alignment horizontal="right"/>
    </xf>
    <xf numFmtId="0" fontId="24" fillId="0" borderId="0" xfId="25" applyFont="1"/>
    <xf numFmtId="0" fontId="6" fillId="0" borderId="0" xfId="25" applyFont="1" applyAlignment="1"/>
    <xf numFmtId="0" fontId="45" fillId="0" borderId="0" xfId="25" applyAlignment="1">
      <alignment wrapText="1"/>
    </xf>
    <xf numFmtId="0" fontId="45"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5" fillId="0" borderId="0" xfId="25" applyNumberFormat="1" applyAlignment="1">
      <alignment horizontal="right"/>
    </xf>
    <xf numFmtId="167" fontId="45" fillId="0" borderId="0" xfId="25" applyNumberFormat="1"/>
    <xf numFmtId="3" fontId="45" fillId="0" borderId="0" xfId="25" applyNumberFormat="1"/>
    <xf numFmtId="0" fontId="45" fillId="0" borderId="0" xfId="25" applyFont="1" applyAlignment="1"/>
    <xf numFmtId="0" fontId="0" fillId="0" borderId="0" xfId="25" applyFont="1" applyAlignment="1"/>
    <xf numFmtId="3" fontId="0" fillId="0" borderId="0" xfId="25" applyNumberFormat="1" applyFont="1" applyAlignment="1">
      <alignment horizontal="right"/>
    </xf>
    <xf numFmtId="3" fontId="45" fillId="0" borderId="0" xfId="25" applyNumberFormat="1" applyFont="1"/>
    <xf numFmtId="0" fontId="45"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5" fillId="0" borderId="0" xfId="25" applyNumberFormat="1"/>
    <xf numFmtId="0" fontId="45"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24" fillId="0" borderId="30" xfId="20" applyFont="1" applyBorder="1" applyAlignment="1">
      <alignment horizontal="center"/>
    </xf>
    <xf numFmtId="0" fontId="12" fillId="0" borderId="27" xfId="20" applyFont="1" applyBorder="1" applyAlignment="1">
      <alignment horizontal="center"/>
    </xf>
    <xf numFmtId="0" fontId="12" fillId="0" borderId="27" xfId="20" applyFont="1" applyBorder="1" applyAlignment="1">
      <alignment horizontal="right"/>
    </xf>
    <xf numFmtId="173" fontId="12" fillId="0" borderId="0" xfId="19" applyNumberFormat="1" applyFont="1"/>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5" fillId="0" borderId="0" xfId="25" applyNumberFormat="1" applyBorder="1" applyAlignment="1"/>
    <xf numFmtId="3" fontId="45" fillId="0" borderId="26" xfId="25" applyNumberFormat="1" applyBorder="1" applyAlignment="1"/>
    <xf numFmtId="0" fontId="45"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2" fillId="0" borderId="0" xfId="21" applyFont="1" applyAlignment="1">
      <alignment horizontal="left"/>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3"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3" fillId="0" borderId="0" xfId="21" applyFont="1" applyBorder="1"/>
    <xf numFmtId="3" fontId="12" fillId="0" borderId="0" xfId="21" applyNumberFormat="1" applyFont="1" applyFill="1"/>
    <xf numFmtId="0" fontId="53"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3" fillId="0" borderId="0" xfId="21" applyNumberFormat="1" applyFont="1"/>
    <xf numFmtId="10" fontId="62" fillId="0" borderId="0" xfId="36" applyNumberFormat="1" applyFont="1"/>
    <xf numFmtId="0" fontId="55" fillId="0" borderId="0" xfId="28" applyFont="1"/>
    <xf numFmtId="0" fontId="20" fillId="0" borderId="0" xfId="28" applyFont="1"/>
    <xf numFmtId="0" fontId="56" fillId="0" borderId="20" xfId="28" applyFont="1" applyBorder="1"/>
    <xf numFmtId="0" fontId="56" fillId="0" borderId="20" xfId="28" applyFont="1" applyBorder="1" applyAlignment="1">
      <alignment horizontal="center"/>
    </xf>
    <xf numFmtId="0" fontId="56" fillId="0" borderId="0" xfId="28" applyFont="1" applyBorder="1"/>
    <xf numFmtId="0" fontId="56" fillId="0" borderId="0" xfId="28" applyFont="1" applyBorder="1" applyAlignment="1">
      <alignment horizontal="center"/>
    </xf>
    <xf numFmtId="0" fontId="19" fillId="0" borderId="0" xfId="28"/>
    <xf numFmtId="167" fontId="20" fillId="0" borderId="0" xfId="28" applyNumberFormat="1" applyFont="1"/>
    <xf numFmtId="3" fontId="20" fillId="0" borderId="0" xfId="28" applyNumberFormat="1" applyFont="1"/>
    <xf numFmtId="0" fontId="19" fillId="0" borderId="0" xfId="28" applyAlignment="1">
      <alignment horizontal="left" indent="1"/>
    </xf>
    <xf numFmtId="3" fontId="20" fillId="0" borderId="0" xfId="28" applyNumberFormat="1" applyFont="1" applyFill="1"/>
    <xf numFmtId="0" fontId="56" fillId="0" borderId="15" xfId="28" applyFont="1" applyBorder="1"/>
    <xf numFmtId="167" fontId="56" fillId="0" borderId="15" xfId="28" applyNumberFormat="1" applyFont="1" applyBorder="1"/>
    <xf numFmtId="0" fontId="35"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4" fillId="0" borderId="0" xfId="10" applyFont="1" applyBorder="1" applyAlignment="1">
      <alignment horizontal="left"/>
    </xf>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5" fontId="23" fillId="0" borderId="0" xfId="6" applyNumberFormat="1" applyFont="1" applyFill="1" applyBorder="1"/>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0" fontId="23" fillId="0" borderId="0" xfId="10" applyNumberFormat="1" applyFont="1" applyBorder="1" applyAlignment="1">
      <alignment horizontal="center"/>
    </xf>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10" fontId="25" fillId="0" borderId="0" xfId="38" applyNumberFormat="1" applyFont="1"/>
    <xf numFmtId="0" fontId="24" fillId="0" borderId="0" xfId="10" applyFont="1"/>
    <xf numFmtId="10" fontId="24" fillId="0" borderId="0" xfId="38" applyNumberFormat="1" applyFont="1"/>
    <xf numFmtId="0" fontId="25" fillId="0" borderId="16" xfId="10" applyFont="1" applyBorder="1" applyAlignment="1">
      <alignment horizontal="center"/>
    </xf>
    <xf numFmtId="10" fontId="23" fillId="0" borderId="0" xfId="38" applyNumberFormat="1" applyFont="1"/>
    <xf numFmtId="167" fontId="23" fillId="0" borderId="0" xfId="9" applyNumberFormat="1" applyFont="1"/>
    <xf numFmtId="10" fontId="23" fillId="0" borderId="0" xfId="9" applyNumberFormat="1" applyFont="1"/>
    <xf numFmtId="3" fontId="23" fillId="0" borderId="0" xfId="9" applyNumberFormat="1" applyFont="1" applyFill="1"/>
    <xf numFmtId="10" fontId="23" fillId="0" borderId="0" xfId="9" applyNumberFormat="1" applyFont="1" applyFill="1"/>
    <xf numFmtId="0" fontId="12" fillId="0" borderId="0" xfId="10" applyFont="1"/>
    <xf numFmtId="10" fontId="12" fillId="0" borderId="0" xfId="38" applyNumberFormat="1" applyFont="1"/>
    <xf numFmtId="3" fontId="23" fillId="0" borderId="0" xfId="9" applyNumberFormat="1" applyFont="1" applyBorder="1"/>
    <xf numFmtId="10" fontId="23" fillId="0" borderId="0" xfId="9" applyNumberFormat="1" applyFont="1" applyBorder="1"/>
    <xf numFmtId="10" fontId="23" fillId="0" borderId="0" xfId="10" applyNumberFormat="1" applyFont="1" applyBorder="1"/>
    <xf numFmtId="0" fontId="25" fillId="0" borderId="15" xfId="10" applyFont="1" applyBorder="1"/>
    <xf numFmtId="10" fontId="25" fillId="0" borderId="15" xfId="38" applyNumberFormat="1" applyFont="1" applyBorder="1"/>
    <xf numFmtId="0" fontId="25" fillId="0" borderId="13" xfId="10" applyFont="1" applyBorder="1"/>
    <xf numFmtId="167" fontId="25" fillId="0" borderId="13" xfId="10" applyNumberFormat="1" applyFont="1" applyBorder="1"/>
    <xf numFmtId="10" fontId="25" fillId="0" borderId="13" xfId="38" applyNumberFormat="1" applyFont="1" applyBorder="1"/>
    <xf numFmtId="0" fontId="23" fillId="0" borderId="19" xfId="10" applyFont="1" applyBorder="1"/>
    <xf numFmtId="10" fontId="23" fillId="0" borderId="0" xfId="10" applyNumberFormat="1" applyFont="1"/>
    <xf numFmtId="167" fontId="25" fillId="0" borderId="0" xfId="10" applyNumberFormat="1" applyFont="1"/>
    <xf numFmtId="10" fontId="25" fillId="0" borderId="0" xfId="38" applyNumberFormat="1" applyFont="1" applyBorder="1"/>
    <xf numFmtId="0" fontId="35" fillId="0" borderId="0" xfId="10" applyFont="1" applyBorder="1"/>
    <xf numFmtId="3" fontId="25" fillId="0" borderId="0" xfId="10" applyNumberFormat="1" applyFont="1"/>
    <xf numFmtId="0" fontId="24" fillId="0" borderId="0" xfId="10" applyFont="1" applyAlignment="1">
      <alignment horizontal="left"/>
    </xf>
    <xf numFmtId="0" fontId="25" fillId="0" borderId="0" xfId="10" applyFont="1" applyAlignment="1">
      <alignment horizontal="left"/>
    </xf>
    <xf numFmtId="10" fontId="25" fillId="0" borderId="0" xfId="38" applyNumberFormat="1" applyFont="1" applyAlignment="1">
      <alignment horizontal="left"/>
    </xf>
    <xf numFmtId="10" fontId="25" fillId="0" borderId="0" xfId="38" applyNumberFormat="1" applyFont="1" applyBorder="1" applyAlignment="1">
      <alignment horizontal="left"/>
    </xf>
    <xf numFmtId="10" fontId="25" fillId="0" borderId="0" xfId="38" applyNumberFormat="1" applyFont="1" applyAlignment="1">
      <alignment horizontal="center"/>
    </xf>
    <xf numFmtId="0" fontId="25" fillId="0" borderId="1" xfId="10" applyFont="1" applyBorder="1"/>
    <xf numFmtId="3" fontId="25" fillId="0" borderId="1" xfId="10" applyNumberFormat="1" applyFont="1" applyBorder="1" applyAlignment="1">
      <alignment horizontal="center"/>
    </xf>
    <xf numFmtId="10" fontId="25" fillId="0" borderId="0" xfId="38" applyNumberFormat="1" applyFont="1" applyBorder="1" applyAlignment="1">
      <alignment horizontal="center"/>
    </xf>
    <xf numFmtId="167" fontId="23" fillId="0" borderId="0" xfId="9" quotePrefix="1" applyNumberFormat="1" applyFont="1" applyAlignment="1">
      <alignment horizontal="right"/>
    </xf>
    <xf numFmtId="167" fontId="23" fillId="0" borderId="0" xfId="10" applyNumberFormat="1" applyFont="1" applyAlignment="1">
      <alignment horizontal="right"/>
    </xf>
    <xf numFmtId="167" fontId="23" fillId="0" borderId="0" xfId="9" quotePrefix="1" applyNumberFormat="1" applyFont="1" applyBorder="1" applyAlignment="1">
      <alignment horizontal="right"/>
    </xf>
    <xf numFmtId="10" fontId="23" fillId="0" borderId="0" xfId="38" quotePrefix="1" applyNumberFormat="1" applyFont="1" applyBorder="1" applyAlignment="1">
      <alignment horizontal="right"/>
    </xf>
    <xf numFmtId="3" fontId="23" fillId="0" borderId="0" xfId="9" quotePrefix="1" applyNumberFormat="1" applyFont="1" applyAlignment="1">
      <alignment horizontal="right"/>
    </xf>
    <xf numFmtId="3" fontId="23" fillId="0" borderId="0" xfId="10" applyNumberFormat="1" applyFont="1" applyAlignment="1">
      <alignment horizontal="right"/>
    </xf>
    <xf numFmtId="3" fontId="23" fillId="0" borderId="0" xfId="9" quotePrefix="1" applyNumberFormat="1" applyFont="1" applyBorder="1" applyAlignment="1">
      <alignment horizontal="right"/>
    </xf>
    <xf numFmtId="0" fontId="23" fillId="0" borderId="0" xfId="10" applyFont="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3" fontId="23" fillId="0" borderId="0" xfId="9" applyNumberFormat="1" applyFont="1" applyAlignment="1">
      <alignment horizontal="right"/>
    </xf>
    <xf numFmtId="0" fontId="23" fillId="0" borderId="0" xfId="9" applyNumberFormat="1" applyFont="1"/>
    <xf numFmtId="0" fontId="23" fillId="0" borderId="0" xfId="9" quotePrefix="1" applyNumberFormat="1" applyFont="1" applyAlignment="1">
      <alignment horizontal="right"/>
    </xf>
    <xf numFmtId="0" fontId="23" fillId="0" borderId="0" xfId="9" applyFont="1"/>
    <xf numFmtId="0" fontId="23" fillId="0" borderId="0" xfId="9" applyNumberFormat="1" applyFont="1" applyAlignment="1">
      <alignment horizontal="left"/>
    </xf>
    <xf numFmtId="0" fontId="23" fillId="0" borderId="0" xfId="9" applyFont="1" applyAlignment="1">
      <alignment horizontal="right"/>
    </xf>
    <xf numFmtId="0" fontId="23" fillId="0" borderId="0" xfId="9" quotePrefix="1" applyNumberFormat="1" applyFont="1" applyBorder="1" applyAlignment="1">
      <alignment horizontal="right"/>
    </xf>
    <xf numFmtId="3" fontId="23" fillId="0" borderId="0" xfId="9" applyNumberFormat="1" applyFont="1" applyBorder="1" applyAlignment="1">
      <alignment horizontal="right"/>
    </xf>
    <xf numFmtId="10" fontId="23" fillId="0" borderId="0" xfId="38" applyNumberFormat="1" applyFont="1" applyAlignment="1">
      <alignment horizontal="right"/>
    </xf>
    <xf numFmtId="10" fontId="24" fillId="0" borderId="0" xfId="38" applyNumberFormat="1" applyFont="1" applyAlignment="1">
      <alignment horizontal="left"/>
    </xf>
    <xf numFmtId="10" fontId="24" fillId="0" borderId="0" xfId="38" applyNumberFormat="1" applyFont="1" applyBorder="1" applyAlignment="1">
      <alignment horizontal="left"/>
    </xf>
    <xf numFmtId="3" fontId="23" fillId="0" borderId="19" xfId="10" applyNumberFormat="1" applyFont="1" applyBorder="1"/>
    <xf numFmtId="10" fontId="23" fillId="0" borderId="0" xfId="38" applyNumberFormat="1" applyFont="1" applyBorder="1"/>
    <xf numFmtId="167" fontId="23" fillId="0" borderId="0" xfId="9" applyNumberFormat="1" applyFont="1" applyAlignment="1">
      <alignment horizontal="right"/>
    </xf>
    <xf numFmtId="10" fontId="23" fillId="0" borderId="0" xfId="38" applyNumberFormat="1" applyFont="1" applyBorder="1" applyAlignment="1">
      <alignment horizontal="left"/>
    </xf>
    <xf numFmtId="10" fontId="23" fillId="0" borderId="0" xfId="38" applyNumberFormat="1" applyFont="1" applyAlignment="1">
      <alignment horizontal="left"/>
    </xf>
    <xf numFmtId="0" fontId="24" fillId="0" borderId="0" xfId="10" applyFont="1" applyAlignment="1"/>
    <xf numFmtId="0" fontId="12" fillId="0" borderId="0" xfId="10" applyAlignment="1"/>
    <xf numFmtId="0" fontId="24" fillId="0" borderId="0" xfId="10" applyFont="1" applyAlignment="1">
      <alignment horizontal="center"/>
    </xf>
    <xf numFmtId="0" fontId="12" fillId="0" borderId="0" xfId="10" applyAlignment="1">
      <alignment horizontal="center"/>
    </xf>
    <xf numFmtId="0" fontId="24" fillId="0" borderId="1" xfId="10" applyFont="1" applyBorder="1" applyAlignment="1">
      <alignment horizontal="center"/>
    </xf>
    <xf numFmtId="0" fontId="12" fillId="0" borderId="0" xfId="10" applyFont="1" applyAlignment="1"/>
    <xf numFmtId="0" fontId="12" fillId="0" borderId="0" xfId="10" applyBorder="1" applyAlignment="1">
      <alignment horizontal="left"/>
    </xf>
    <xf numFmtId="167" fontId="12" fillId="0" borderId="0" xfId="10" applyNumberFormat="1" applyBorder="1" applyAlignment="1"/>
    <xf numFmtId="168" fontId="12" fillId="0" borderId="0" xfId="10" applyNumberFormat="1" applyAlignment="1"/>
    <xf numFmtId="3" fontId="12" fillId="0" borderId="0" xfId="10" applyNumberFormat="1" applyBorder="1" applyAlignment="1"/>
    <xf numFmtId="3" fontId="12" fillId="0" borderId="0" xfId="10" applyNumberFormat="1" applyFont="1" applyBorder="1" applyAlignment="1"/>
    <xf numFmtId="0" fontId="12" fillId="0" borderId="0" xfId="10" applyBorder="1" applyAlignment="1"/>
    <xf numFmtId="0" fontId="12" fillId="0" borderId="1" xfId="10" applyBorder="1" applyAlignment="1">
      <alignment horizontal="left"/>
    </xf>
    <xf numFmtId="3" fontId="12" fillId="0" borderId="1" xfId="10" applyNumberFormat="1" applyBorder="1" applyAlignment="1"/>
    <xf numFmtId="4" fontId="12" fillId="0" borderId="0" xfId="10" applyNumberFormat="1" applyBorder="1" applyAlignment="1"/>
    <xf numFmtId="4" fontId="12" fillId="0" borderId="1" xfId="10" applyNumberFormat="1" applyBorder="1" applyAlignment="1"/>
    <xf numFmtId="0" fontId="31" fillId="0" borderId="0" xfId="0" applyFont="1"/>
    <xf numFmtId="0" fontId="39"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2" fillId="0" borderId="0" xfId="8" applyNumberFormat="1" applyFont="1" applyFill="1" applyAlignment="1">
      <alignment horizontal="left"/>
    </xf>
    <xf numFmtId="0" fontId="32" fillId="0" borderId="0" xfId="8" applyNumberFormat="1" applyFont="1" applyAlignment="1"/>
    <xf numFmtId="0" fontId="3" fillId="0" borderId="0" xfId="8" applyNumberFormat="1" applyFont="1" applyAlignment="1"/>
    <xf numFmtId="0" fontId="5" fillId="0" borderId="0" xfId="8" applyNumberFormat="1" applyFont="1" applyAlignment="1"/>
    <xf numFmtId="0" fontId="58" fillId="0" borderId="0" xfId="8" applyNumberFormat="1" applyFont="1" applyAlignment="1">
      <alignment horizontal="center"/>
    </xf>
    <xf numFmtId="0" fontId="6" fillId="0" borderId="0" xfId="8" applyNumberFormat="1" applyFont="1" applyFill="1" applyAlignment="1">
      <alignment horizontal="center"/>
    </xf>
    <xf numFmtId="0" fontId="9" fillId="0" borderId="0" xfId="8" applyNumberFormat="1" applyFont="1" applyFill="1" applyAlignment="1">
      <alignment horizontal="left"/>
    </xf>
    <xf numFmtId="3" fontId="6" fillId="0" borderId="0" xfId="8" applyNumberFormat="1" applyFont="1" applyFill="1" applyAlignment="1">
      <alignment horizontal="center"/>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2"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2" fillId="0" borderId="0" xfId="8" applyNumberFormat="1" applyFont="1" applyFill="1" applyAlignment="1">
      <alignment horizontal="left"/>
    </xf>
    <xf numFmtId="0" fontId="32" fillId="0" borderId="0" xfId="8" applyNumberFormat="1" applyFont="1" applyAlignment="1">
      <alignment horizontal="left"/>
    </xf>
    <xf numFmtId="0" fontId="59"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8" fillId="0" borderId="0" xfId="8" applyNumberFormat="1" applyFont="1" applyAlignment="1"/>
    <xf numFmtId="10" fontId="12" fillId="0" borderId="0" xfId="8" applyNumberFormat="1" applyFont="1" applyFill="1" applyAlignment="1"/>
    <xf numFmtId="1" fontId="32" fillId="0" borderId="0" xfId="8" applyNumberFormat="1" applyFont="1" applyAlignment="1"/>
    <xf numFmtId="4" fontId="32"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0" fontId="12" fillId="0" borderId="0" xfId="35" applyNumberFormat="1" applyFont="1" applyAlignment="1"/>
    <xf numFmtId="0" fontId="12" fillId="0" borderId="0" xfId="35" applyNumberFormat="1" applyFont="1" applyAlignment="1">
      <alignment horizontal="center"/>
    </xf>
    <xf numFmtId="3" fontId="12" fillId="0" borderId="0" xfId="35" applyNumberFormat="1" applyFont="1" applyAlignment="1">
      <alignment horizontal="right"/>
    </xf>
    <xf numFmtId="3" fontId="12" fillId="0" borderId="0" xfId="35" applyNumberFormat="1"/>
    <xf numFmtId="0" fontId="6" fillId="0" borderId="0" xfId="35" applyNumberFormat="1" applyFont="1" applyAlignment="1">
      <alignment horizontal="center"/>
    </xf>
    <xf numFmtId="3" fontId="12" fillId="0" borderId="0" xfId="35" applyNumberFormat="1" applyFont="1" applyAlignment="1"/>
    <xf numFmtId="0" fontId="6" fillId="0" borderId="0" xfId="35" applyNumberFormat="1" applyFont="1" applyAlignment="1"/>
    <xf numFmtId="0" fontId="12" fillId="0" borderId="0" xfId="35" applyNumberFormat="1"/>
    <xf numFmtId="169" fontId="12" fillId="0" borderId="0" xfId="35" applyNumberFormat="1" applyFont="1" applyAlignment="1"/>
    <xf numFmtId="164" fontId="6" fillId="0" borderId="0" xfId="35" applyNumberFormat="1" applyFont="1" applyAlignment="1">
      <alignment horizontal="right"/>
    </xf>
    <xf numFmtId="10" fontId="6" fillId="0" borderId="0" xfId="35" applyNumberFormat="1" applyFont="1" applyAlignment="1">
      <alignment horizontal="right"/>
    </xf>
    <xf numFmtId="3" fontId="6" fillId="0" borderId="0" xfId="35" applyNumberFormat="1" applyFont="1" applyAlignment="1">
      <alignment horizontal="right"/>
    </xf>
    <xf numFmtId="3" fontId="6" fillId="0" borderId="0" xfId="35" applyNumberFormat="1" applyFont="1" applyAlignment="1"/>
    <xf numFmtId="164" fontId="6" fillId="0" borderId="0" xfId="35" applyNumberFormat="1" applyFont="1" applyBorder="1" applyAlignment="1">
      <alignment horizontal="right"/>
    </xf>
    <xf numFmtId="10" fontId="6" fillId="0" borderId="0" xfId="35" applyNumberFormat="1" applyFont="1" applyBorder="1" applyAlignment="1">
      <alignment horizontal="right"/>
    </xf>
    <xf numFmtId="3" fontId="6" fillId="0" borderId="0" xfId="35" applyNumberFormat="1" applyFont="1" applyBorder="1" applyAlignment="1">
      <alignment horizontal="right"/>
    </xf>
    <xf numFmtId="0" fontId="6" fillId="0" borderId="0" xfId="35" applyNumberFormat="1" applyFont="1" applyBorder="1" applyAlignment="1"/>
    <xf numFmtId="3" fontId="12" fillId="0" borderId="0" xfId="35" applyNumberFormat="1" applyFont="1" applyBorder="1" applyAlignment="1"/>
    <xf numFmtId="177" fontId="12" fillId="0" borderId="0" xfId="22" applyNumberFormat="1" applyFont="1" applyFill="1" applyBorder="1" applyAlignment="1">
      <alignment horizontal="right" vertical="center"/>
    </xf>
    <xf numFmtId="176" fontId="12" fillId="0" borderId="0" xfId="22" applyNumberFormat="1" applyFont="1" applyFill="1" applyBorder="1" applyAlignment="1">
      <alignment horizontal="right" vertical="center"/>
    </xf>
    <xf numFmtId="167" fontId="12" fillId="0" borderId="0" xfId="35" applyNumberFormat="1"/>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0" fontId="6" fillId="0" borderId="1" xfId="35" applyNumberFormat="1" applyFont="1" applyBorder="1" applyAlignment="1">
      <alignment horizontal="center"/>
    </xf>
    <xf numFmtId="3" fontId="6" fillId="0" borderId="1" xfId="35" applyNumberFormat="1" applyFont="1" applyBorder="1" applyAlignment="1">
      <alignment horizontal="right"/>
    </xf>
    <xf numFmtId="3" fontId="6" fillId="0" borderId="1" xfId="35" applyNumberFormat="1" applyFont="1" applyBorder="1" applyAlignment="1">
      <alignment horizontal="center"/>
    </xf>
    <xf numFmtId="0" fontId="6" fillId="0" borderId="0" xfId="35" applyNumberFormat="1" applyFont="1" applyBorder="1" applyAlignment="1">
      <alignment horizontal="center"/>
    </xf>
    <xf numFmtId="0" fontId="6" fillId="0" borderId="16" xfId="35" applyNumberFormat="1" applyFont="1" applyBorder="1" applyAlignment="1">
      <alignment horizontal="center"/>
    </xf>
    <xf numFmtId="0" fontId="6" fillId="0" borderId="16" xfId="35" applyNumberFormat="1" applyFont="1" applyBorder="1" applyAlignment="1"/>
    <xf numFmtId="3" fontId="22" fillId="0" borderId="0" xfId="35" applyNumberFormat="1" applyFont="1" applyAlignment="1"/>
    <xf numFmtId="0" fontId="12" fillId="0" borderId="0" xfId="35" applyNumberFormat="1" applyFont="1" applyAlignment="1">
      <alignment horizontal="right"/>
    </xf>
    <xf numFmtId="167" fontId="12" fillId="0" borderId="0" xfId="35" applyNumberFormat="1" applyFont="1" applyAlignment="1"/>
    <xf numFmtId="167" fontId="12" fillId="0" borderId="0" xfId="35" applyNumberFormat="1" applyFont="1" applyAlignment="1">
      <alignment horizontal="right"/>
    </xf>
    <xf numFmtId="0" fontId="12" fillId="0" borderId="0" xfId="35" applyFont="1"/>
    <xf numFmtId="0" fontId="6" fillId="0" borderId="0" xfId="35" applyNumberFormat="1" applyFont="1" applyBorder="1" applyAlignment="1">
      <alignment horizontal="right"/>
    </xf>
    <xf numFmtId="0" fontId="6" fillId="0" borderId="1" xfId="35" applyNumberFormat="1" applyFont="1" applyBorder="1" applyAlignment="1">
      <alignment horizontal="right"/>
    </xf>
    <xf numFmtId="0" fontId="6" fillId="0" borderId="16" xfId="35" applyNumberFormat="1" applyFont="1" applyBorder="1" applyAlignment="1">
      <alignment horizontal="right"/>
    </xf>
    <xf numFmtId="0" fontId="22" fillId="0" borderId="0" xfId="35" applyNumberFormat="1" applyFont="1" applyAlignment="1"/>
    <xf numFmtId="9" fontId="20" fillId="0" borderId="0" xfId="38" applyNumberFormat="1" applyFont="1"/>
    <xf numFmtId="169" fontId="20" fillId="0" borderId="0" xfId="38" applyNumberFormat="1" applyFont="1"/>
    <xf numFmtId="0" fontId="12" fillId="0" borderId="0" xfId="35"/>
    <xf numFmtId="179" fontId="6" fillId="0" borderId="0" xfId="36" applyNumberFormat="1" applyFont="1" applyBorder="1" applyAlignment="1">
      <alignment horizontal="right"/>
    </xf>
    <xf numFmtId="10" fontId="2" fillId="0" borderId="0" xfId="36" applyNumberFormat="1" applyFont="1" applyAlignment="1"/>
    <xf numFmtId="0" fontId="17" fillId="0" borderId="0" xfId="10" applyFont="1" applyAlignment="1"/>
    <xf numFmtId="0" fontId="0" fillId="0" borderId="0" xfId="0" applyNumberFormat="1" applyAlignment="1"/>
    <xf numFmtId="10" fontId="6" fillId="0" borderId="0" xfId="36" applyNumberFormat="1" applyFont="1" applyBorder="1" applyAlignment="1">
      <alignment horizontal="right"/>
    </xf>
    <xf numFmtId="0" fontId="22" fillId="0" borderId="0" xfId="40" applyFont="1" applyAlignment="1">
      <alignment horizontal="left"/>
    </xf>
    <xf numFmtId="0" fontId="2" fillId="0" borderId="0" xfId="40" applyAlignment="1">
      <alignment horizontal="centerContinuous"/>
    </xf>
    <xf numFmtId="0" fontId="2" fillId="0" borderId="0" xfId="40"/>
    <xf numFmtId="0" fontId="17" fillId="0" borderId="0" xfId="40" applyFont="1" applyAlignment="1">
      <alignment horizontal="left"/>
    </xf>
    <xf numFmtId="0" fontId="25" fillId="0" borderId="17" xfId="16" applyFont="1" applyBorder="1" applyAlignment="1" applyProtection="1">
      <alignment horizontal="left"/>
    </xf>
    <xf numFmtId="37" fontId="25" fillId="0" borderId="17" xfId="16" applyNumberFormat="1" applyFont="1" applyBorder="1" applyAlignment="1" applyProtection="1">
      <alignment horizontal="center"/>
    </xf>
    <xf numFmtId="0" fontId="23" fillId="0" borderId="0" xfId="16" applyFont="1" applyBorder="1" applyAlignment="1" applyProtection="1">
      <alignment horizontal="left"/>
    </xf>
    <xf numFmtId="0" fontId="2" fillId="0" borderId="0" xfId="40" applyFont="1"/>
    <xf numFmtId="167" fontId="23" fillId="0" borderId="0" xfId="40" applyNumberFormat="1" applyFont="1"/>
    <xf numFmtId="10" fontId="0" fillId="0" borderId="0" xfId="36" applyNumberFormat="1" applyFont="1"/>
    <xf numFmtId="167" fontId="2" fillId="0" borderId="0" xfId="40" applyNumberFormat="1"/>
    <xf numFmtId="3" fontId="23" fillId="0" borderId="0" xfId="40" applyNumberFormat="1" applyFont="1"/>
    <xf numFmtId="0" fontId="23" fillId="0" borderId="18" xfId="16" applyFont="1" applyBorder="1" applyAlignment="1" applyProtection="1">
      <alignment horizontal="left"/>
    </xf>
    <xf numFmtId="0" fontId="23" fillId="0" borderId="18" xfId="16" applyFont="1" applyBorder="1" applyProtection="1"/>
    <xf numFmtId="0" fontId="23" fillId="0" borderId="7" xfId="16" applyFont="1" applyBorder="1" applyAlignment="1" applyProtection="1">
      <alignment horizontal="left"/>
    </xf>
    <xf numFmtId="167" fontId="23" fillId="0" borderId="7" xfId="16" applyNumberFormat="1" applyFont="1" applyBorder="1" applyProtection="1"/>
    <xf numFmtId="167" fontId="23" fillId="0" borderId="0" xfId="16" applyNumberFormat="1" applyFont="1" applyProtection="1"/>
    <xf numFmtId="3" fontId="23" fillId="0" borderId="0" xfId="16" applyNumberFormat="1" applyFont="1" applyProtection="1"/>
    <xf numFmtId="3" fontId="23" fillId="0" borderId="0" xfId="16" applyNumberFormat="1" applyFont="1" applyAlignment="1" applyProtection="1">
      <alignment horizontal="right"/>
    </xf>
    <xf numFmtId="167" fontId="23" fillId="0" borderId="18" xfId="16" applyNumberFormat="1" applyFont="1" applyBorder="1" applyProtection="1"/>
    <xf numFmtId="0" fontId="39" fillId="0" borderId="8" xfId="16" applyFont="1" applyBorder="1" applyAlignment="1" applyProtection="1">
      <alignment horizontal="left"/>
    </xf>
    <xf numFmtId="167" fontId="23" fillId="0" borderId="8" xfId="16" applyNumberFormat="1" applyFont="1" applyBorder="1" applyProtection="1"/>
    <xf numFmtId="0" fontId="25" fillId="0" borderId="8" xfId="16" applyFont="1" applyBorder="1" applyAlignment="1" applyProtection="1">
      <alignment horizontal="left"/>
    </xf>
    <xf numFmtId="0" fontId="2" fillId="0" borderId="0" xfId="41"/>
    <xf numFmtId="0" fontId="62" fillId="0" borderId="0" xfId="41" applyFont="1"/>
    <xf numFmtId="168" fontId="62" fillId="0" borderId="0" xfId="3" applyNumberFormat="1" applyFont="1"/>
    <xf numFmtId="168" fontId="62" fillId="0" borderId="0" xfId="40" applyNumberFormat="1" applyFont="1"/>
    <xf numFmtId="3" fontId="64" fillId="0" borderId="0" xfId="0" applyNumberFormat="1" applyFont="1" applyFill="1" applyBorder="1" applyAlignment="1">
      <alignment horizontal="right" vertical="center"/>
    </xf>
    <xf numFmtId="171" fontId="2" fillId="0" borderId="0" xfId="13" applyNumberFormat="1"/>
    <xf numFmtId="169" fontId="12" fillId="0" borderId="0" xfId="36" applyNumberFormat="1" applyFont="1" applyProtection="1"/>
    <xf numFmtId="0" fontId="21" fillId="0" borderId="0" xfId="0" applyFont="1" applyAlignment="1">
      <alignment vertical="center"/>
    </xf>
    <xf numFmtId="37" fontId="17" fillId="4" borderId="0" xfId="17" applyNumberFormat="1" applyFont="1" applyFill="1" applyAlignment="1" applyProtection="1">
      <alignment horizontal="left"/>
    </xf>
    <xf numFmtId="10" fontId="45" fillId="0" borderId="0" xfId="36" applyNumberFormat="1" applyFont="1" applyAlignment="1">
      <alignment horizontal="right"/>
    </xf>
    <xf numFmtId="0" fontId="2" fillId="4" borderId="0" xfId="33" applyFont="1" applyFill="1" applyBorder="1" applyAlignment="1">
      <alignment horizontal="left"/>
    </xf>
    <xf numFmtId="0" fontId="65" fillId="0" borderId="0" xfId="29" applyFont="1"/>
    <xf numFmtId="169" fontId="12" fillId="0" borderId="8" xfId="14" applyNumberFormat="1" applyFont="1" applyFill="1" applyBorder="1" applyProtection="1"/>
    <xf numFmtId="0" fontId="17" fillId="0" borderId="1" xfId="0" applyFont="1" applyBorder="1" applyAlignment="1">
      <alignment horizontal="center" wrapText="1"/>
    </xf>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40" applyFont="1" applyBorder="1" applyAlignment="1">
      <alignment vertical="center" wrapText="1"/>
    </xf>
    <xf numFmtId="180" fontId="2" fillId="0" borderId="1" xfId="42" applyNumberFormat="1" applyFont="1" applyBorder="1" applyAlignment="1">
      <alignmen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1" xfId="40" applyFont="1" applyBorder="1" applyAlignment="1">
      <alignment horizontal="right" vertical="center" wrapText="1"/>
    </xf>
    <xf numFmtId="0" fontId="2" fillId="0" borderId="0" xfId="40" applyFont="1" applyBorder="1" applyAlignment="1">
      <alignment horizontal="right" vertical="center" wrapText="1"/>
    </xf>
    <xf numFmtId="180" fontId="2" fillId="0" borderId="0" xfId="42" applyNumberFormat="1" applyFont="1" applyBorder="1" applyAlignment="1">
      <alignment horizontal="right" vertical="center" wrapText="1"/>
    </xf>
    <xf numFmtId="0" fontId="2" fillId="0" borderId="0" xfId="0" applyFont="1" applyAlignment="1">
      <alignment vertical="center"/>
    </xf>
    <xf numFmtId="0" fontId="2" fillId="0" borderId="0" xfId="0" applyFont="1" applyAlignment="1">
      <alignment wrapText="1"/>
    </xf>
    <xf numFmtId="0" fontId="2" fillId="0" borderId="0" xfId="11" applyNumberFormat="1" applyFont="1" applyAlignment="1"/>
    <xf numFmtId="0" fontId="17" fillId="0" borderId="1" xfId="11" applyNumberFormat="1" applyFont="1" applyBorder="1" applyAlignment="1">
      <alignment horizontal="center"/>
    </xf>
    <xf numFmtId="0" fontId="2" fillId="0" borderId="0" xfId="11" applyFont="1" applyBorder="1"/>
    <xf numFmtId="167" fontId="2" fillId="0" borderId="0" xfId="11" applyNumberFormat="1" applyFont="1"/>
    <xf numFmtId="0" fontId="2" fillId="0" borderId="0" xfId="11" applyFont="1"/>
    <xf numFmtId="3" fontId="2" fillId="0" borderId="0" xfId="11" applyNumberFormat="1" applyFont="1"/>
    <xf numFmtId="3" fontId="2" fillId="0" borderId="0" xfId="11" applyNumberFormat="1" applyFont="1" applyFill="1"/>
    <xf numFmtId="3" fontId="2" fillId="0" borderId="0" xfId="11" applyNumberFormat="1" applyFont="1" applyBorder="1"/>
    <xf numFmtId="0" fontId="17" fillId="0" borderId="15" xfId="11" applyNumberFormat="1" applyFont="1" applyBorder="1" applyAlignment="1"/>
    <xf numFmtId="167" fontId="17" fillId="0" borderId="15" xfId="11" applyNumberFormat="1" applyFont="1" applyBorder="1"/>
    <xf numFmtId="0" fontId="17" fillId="0" borderId="0" xfId="11" applyNumberFormat="1" applyFont="1" applyBorder="1" applyAlignment="1"/>
    <xf numFmtId="0" fontId="2" fillId="0" borderId="0" xfId="11" applyNumberFormat="1" applyFont="1" applyBorder="1" applyAlignment="1"/>
    <xf numFmtId="3" fontId="2" fillId="0" borderId="0" xfId="11" applyNumberFormat="1" applyFont="1" applyAlignment="1"/>
    <xf numFmtId="3" fontId="2" fillId="0" borderId="0" xfId="11" applyNumberFormat="1" applyFont="1" applyBorder="1" applyAlignment="1"/>
    <xf numFmtId="0" fontId="17" fillId="0" borderId="20" xfId="11" applyNumberFormat="1" applyFont="1" applyBorder="1" applyAlignment="1"/>
    <xf numFmtId="0" fontId="17" fillId="0" borderId="21" xfId="11" applyNumberFormat="1" applyFont="1" applyBorder="1" applyAlignment="1">
      <alignment horizontal="center"/>
    </xf>
    <xf numFmtId="3" fontId="17" fillId="0" borderId="21" xfId="11" applyNumberFormat="1" applyFont="1" applyBorder="1" applyAlignment="1">
      <alignment horizontal="center"/>
    </xf>
    <xf numFmtId="0" fontId="16" fillId="0" borderId="20" xfId="11" applyNumberFormat="1" applyFont="1" applyBorder="1" applyAlignment="1">
      <alignment horizontal="left"/>
    </xf>
    <xf numFmtId="0" fontId="16" fillId="0" borderId="20" xfId="11" applyNumberFormat="1" applyFont="1" applyBorder="1" applyAlignment="1">
      <alignment horizontal="center"/>
    </xf>
    <xf numFmtId="0" fontId="10" fillId="0" borderId="20" xfId="11" applyNumberFormat="1" applyFont="1" applyBorder="1" applyAlignment="1">
      <alignment horizontal="left"/>
    </xf>
    <xf numFmtId="0" fontId="17" fillId="0" borderId="13" xfId="11" applyNumberFormat="1" applyFont="1" applyBorder="1" applyAlignment="1">
      <alignment horizontal="center"/>
    </xf>
    <xf numFmtId="3" fontId="17" fillId="0" borderId="13" xfId="11" applyNumberFormat="1" applyFont="1" applyBorder="1" applyAlignment="1"/>
    <xf numFmtId="0" fontId="17" fillId="0" borderId="13" xfId="11" applyNumberFormat="1" applyFont="1" applyBorder="1" applyAlignment="1"/>
    <xf numFmtId="3" fontId="17" fillId="0" borderId="22" xfId="11" applyNumberFormat="1" applyFont="1" applyBorder="1" applyAlignment="1"/>
    <xf numFmtId="3" fontId="17" fillId="0" borderId="13" xfId="11" applyNumberFormat="1" applyFont="1" applyBorder="1" applyAlignment="1">
      <alignment horizontal="center"/>
    </xf>
    <xf numFmtId="3" fontId="17" fillId="0" borderId="23" xfId="11" applyNumberFormat="1" applyFont="1" applyBorder="1" applyAlignment="1">
      <alignment horizontal="center"/>
    </xf>
    <xf numFmtId="3" fontId="17" fillId="0" borderId="1" xfId="11" applyNumberFormat="1" applyFont="1" applyBorder="1" applyAlignment="1">
      <alignment horizontal="center"/>
    </xf>
    <xf numFmtId="3" fontId="17" fillId="0" borderId="24" xfId="11" applyNumberFormat="1" applyFont="1" applyBorder="1" applyAlignment="1">
      <alignment horizontal="center"/>
    </xf>
    <xf numFmtId="3" fontId="17" fillId="0" borderId="25" xfId="11" applyNumberFormat="1" applyFont="1" applyBorder="1" applyAlignment="1">
      <alignment horizontal="center"/>
    </xf>
    <xf numFmtId="3" fontId="2" fillId="0" borderId="26" xfId="11" applyNumberFormat="1" applyFont="1" applyBorder="1" applyAlignment="1"/>
    <xf numFmtId="3" fontId="2" fillId="0" borderId="27" xfId="11" applyNumberFormat="1" applyFont="1" applyBorder="1" applyAlignment="1"/>
    <xf numFmtId="167" fontId="2" fillId="0" borderId="0" xfId="11" applyNumberFormat="1" applyFont="1" applyBorder="1"/>
    <xf numFmtId="3" fontId="2" fillId="0" borderId="26" xfId="11" applyNumberFormat="1" applyFont="1" applyBorder="1"/>
    <xf numFmtId="3" fontId="2" fillId="0" borderId="27" xfId="11" applyNumberFormat="1" applyFont="1" applyBorder="1"/>
    <xf numFmtId="0" fontId="17" fillId="0" borderId="20" xfId="11" applyNumberFormat="1" applyFont="1" applyBorder="1" applyAlignment="1">
      <alignment horizontal="center"/>
    </xf>
    <xf numFmtId="0" fontId="17" fillId="0" borderId="0" xfId="11" applyNumberFormat="1" applyFont="1" applyBorder="1" applyAlignment="1">
      <alignment horizontal="center"/>
    </xf>
    <xf numFmtId="3" fontId="17" fillId="0" borderId="0" xfId="11" applyNumberFormat="1" applyFont="1" applyBorder="1" applyAlignment="1"/>
    <xf numFmtId="3" fontId="17" fillId="0" borderId="26" xfId="11" applyNumberFormat="1" applyFont="1" applyBorder="1" applyAlignment="1"/>
    <xf numFmtId="3" fontId="17" fillId="0" borderId="0" xfId="11" applyNumberFormat="1" applyFont="1" applyBorder="1" applyAlignment="1">
      <alignment horizontal="center"/>
    </xf>
    <xf numFmtId="3" fontId="17" fillId="0" borderId="27" xfId="11" applyNumberFormat="1" applyFont="1" applyBorder="1" applyAlignment="1">
      <alignment horizontal="center"/>
    </xf>
    <xf numFmtId="3" fontId="2" fillId="0" borderId="0" xfId="11" applyNumberFormat="1" applyFont="1" applyAlignment="1">
      <alignment horizontal="right"/>
    </xf>
    <xf numFmtId="3" fontId="17" fillId="0" borderId="26" xfId="11" applyNumberFormat="1" applyFont="1" applyBorder="1" applyAlignment="1">
      <alignment horizontal="center"/>
    </xf>
    <xf numFmtId="3" fontId="2" fillId="0" borderId="1" xfId="11" applyNumberFormat="1" applyFont="1" applyBorder="1"/>
    <xf numFmtId="3" fontId="2" fillId="0" borderId="24" xfId="11" applyNumberFormat="1" applyFont="1" applyBorder="1"/>
    <xf numFmtId="3" fontId="2" fillId="0" borderId="25" xfId="11" applyNumberFormat="1" applyFont="1" applyBorder="1"/>
    <xf numFmtId="3" fontId="17" fillId="0" borderId="15" xfId="11" applyNumberFormat="1" applyFont="1" applyBorder="1"/>
    <xf numFmtId="167" fontId="17" fillId="0" borderId="28" xfId="11" applyNumberFormat="1" applyFont="1" applyBorder="1"/>
    <xf numFmtId="3" fontId="17" fillId="0" borderId="29" xfId="11" applyNumberFormat="1" applyFont="1" applyBorder="1"/>
    <xf numFmtId="3" fontId="17" fillId="0" borderId="28" xfId="11" applyNumberFormat="1" applyFont="1" applyBorder="1"/>
    <xf numFmtId="3" fontId="2" fillId="0" borderId="13" xfId="11" applyNumberFormat="1" applyFont="1" applyBorder="1" applyAlignment="1"/>
    <xf numFmtId="3" fontId="2" fillId="0" borderId="22" xfId="11" applyNumberFormat="1" applyFont="1" applyBorder="1" applyAlignment="1"/>
    <xf numFmtId="3" fontId="2" fillId="0" borderId="23" xfId="11" applyNumberFormat="1" applyFont="1" applyBorder="1" applyAlignment="1"/>
    <xf numFmtId="164" fontId="2" fillId="0" borderId="1" xfId="11" applyNumberFormat="1" applyFont="1" applyFill="1" applyBorder="1" applyAlignment="1"/>
    <xf numFmtId="0" fontId="2" fillId="0" borderId="1" xfId="11" applyNumberFormat="1" applyFont="1" applyBorder="1" applyAlignment="1"/>
    <xf numFmtId="0" fontId="2" fillId="0" borderId="25" xfId="11" applyNumberFormat="1" applyFont="1" applyBorder="1" applyAlignment="1"/>
    <xf numFmtId="0" fontId="2" fillId="0" borderId="24" xfId="11" applyNumberFormat="1" applyFont="1" applyBorder="1" applyAlignment="1"/>
    <xf numFmtId="3" fontId="2" fillId="0" borderId="1" xfId="11" applyNumberFormat="1" applyFont="1" applyBorder="1" applyAlignment="1"/>
    <xf numFmtId="3" fontId="17" fillId="0" borderId="0" xfId="11" applyNumberFormat="1" applyFont="1" applyBorder="1"/>
    <xf numFmtId="167" fontId="17" fillId="0" borderId="25" xfId="11" applyNumberFormat="1" applyFont="1" applyBorder="1"/>
    <xf numFmtId="167" fontId="17" fillId="0" borderId="13" xfId="11" applyNumberFormat="1" applyFont="1" applyBorder="1"/>
    <xf numFmtId="3" fontId="17" fillId="0" borderId="15" xfId="11" applyNumberFormat="1" applyFont="1" applyBorder="1" applyAlignment="1"/>
    <xf numFmtId="3" fontId="17" fillId="0" borderId="26" xfId="11" applyNumberFormat="1" applyFont="1" applyBorder="1"/>
    <xf numFmtId="167" fontId="17" fillId="0" borderId="0" xfId="11" applyNumberFormat="1" applyFont="1" applyBorder="1"/>
    <xf numFmtId="3" fontId="17" fillId="0" borderId="27" xfId="11" applyNumberFormat="1" applyFont="1" applyBorder="1"/>
    <xf numFmtId="37" fontId="45" fillId="0" borderId="0" xfId="29" applyNumberFormat="1" applyFill="1"/>
    <xf numFmtId="3" fontId="12" fillId="0" borderId="0" xfId="11" applyNumberFormat="1" applyFont="1" applyFill="1"/>
    <xf numFmtId="3" fontId="12" fillId="0" borderId="0" xfId="11" applyNumberFormat="1" applyFont="1" applyFill="1" applyBorder="1"/>
    <xf numFmtId="167" fontId="12" fillId="0" borderId="0" xfId="11" applyNumberFormat="1" applyFont="1" applyFill="1"/>
    <xf numFmtId="3" fontId="2" fillId="0" borderId="0" xfId="11" applyNumberFormat="1" applyFont="1" applyFill="1" applyBorder="1"/>
    <xf numFmtId="3" fontId="45" fillId="0" borderId="0" xfId="25" applyNumberFormat="1" applyFill="1" applyAlignment="1">
      <alignment horizontal="right"/>
    </xf>
    <xf numFmtId="3" fontId="45" fillId="0" borderId="0" xfId="25" applyNumberFormat="1" applyFill="1"/>
    <xf numFmtId="37" fontId="2" fillId="0" borderId="0" xfId="16" quotePrefix="1" applyNumberFormat="1" applyFont="1" applyProtection="1"/>
    <xf numFmtId="5" fontId="36" fillId="0" borderId="8" xfId="17" applyNumberFormat="1" applyFont="1" applyFill="1" applyBorder="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0" fontId="2" fillId="4" borderId="0" xfId="32" applyFont="1" applyFill="1"/>
    <xf numFmtId="44" fontId="12" fillId="4" borderId="0" xfId="32" applyNumberFormat="1"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3" fontId="3" fillId="0" borderId="0" xfId="8" quotePrefix="1" applyNumberFormat="1" applyFont="1" applyFill="1" applyAlignment="1"/>
    <xf numFmtId="0" fontId="83" fillId="0" borderId="0" xfId="8" applyNumberFormat="1" applyFont="1" applyAlignment="1"/>
    <xf numFmtId="0" fontId="83" fillId="0" borderId="0" xfId="8" applyNumberFormat="1" applyFont="1" applyAlignment="1">
      <alignment horizontal="left"/>
    </xf>
    <xf numFmtId="0" fontId="17" fillId="0" borderId="0" xfId="0" applyFont="1" applyFill="1"/>
    <xf numFmtId="0" fontId="23" fillId="0" borderId="0" xfId="0" applyFont="1" applyFill="1"/>
    <xf numFmtId="3" fontId="2" fillId="0" borderId="0" xfId="0" applyNumberFormat="1" applyFont="1"/>
    <xf numFmtId="3" fontId="2" fillId="0" borderId="0" xfId="21" applyNumberFormat="1" applyFont="1" applyAlignment="1">
      <alignment horizontal="right"/>
    </xf>
    <xf numFmtId="3" fontId="2" fillId="0" borderId="0" xfId="21" applyNumberFormat="1" applyFont="1" applyFill="1" applyBorder="1" applyAlignment="1">
      <alignment horizontal="right"/>
    </xf>
    <xf numFmtId="0" fontId="12" fillId="5" borderId="0" xfId="33" applyFont="1" applyFill="1" applyBorder="1"/>
    <xf numFmtId="3" fontId="12" fillId="5" borderId="0" xfId="33" applyNumberFormat="1" applyFont="1" applyFill="1" applyBorder="1" applyAlignment="1"/>
    <xf numFmtId="168" fontId="12" fillId="0" borderId="0" xfId="10" applyNumberFormat="1" applyBorder="1" applyAlignment="1"/>
    <xf numFmtId="0" fontId="2" fillId="0" borderId="0" xfId="14" applyFont="1" applyProtection="1"/>
    <xf numFmtId="167" fontId="12" fillId="4" borderId="0" xfId="33" applyNumberFormat="1" applyFont="1" applyFill="1" applyBorder="1" applyAlignment="1"/>
    <xf numFmtId="0" fontId="22" fillId="0" borderId="0" xfId="85" applyFont="1" applyFill="1" applyAlignment="1"/>
    <xf numFmtId="0" fontId="20" fillId="0" borderId="0" xfId="85" applyFont="1" applyFill="1"/>
    <xf numFmtId="0" fontId="6" fillId="0" borderId="0" xfId="85" applyFont="1" applyFill="1" applyAlignment="1"/>
    <xf numFmtId="0" fontId="19" fillId="0" borderId="0" xfId="85" applyFill="1"/>
    <xf numFmtId="0" fontId="19" fillId="0" borderId="0" xfId="85" applyFill="1" applyAlignment="1">
      <alignment horizontal="center"/>
    </xf>
    <xf numFmtId="0" fontId="20" fillId="0" borderId="0" xfId="85" applyFont="1" applyFill="1" applyAlignment="1">
      <alignment wrapText="1"/>
    </xf>
    <xf numFmtId="0" fontId="19" fillId="0" borderId="0" xfId="85" applyFill="1" applyAlignment="1">
      <alignment wrapText="1"/>
    </xf>
    <xf numFmtId="0" fontId="19" fillId="0" borderId="0" xfId="85" applyFill="1" applyAlignment="1">
      <alignment horizontal="center" wrapText="1"/>
    </xf>
    <xf numFmtId="0" fontId="20" fillId="0" borderId="0" xfId="85" applyFont="1" applyFill="1" applyAlignment="1"/>
    <xf numFmtId="0" fontId="3" fillId="0" borderId="0" xfId="85" applyFont="1" applyFill="1"/>
    <xf numFmtId="0" fontId="3" fillId="0" borderId="0" xfId="85" applyFont="1" applyFill="1" applyAlignment="1">
      <alignment wrapText="1"/>
    </xf>
    <xf numFmtId="0" fontId="19" fillId="0" borderId="0" xfId="85" applyFont="1" applyFill="1" applyBorder="1" applyAlignment="1">
      <alignment vertical="center" wrapText="1"/>
    </xf>
    <xf numFmtId="0" fontId="84" fillId="0" borderId="0" xfId="85" applyFont="1" applyFill="1" applyAlignment="1">
      <alignment horizontal="center"/>
    </xf>
    <xf numFmtId="0" fontId="84" fillId="0" borderId="0" xfId="85" applyFont="1" applyFill="1" applyAlignment="1">
      <alignment horizontal="right"/>
    </xf>
    <xf numFmtId="167" fontId="84" fillId="0" borderId="0" xfId="85" applyNumberFormat="1" applyFont="1" applyFill="1"/>
    <xf numFmtId="3" fontId="84" fillId="0" borderId="0" xfId="85" applyNumberFormat="1" applyFont="1" applyFill="1"/>
    <xf numFmtId="0" fontId="19" fillId="0" borderId="0" xfId="85" applyFont="1" applyFill="1" applyBorder="1" applyAlignment="1">
      <alignment vertical="top" wrapText="1"/>
    </xf>
    <xf numFmtId="0" fontId="2" fillId="0" borderId="0" xfId="35" applyNumberFormat="1" applyFont="1" applyAlignment="1"/>
    <xf numFmtId="3" fontId="6" fillId="0" borderId="0" xfId="35" applyNumberFormat="1" applyFont="1" applyAlignment="1"/>
    <xf numFmtId="0" fontId="17" fillId="0" borderId="0" xfId="10" applyFont="1" applyBorder="1" applyAlignment="1">
      <alignment horizontal="left"/>
    </xf>
    <xf numFmtId="0" fontId="2" fillId="0" borderId="0" xfId="8" applyNumberFormat="1" applyFont="1" applyFill="1" applyAlignment="1"/>
    <xf numFmtId="0" fontId="85" fillId="0" borderId="0" xfId="0" applyNumberFormat="1" applyFont="1" applyAlignment="1"/>
    <xf numFmtId="0" fontId="86" fillId="0" borderId="0" xfId="0" applyNumberFormat="1" applyFont="1" applyAlignment="1"/>
    <xf numFmtId="2" fontId="85" fillId="0" borderId="0" xfId="0" applyNumberFormat="1" applyFont="1" applyAlignment="1"/>
    <xf numFmtId="2" fontId="86" fillId="0" borderId="0" xfId="0" applyNumberFormat="1" applyFont="1" applyAlignment="1"/>
    <xf numFmtId="2" fontId="86" fillId="0" borderId="0" xfId="0" applyNumberFormat="1" applyFont="1" applyFill="1" applyAlignment="1"/>
    <xf numFmtId="2" fontId="85" fillId="0" borderId="0" xfId="0" applyNumberFormat="1" applyFont="1" applyFill="1" applyAlignment="1"/>
    <xf numFmtId="0" fontId="87" fillId="0" borderId="0" xfId="0" applyFont="1" applyBorder="1" applyAlignment="1">
      <alignment horizontal="center"/>
    </xf>
    <xf numFmtId="10" fontId="89" fillId="0" borderId="0" xfId="0" applyNumberFormat="1" applyFont="1" applyAlignment="1"/>
    <xf numFmtId="0" fontId="91" fillId="0" borderId="0" xfId="8" applyNumberFormat="1" applyFont="1" applyAlignment="1"/>
    <xf numFmtId="0" fontId="91" fillId="0" borderId="0" xfId="8" applyNumberFormat="1" applyFont="1" applyAlignment="1">
      <alignment horizontal="left"/>
    </xf>
    <xf numFmtId="10" fontId="13" fillId="0" borderId="0" xfId="38" applyNumberFormat="1" applyFont="1" applyFill="1"/>
    <xf numFmtId="3" fontId="12" fillId="0" borderId="0" xfId="38" applyNumberFormat="1" applyFont="1" applyFill="1"/>
    <xf numFmtId="5" fontId="13" fillId="4" borderId="0" xfId="17" applyNumberFormat="1" applyFont="1" applyFill="1" applyBorder="1" applyProtection="1"/>
    <xf numFmtId="37" fontId="13" fillId="4" borderId="0" xfId="27" applyNumberFormat="1" applyFont="1" applyFill="1" applyBorder="1"/>
    <xf numFmtId="37" fontId="13" fillId="4" borderId="1" xfId="27" applyNumberFormat="1" applyFont="1" applyFill="1" applyBorder="1"/>
    <xf numFmtId="175" fontId="13" fillId="4" borderId="0" xfId="27" applyNumberFormat="1" applyFont="1" applyFill="1" applyBorder="1"/>
    <xf numFmtId="5" fontId="13" fillId="4" borderId="0" xfId="27" applyNumberFormat="1" applyFont="1" applyFill="1" applyBorder="1"/>
    <xf numFmtId="167" fontId="20" fillId="0" borderId="0" xfId="36" applyNumberFormat="1" applyFont="1"/>
    <xf numFmtId="0" fontId="2" fillId="0" borderId="0" xfId="11" applyFont="1" applyFill="1"/>
    <xf numFmtId="0" fontId="2" fillId="0" borderId="0" xfId="11" applyFont="1" applyFill="1" applyBorder="1"/>
    <xf numFmtId="0" fontId="0" fillId="0" borderId="1" xfId="0" applyBorder="1" applyAlignment="1">
      <alignment vertical="center" wrapText="1"/>
    </xf>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37" fontId="2" fillId="0" borderId="1" xfId="42" applyNumberFormat="1" applyFont="1" applyBorder="1" applyAlignment="1">
      <alignment horizontal="right" vertical="center" wrapText="1"/>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0" fontId="0" fillId="0" borderId="1" xfId="40" applyFont="1" applyBorder="1" applyAlignment="1">
      <alignment horizontal="right" vertical="center" wrapText="1"/>
    </xf>
    <xf numFmtId="37" fontId="0" fillId="0" borderId="1" xfId="42" applyNumberFormat="1" applyFont="1" applyBorder="1" applyAlignment="1">
      <alignment horizontal="right" vertical="center" wrapText="1"/>
    </xf>
    <xf numFmtId="169" fontId="93" fillId="0" borderId="0" xfId="36" applyNumberFormat="1" applyFont="1" applyProtection="1"/>
    <xf numFmtId="169" fontId="94" fillId="0" borderId="0" xfId="36" applyNumberFormat="1" applyFont="1"/>
    <xf numFmtId="169" fontId="94" fillId="0" borderId="0" xfId="36" applyNumberFormat="1" applyFont="1" applyFill="1" applyBorder="1" applyAlignment="1"/>
    <xf numFmtId="3" fontId="91" fillId="0" borderId="0" xfId="8" applyNumberFormat="1" applyFont="1" applyFill="1" applyAlignment="1"/>
    <xf numFmtId="0" fontId="91" fillId="0" borderId="0" xfId="8" applyFont="1" applyFill="1"/>
    <xf numFmtId="10" fontId="91" fillId="0" borderId="0" xfId="8" applyNumberFormat="1" applyFont="1" applyFill="1" applyAlignment="1">
      <alignment horizontal="right" vertical="center"/>
    </xf>
    <xf numFmtId="3" fontId="91"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0"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0" fontId="23" fillId="0" borderId="0" xfId="11" applyNumberFormat="1" applyFont="1" applyFill="1" applyBorder="1" applyAlignment="1"/>
    <xf numFmtId="164" fontId="52"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23" fillId="0" borderId="18" xfId="11" applyNumberFormat="1" applyFont="1" applyFill="1" applyBorder="1" applyAlignment="1"/>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44" fontId="62" fillId="0" borderId="0" xfId="3" applyFont="1"/>
    <xf numFmtId="0" fontId="62" fillId="0" borderId="0" xfId="40" applyFont="1"/>
    <xf numFmtId="167" fontId="62" fillId="0" borderId="0" xfId="40" applyNumberFormat="1" applyFont="1"/>
    <xf numFmtId="169" fontId="8" fillId="0" borderId="0" xfId="36" applyNumberFormat="1" applyFont="1"/>
    <xf numFmtId="5" fontId="24" fillId="0" borderId="15" xfId="29" applyNumberFormat="1" applyFont="1" applyFill="1" applyBorder="1"/>
    <xf numFmtId="169" fontId="95"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10" fontId="96" fillId="0" borderId="0" xfId="36" applyNumberFormat="1" applyFont="1"/>
    <xf numFmtId="0" fontId="96" fillId="0" borderId="0" xfId="40" applyFont="1"/>
    <xf numFmtId="167" fontId="96" fillId="0" borderId="0" xfId="40" applyNumberFormat="1" applyFont="1"/>
    <xf numFmtId="0" fontId="2" fillId="0" borderId="0" xfId="21" applyFont="1" applyBorder="1"/>
    <xf numFmtId="10" fontId="3" fillId="0" borderId="0" xfId="0" applyNumberFormat="1" applyFont="1" applyFill="1" applyAlignment="1">
      <alignment horizontal="right"/>
    </xf>
    <xf numFmtId="3" fontId="88" fillId="0" borderId="0" xfId="0" applyNumberFormat="1" applyFont="1" applyFill="1" applyAlignment="1"/>
    <xf numFmtId="10" fontId="90" fillId="0" borderId="0" xfId="0" applyNumberFormat="1" applyFont="1" applyFill="1" applyAlignment="1"/>
    <xf numFmtId="0" fontId="97" fillId="0" borderId="0" xfId="8" applyNumberFormat="1" applyFont="1" applyFill="1" applyAlignment="1">
      <alignment horizontal="left"/>
    </xf>
    <xf numFmtId="0" fontId="97" fillId="0" borderId="0" xfId="8" applyNumberFormat="1" applyFont="1" applyAlignment="1"/>
    <xf numFmtId="0" fontId="98" fillId="0" borderId="0" xfId="8" applyNumberFormat="1" applyFont="1" applyFill="1" applyAlignment="1"/>
    <xf numFmtId="0" fontId="98" fillId="0" borderId="0" xfId="8" applyNumberFormat="1" applyFont="1" applyAlignment="1">
      <alignment horizontal="center"/>
    </xf>
    <xf numFmtId="0" fontId="97" fillId="0" borderId="0" xfId="8" applyNumberFormat="1" applyFont="1" applyFill="1" applyAlignment="1"/>
    <xf numFmtId="172" fontId="97" fillId="0" borderId="0" xfId="8" applyNumberFormat="1" applyFont="1" applyAlignment="1"/>
    <xf numFmtId="3" fontId="97" fillId="0" borderId="0" xfId="8" applyNumberFormat="1" applyFont="1" applyAlignment="1"/>
    <xf numFmtId="10" fontId="97" fillId="0" borderId="0" xfId="36" applyNumberFormat="1" applyFont="1" applyAlignment="1"/>
    <xf numFmtId="0" fontId="99" fillId="0" borderId="0" xfId="8" applyNumberFormat="1" applyFont="1" applyAlignment="1"/>
    <xf numFmtId="0" fontId="97" fillId="0" borderId="0" xfId="8" applyNumberFormat="1" applyFont="1" applyAlignment="1">
      <alignment horizontal="left"/>
    </xf>
    <xf numFmtId="0" fontId="100" fillId="0" borderId="0" xfId="0" applyNumberFormat="1" applyFont="1" applyAlignment="1">
      <alignment horizontal="center"/>
    </xf>
    <xf numFmtId="4" fontId="100" fillId="0" borderId="0" xfId="0" applyNumberFormat="1" applyFont="1" applyAlignment="1"/>
    <xf numFmtId="177" fontId="2" fillId="0" borderId="0" xfId="22" applyNumberFormat="1" applyFont="1" applyFill="1" applyBorder="1" applyAlignment="1">
      <alignment horizontal="right" vertical="center"/>
    </xf>
    <xf numFmtId="0" fontId="100" fillId="0" borderId="0" xfId="35" applyFont="1"/>
    <xf numFmtId="3" fontId="100" fillId="0" borderId="0" xfId="35" applyNumberFormat="1" applyFont="1"/>
    <xf numFmtId="10" fontId="101" fillId="0" borderId="0" xfId="38" applyNumberFormat="1" applyFont="1"/>
    <xf numFmtId="0" fontId="101" fillId="0" borderId="0" xfId="22" applyFont="1"/>
    <xf numFmtId="3" fontId="101" fillId="0" borderId="0" xfId="22" applyNumberFormat="1" applyFont="1"/>
    <xf numFmtId="10" fontId="101" fillId="0" borderId="0" xfId="22" applyNumberFormat="1" applyFont="1"/>
    <xf numFmtId="0" fontId="12" fillId="0" borderId="0" xfId="14" applyFont="1" applyFill="1" applyAlignment="1" applyProtection="1">
      <alignment horizontal="left"/>
    </xf>
    <xf numFmtId="0" fontId="102" fillId="0" borderId="0" xfId="16" applyFont="1"/>
    <xf numFmtId="7" fontId="102" fillId="0" borderId="0" xfId="16" applyNumberFormat="1" applyFont="1"/>
    <xf numFmtId="10" fontId="102" fillId="0" borderId="0" xfId="36" applyNumberFormat="1" applyFont="1"/>
    <xf numFmtId="0" fontId="103" fillId="0" borderId="0" xfId="16" applyFont="1" applyFill="1"/>
    <xf numFmtId="0" fontId="63" fillId="0" borderId="0" xfId="16" applyFont="1"/>
    <xf numFmtId="7" fontId="63" fillId="0" borderId="0" xfId="16" applyNumberFormat="1" applyFont="1" applyFill="1"/>
    <xf numFmtId="10" fontId="63" fillId="0" borderId="0" xfId="0" applyNumberFormat="1" applyFont="1" applyAlignment="1">
      <alignment horizontal="right"/>
    </xf>
    <xf numFmtId="10" fontId="63" fillId="0" borderId="0" xfId="0" applyNumberFormat="1" applyFont="1" applyBorder="1" applyAlignment="1">
      <alignment horizontal="right"/>
    </xf>
    <xf numFmtId="10" fontId="91" fillId="0" borderId="0" xfId="0" applyNumberFormat="1" applyFont="1" applyBorder="1" applyAlignment="1">
      <alignment horizontal="right"/>
    </xf>
    <xf numFmtId="10" fontId="91" fillId="0" borderId="0" xfId="0" applyNumberFormat="1" applyFont="1" applyBorder="1" applyAlignment="1">
      <alignment horizontal="center"/>
    </xf>
    <xf numFmtId="37" fontId="2" fillId="0" borderId="1" xfId="42" applyNumberFormat="1" applyFont="1" applyFill="1" applyBorder="1" applyAlignment="1">
      <alignment horizontal="right" vertical="center" wrapText="1"/>
    </xf>
    <xf numFmtId="0" fontId="85" fillId="0" borderId="0" xfId="0" applyFont="1" applyBorder="1" applyAlignment="1">
      <alignment vertical="center" wrapText="1"/>
    </xf>
    <xf numFmtId="0" fontId="85" fillId="0" borderId="0" xfId="0" applyFont="1" applyBorder="1" applyAlignment="1">
      <alignment horizontal="left" vertical="center" wrapText="1"/>
    </xf>
    <xf numFmtId="0" fontId="85" fillId="0" borderId="0" xfId="40" applyFont="1"/>
    <xf numFmtId="167" fontId="2" fillId="0" borderId="13" xfId="0" applyNumberFormat="1" applyFont="1" applyFill="1" applyBorder="1" applyAlignment="1"/>
    <xf numFmtId="167" fontId="13" fillId="0" borderId="0" xfId="10" applyNumberFormat="1" applyFont="1"/>
    <xf numFmtId="10" fontId="23" fillId="0" borderId="0" xfId="36" applyNumberFormat="1" applyFont="1"/>
    <xf numFmtId="3" fontId="85" fillId="0" borderId="0" xfId="40" applyNumberFormat="1" applyFont="1" applyFill="1" applyBorder="1" applyAlignment="1">
      <alignment horizontal="right" vertical="center"/>
    </xf>
    <xf numFmtId="0" fontId="18" fillId="0" borderId="0" xfId="21" applyNumberFormat="1" applyFont="1" applyFill="1" applyBorder="1" applyAlignment="1">
      <alignment horizontal="left"/>
    </xf>
    <xf numFmtId="0" fontId="23" fillId="0" borderId="0" xfId="9" quotePrefix="1" applyNumberFormat="1" applyFont="1" applyFill="1" applyAlignment="1">
      <alignment horizontal="right"/>
    </xf>
    <xf numFmtId="167" fontId="12" fillId="0" borderId="0" xfId="19" applyNumberFormat="1" applyFont="1" applyBorder="1" applyAlignment="1"/>
    <xf numFmtId="167" fontId="0" fillId="0" borderId="0" xfId="0" applyNumberFormat="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167" fontId="45" fillId="0" borderId="0" xfId="1" applyNumberFormat="1" applyAlignment="1">
      <alignment horizontal="right"/>
    </xf>
    <xf numFmtId="0" fontId="26" fillId="0" borderId="0" xfId="0" applyFont="1" applyBorder="1" applyAlignment="1">
      <alignment horizontal="center"/>
    </xf>
    <xf numFmtId="0" fontId="43" fillId="0" borderId="0" xfId="0" applyFont="1" applyBorder="1" applyAlignment="1">
      <alignment horizontal="center"/>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3" fontId="6" fillId="0" borderId="0" xfId="35" applyNumberFormat="1" applyFont="1" applyAlignment="1"/>
    <xf numFmtId="0" fontId="17" fillId="0" borderId="20" xfId="11" applyNumberFormat="1" applyFont="1" applyBorder="1" applyAlignment="1">
      <alignment horizontal="center"/>
    </xf>
    <xf numFmtId="3" fontId="17" fillId="0" borderId="30" xfId="11" applyNumberFormat="1" applyFont="1" applyBorder="1" applyAlignment="1">
      <alignment horizontal="center"/>
    </xf>
    <xf numFmtId="3" fontId="17" fillId="0" borderId="20" xfId="11" applyNumberFormat="1" applyFont="1" applyBorder="1" applyAlignment="1">
      <alignment horizontal="center"/>
    </xf>
    <xf numFmtId="0" fontId="45" fillId="0" borderId="0" xfId="25" applyAlignment="1"/>
    <xf numFmtId="0" fontId="45"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5"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12" fillId="0" borderId="0" xfId="20" applyFont="1" applyAlignment="1">
      <alignment horizontal="left" wrapText="1"/>
    </xf>
    <xf numFmtId="0" fontId="12" fillId="0" borderId="0" xfId="20" applyFont="1" applyBorder="1" applyAlignment="1">
      <alignment horizontal="left" wrapText="1"/>
    </xf>
    <xf numFmtId="0" fontId="45" fillId="0" borderId="0" xfId="25" applyFont="1" applyAlignment="1"/>
    <xf numFmtId="0" fontId="54" fillId="0" borderId="0" xfId="21" applyFont="1" applyFill="1" applyAlignment="1">
      <alignment horizontal="left" wrapText="1"/>
    </xf>
    <xf numFmtId="0" fontId="1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2" fillId="0" borderId="0" xfId="21" applyFont="1" applyAlignment="1">
      <alignment horizontal="left" wrapText="1"/>
    </xf>
    <xf numFmtId="0" fontId="12" fillId="0" borderId="0" xfId="21" applyFont="1" applyAlignment="1">
      <alignment wrapText="1"/>
    </xf>
    <xf numFmtId="37" fontId="24"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2" fillId="0" borderId="0" xfId="40" applyFont="1" applyAlignment="1">
      <alignment horizontal="left" wrapText="1"/>
    </xf>
    <xf numFmtId="0" fontId="66" fillId="0" borderId="0" xfId="40" applyFont="1" applyAlignment="1">
      <alignment horizontal="left" wrapText="1"/>
    </xf>
    <xf numFmtId="0" fontId="2" fillId="0" borderId="0" xfId="0" applyNumberFormat="1" applyFont="1" applyFill="1" applyBorder="1" applyAlignment="1">
      <alignment horizontal="left" vertical="center" wrapText="1"/>
    </xf>
    <xf numFmtId="0" fontId="24" fillId="0" borderId="17" xfId="16" applyFont="1" applyBorder="1" applyAlignment="1">
      <alignment horizontal="center"/>
    </xf>
    <xf numFmtId="0" fontId="92" fillId="0" borderId="0" xfId="16" applyFont="1" applyAlignment="1">
      <alignment horizontal="left" wrapText="1"/>
    </xf>
    <xf numFmtId="0" fontId="20" fillId="0" borderId="0" xfId="0" applyFont="1" applyAlignment="1">
      <alignment horizontal="left" wrapText="1"/>
    </xf>
    <xf numFmtId="0" fontId="20" fillId="0" borderId="0" xfId="28" applyFont="1" applyAlignment="1">
      <alignment horizontal="left"/>
    </xf>
    <xf numFmtId="0" fontId="20" fillId="0" borderId="0" xfId="28" applyFont="1" applyAlignment="1">
      <alignment horizontal="left" wrapText="1"/>
    </xf>
    <xf numFmtId="0" fontId="19" fillId="0" borderId="0" xfId="28" applyAlignment="1">
      <alignment horizontal="left" wrapText="1"/>
    </xf>
    <xf numFmtId="0" fontId="23" fillId="0" borderId="0" xfId="40" applyFont="1" applyAlignment="1">
      <alignment horizontal="left" wrapText="1"/>
    </xf>
    <xf numFmtId="0" fontId="12" fillId="0" borderId="0" xfId="0" applyNumberFormat="1" applyFont="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2" fillId="0" borderId="0" xfId="0" applyNumberFormat="1" applyFont="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2" fillId="0" borderId="0" xfId="0" applyNumberFormat="1" applyFont="1" applyAlignment="1">
      <alignment wrapText="1"/>
    </xf>
    <xf numFmtId="0" fontId="12" fillId="0" borderId="0" xfId="0" applyFont="1" applyBorder="1" applyAlignment="1">
      <alignment wrapText="1"/>
    </xf>
    <xf numFmtId="0" fontId="0" fillId="0" borderId="0" xfId="0" applyBorder="1" applyAlignment="1">
      <alignment wrapText="1"/>
    </xf>
    <xf numFmtId="0" fontId="22" fillId="4" borderId="0" xfId="32" applyNumberFormat="1" applyFont="1" applyFill="1" applyAlignment="1">
      <alignment horizontal="left"/>
    </xf>
    <xf numFmtId="170" fontId="6" fillId="4" borderId="0" xfId="32" applyNumberFormat="1" applyFont="1" applyFill="1" applyAlignment="1">
      <alignment horizontal="left"/>
    </xf>
    <xf numFmtId="0" fontId="12" fillId="4" borderId="0" xfId="33" applyFont="1" applyFill="1" applyBorder="1" applyAlignment="1">
      <alignment horizontal="left" wrapText="1"/>
    </xf>
    <xf numFmtId="0" fontId="2" fillId="4" borderId="0" xfId="33" applyFont="1" applyFill="1" applyBorder="1" applyAlignment="1">
      <alignment horizontal="left" wrapText="1"/>
    </xf>
    <xf numFmtId="0" fontId="24" fillId="0" borderId="19" xfId="10" applyFont="1" applyBorder="1" applyAlignment="1"/>
    <xf numFmtId="0" fontId="12" fillId="0" borderId="0" xfId="10" applyFont="1" applyAlignment="1">
      <alignment horizontal="left"/>
    </xf>
    <xf numFmtId="0" fontId="12" fillId="0" borderId="0" xfId="10"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3" fillId="0" borderId="0" xfId="10" applyFont="1" applyBorder="1" applyAlignment="1">
      <alignment horizontal="left"/>
    </xf>
    <xf numFmtId="0" fontId="23" fillId="0" borderId="0" xfId="10" applyFont="1" applyAlignment="1">
      <alignment horizontal="left"/>
    </xf>
    <xf numFmtId="3" fontId="23" fillId="0" borderId="0" xfId="6" applyNumberFormat="1" applyFont="1" applyBorder="1" applyAlignment="1">
      <alignment horizontal="center"/>
    </xf>
    <xf numFmtId="0" fontId="25" fillId="0" borderId="0" xfId="10" applyFont="1" applyBorder="1" applyAlignment="1">
      <alignment horizontal="center"/>
    </xf>
    <xf numFmtId="0" fontId="25" fillId="0" borderId="0" xfId="10" applyFont="1" applyFill="1" applyBorder="1" applyAlignment="1">
      <alignment horizontal="left"/>
    </xf>
    <xf numFmtId="0" fontId="25" fillId="0" borderId="0" xfId="10" applyFont="1" applyBorder="1" applyAlignment="1">
      <alignment horizontal="left"/>
    </xf>
    <xf numFmtId="0" fontId="57" fillId="0" borderId="0" xfId="10" applyFont="1" applyBorder="1" applyAlignment="1">
      <alignment horizontal="center"/>
    </xf>
    <xf numFmtId="3" fontId="25" fillId="0" borderId="0" xfId="10" applyNumberFormat="1" applyFont="1" applyAlignment="1">
      <alignment horizontal="center"/>
    </xf>
    <xf numFmtId="0" fontId="84" fillId="0" borderId="20" xfId="85" applyFont="1" applyFill="1" applyBorder="1" applyAlignment="1">
      <alignment horizontal="center" vertical="center" wrapText="1"/>
    </xf>
    <xf numFmtId="0" fontId="19" fillId="0" borderId="0" xfId="85" applyFont="1" applyFill="1" applyBorder="1" applyAlignment="1">
      <alignment horizontal="left" vertical="top" wrapText="1"/>
    </xf>
  </cellXfs>
  <cellStyles count="87">
    <cellStyle name="20% - Accent1" xfId="60" builtinId="30" customBuiltin="1"/>
    <cellStyle name="20% - Accent2" xfId="64" builtinId="34" customBuiltin="1"/>
    <cellStyle name="20% - Accent3" xfId="68" builtinId="38" customBuiltin="1"/>
    <cellStyle name="20% - Accent4" xfId="72" builtinId="42" customBuiltin="1"/>
    <cellStyle name="20% - Accent5" xfId="76" builtinId="46" customBuiltin="1"/>
    <cellStyle name="20% - Accent6" xfId="80" builtinId="50" customBuiltin="1"/>
    <cellStyle name="40% - Accent1" xfId="61" builtinId="31" customBuiltin="1"/>
    <cellStyle name="40% - Accent2" xfId="65" builtinId="35" customBuiltin="1"/>
    <cellStyle name="40% - Accent3" xfId="69" builtinId="39" customBuiltin="1"/>
    <cellStyle name="40% - Accent4" xfId="73" builtinId="43" customBuiltin="1"/>
    <cellStyle name="40% - Accent5" xfId="77" builtinId="47" customBuiltin="1"/>
    <cellStyle name="40% - Accent6" xfId="81" builtinId="51" customBuiltin="1"/>
    <cellStyle name="60% - Accent1" xfId="62" builtinId="32" customBuiltin="1"/>
    <cellStyle name="60% - Accent2" xfId="66" builtinId="36" customBuiltin="1"/>
    <cellStyle name="60% - Accent3" xfId="70" builtinId="40" customBuiltin="1"/>
    <cellStyle name="60% - Accent4" xfId="74" builtinId="44" customBuiltin="1"/>
    <cellStyle name="60% - Accent5" xfId="78" builtinId="48" customBuiltin="1"/>
    <cellStyle name="60% - Accent6" xfId="82" builtinId="52" customBuiltin="1"/>
    <cellStyle name="Accent1" xfId="59" builtinId="29" customBuiltin="1"/>
    <cellStyle name="Accent2" xfId="63" builtinId="33" customBuiltin="1"/>
    <cellStyle name="Accent3" xfId="67" builtinId="37" customBuiltin="1"/>
    <cellStyle name="Accent4" xfId="71" builtinId="41" customBuiltin="1"/>
    <cellStyle name="Accent5" xfId="75" builtinId="45" customBuiltin="1"/>
    <cellStyle name="Accent6" xfId="79" builtinId="49" customBuiltin="1"/>
    <cellStyle name="Bad" xfId="49" builtinId="27" customBuiltin="1"/>
    <cellStyle name="Calculation" xfId="53" builtinId="22" customBuiltin="1"/>
    <cellStyle name="Check Cell" xfId="55" builtinId="23" customBuiltin="1"/>
    <cellStyle name="Comma" xfId="42" builtinId="3"/>
    <cellStyle name="Comma 2" xfId="1"/>
    <cellStyle name="Comma 3" xfId="2"/>
    <cellStyle name="Currency" xfId="3" builtinId="4"/>
    <cellStyle name="Currency 2" xfId="4"/>
    <cellStyle name="Currency 3" xfId="5"/>
    <cellStyle name="Currency 4" xfId="6"/>
    <cellStyle name="Currency 5" xfId="86"/>
    <cellStyle name="Explanatory Text" xfId="57" builtinId="53" customBuiltin="1"/>
    <cellStyle name="Good" xfId="48"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51" builtinId="20" customBuiltin="1"/>
    <cellStyle name="Linked Cell" xfId="54" builtinId="24" customBuiltin="1"/>
    <cellStyle name="Neutral" xfId="50" builtinId="28" customBuiltin="1"/>
    <cellStyle name="Normal" xfId="0" builtinId="0"/>
    <cellStyle name="Normal 2" xfId="7"/>
    <cellStyle name="Normal 2 2" xfId="8"/>
    <cellStyle name="Normal 3" xfId="9"/>
    <cellStyle name="Normal 4" xfId="40"/>
    <cellStyle name="Normal 5" xfId="83"/>
    <cellStyle name="Normal 6" xfId="85"/>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3_5" xfId="41"/>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4"/>
    <cellStyle name="Output" xfId="52" builtinId="21" customBuiltin="1"/>
    <cellStyle name="Percent" xfId="36" builtinId="5"/>
    <cellStyle name="Percent 2" xfId="37"/>
    <cellStyle name="Percent 2 2" xfId="38"/>
    <cellStyle name="Percent 3" xfId="39"/>
    <cellStyle name="Title" xfId="43" builtinId="15" customBuiltin="1"/>
    <cellStyle name="Total" xfId="58" builtinId="25" customBuiltin="1"/>
    <cellStyle name="Warning Text" xfId="56"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28F84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2013
</a:t>
            </a:r>
          </a:p>
        </c:rich>
      </c:tx>
      <c:layout>
        <c:manualLayout>
          <c:xMode val="edge"/>
          <c:yMode val="edge"/>
          <c:x val="0.19364617595268938"/>
          <c:y val="3.1523599720167314E-2"/>
        </c:manualLayout>
      </c:layout>
      <c:spPr>
        <a:noFill/>
        <a:ln w="25400">
          <a:noFill/>
        </a:ln>
      </c:spPr>
    </c:title>
    <c:view3D>
      <c:perspective val="0"/>
    </c:view3D>
    <c:plotArea>
      <c:layout>
        <c:manualLayout>
          <c:layoutTarget val="inner"/>
          <c:xMode val="edge"/>
          <c:yMode val="edge"/>
          <c:x val="0.26021199252137905"/>
          <c:y val="0.36602483138891773"/>
          <c:w val="0.47503817239370238"/>
          <c:h val="0.21891437284025902"/>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39%</a:t>
                    </a:r>
                  </a:p>
                </c:rich>
              </c:tx>
              <c:spPr>
                <a:noFill/>
                <a:ln w="25400">
                  <a:noFill/>
                </a:ln>
              </c:spPr>
              <c:dLblPos val="bestFi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Other 
Funds (TAX)
2%</a:t>
                    </a:r>
                  </a:p>
                </c:rich>
              </c:tx>
              <c:spPr>
                <a:noFill/>
                <a:ln w="25400">
                  <a:noFill/>
                </a:ln>
              </c:spPr>
              <c:dLblPos val="bestFit"/>
            </c:dLbl>
            <c:dLbl>
              <c:idx val="2"/>
              <c:layout>
                <c:manualLayout>
                  <c:x val="-0.11350124577060425"/>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3%</a:t>
                    </a:r>
                  </a:p>
                </c:rich>
              </c:tx>
              <c:spPr>
                <a:noFill/>
                <a:ln w="25400">
                  <a:noFill/>
                </a:ln>
              </c:spPr>
              <c:dLblPos val="bestFi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Other Funds 
(Other Agencies)
56%</a:t>
                    </a:r>
                  </a:p>
                </c:rich>
              </c:tx>
              <c:spPr>
                <a:noFill/>
                <a:ln w="25400">
                  <a:noFill/>
                </a:ln>
              </c:spPr>
              <c:dLblPos val="bestFi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CatName val="1"/>
          </c:dLbls>
          <c:cat>
            <c:strRef>
              <c:f>('Rev.Exp.'!$A$11:$A$12,'Rev.Exp.'!$A$16:$A$17)</c:f>
              <c:strCache>
                <c:ptCount val="4"/>
                <c:pt idx="0">
                  <c:v>General Fund</c:v>
                </c:pt>
                <c:pt idx="1">
                  <c:v>All Other Funds</c:v>
                </c:pt>
                <c:pt idx="2">
                  <c:v>General Fund</c:v>
                </c:pt>
                <c:pt idx="3">
                  <c:v>All Other Funds</c:v>
                </c:pt>
              </c:strCache>
            </c:strRef>
          </c:cat>
          <c:val>
            <c:numRef>
              <c:f>('Rev.Exp.'!$C$11:$C$12,'Rev.Exp.'!$C$16:$C$17)</c:f>
              <c:numCache>
                <c:formatCode>#,##0</c:formatCode>
                <c:ptCount val="4"/>
                <c:pt idx="0" formatCode="[$$-409]#,##0">
                  <c:v>15755556000</c:v>
                </c:pt>
                <c:pt idx="1">
                  <c:v>802626000</c:v>
                </c:pt>
                <c:pt idx="2" formatCode="[$$-409]#,##0">
                  <c:v>1036412000</c:v>
                </c:pt>
                <c:pt idx="3">
                  <c:v>22359349000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State and Local Sales &amp; Use Tax Collections</a:t>
            </a:r>
          </a:p>
        </c:rich>
      </c:tx>
      <c:layout>
        <c:manualLayout>
          <c:xMode val="edge"/>
          <c:yMode val="edge"/>
          <c:x val="0.25960121920243839"/>
          <c:y val="5.4124049571123177E-2"/>
        </c:manualLayout>
      </c:layout>
      <c:spPr>
        <a:noFill/>
        <a:ln w="25400">
          <a:noFill/>
        </a:ln>
      </c:spPr>
    </c:title>
    <c:view3D>
      <c:rotX val="10"/>
      <c:hPercent val="50"/>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903259679676171"/>
          <c:y val="0.16752645837652741"/>
          <c:w val="0.84178408386460002"/>
          <c:h val="0.64175520208858972"/>
        </c:manualLayout>
      </c:layout>
      <c:bar3DChart>
        <c:barDir val="col"/>
        <c:grouping val="clustered"/>
        <c:ser>
          <c:idx val="0"/>
          <c:order val="0"/>
          <c:spPr>
            <a:solidFill>
              <a:srgbClr val="9999FF"/>
            </a:solidFill>
            <a:ln w="12700">
              <a:solidFill>
                <a:srgbClr val="000000"/>
              </a:solidFill>
              <a:prstDash val="solid"/>
            </a:ln>
          </c:spPr>
          <c:cat>
            <c:numRef>
              <c:f>'Table 4.1'!$A$9:$A$18</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4.1'!$I$9:$I$18</c:f>
              <c:numCache>
                <c:formatCode>"$"#,##0.00_);\("$"#,##0.00\)</c:formatCode>
                <c:ptCount val="10"/>
                <c:pt idx="0">
                  <c:v>3.5872579999999998</c:v>
                </c:pt>
                <c:pt idx="1">
                  <c:v>4.4800740000000001</c:v>
                </c:pt>
                <c:pt idx="2">
                  <c:v>4.5050780000000001</c:v>
                </c:pt>
                <c:pt idx="3">
                  <c:v>4.8467120000000001</c:v>
                </c:pt>
                <c:pt idx="4">
                  <c:v>4.8796809999999997</c:v>
                </c:pt>
                <c:pt idx="5">
                  <c:v>4.6278329999999999</c:v>
                </c:pt>
                <c:pt idx="6">
                  <c:v>4.7622609999999996</c:v>
                </c:pt>
                <c:pt idx="7">
                  <c:v>4.7039400000000002</c:v>
                </c:pt>
                <c:pt idx="8">
                  <c:v>4.8911930000000003</c:v>
                </c:pt>
                <c:pt idx="9">
                  <c:v>5.052117</c:v>
                </c:pt>
              </c:numCache>
            </c:numRef>
          </c:val>
        </c:ser>
        <c:shape val="box"/>
        <c:axId val="156537600"/>
        <c:axId val="156539520"/>
        <c:axId val="0"/>
      </c:bar3DChart>
      <c:catAx>
        <c:axId val="156537600"/>
        <c:scaling>
          <c:orientation val="minMax"/>
        </c:scaling>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88755"/>
              <c:y val="0.87629238033390144"/>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6539520"/>
        <c:crossesAt val="2"/>
        <c:auto val="1"/>
        <c:lblAlgn val="ctr"/>
        <c:lblOffset val="100"/>
        <c:tickLblSkip val="1"/>
        <c:tickMarkSkip val="1"/>
      </c:catAx>
      <c:valAx>
        <c:axId val="156539520"/>
        <c:scaling>
          <c:orientation val="minMax"/>
          <c:min val="2"/>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7.9877313722881413E-2"/>
              <c:y val="0.42783674270097682"/>
            </c:manualLayout>
          </c:layout>
          <c:spPr>
            <a:noFill/>
            <a:ln w="25400">
              <a:noFill/>
            </a:ln>
          </c:spPr>
        </c:title>
        <c:numFmt formatCode="\$#,##0.0_);\(\$#,##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6537600"/>
        <c:crosses val="autoZero"/>
        <c:crossBetween val="between"/>
        <c:minorUnit val="0.5"/>
      </c:valAx>
      <c:spPr>
        <a:noFill/>
        <a:ln w="25400">
          <a:noFill/>
        </a:ln>
      </c:spPr>
    </c:plotArea>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a:t>Motor Fuel Sales Tax Revenue</a:t>
            </a:r>
          </a:p>
        </c:rich>
      </c:tx>
      <c:layout>
        <c:manualLayout>
          <c:xMode val="edge"/>
          <c:yMode val="edge"/>
          <c:x val="0.31514396307556614"/>
          <c:y val="3.4274193548387094E-2"/>
        </c:manualLayout>
      </c:layout>
      <c:spPr>
        <a:noFill/>
        <a:ln w="25400">
          <a:noFill/>
        </a:ln>
      </c:spPr>
    </c:title>
    <c:view3D>
      <c:rotX val="16"/>
      <c:hPercent val="70"/>
      <c:rotY val="7"/>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4870427828227994"/>
          <c:y val="0.17338726746320909"/>
          <c:w val="0.62892359897368744"/>
          <c:h val="0.61895222222333113"/>
        </c:manualLayout>
      </c:layout>
      <c:bar3DChart>
        <c:barDir val="col"/>
        <c:grouping val="clustered"/>
        <c:ser>
          <c:idx val="1"/>
          <c:order val="0"/>
          <c:tx>
            <c:strRef>
              <c:f>'Table 4.4'!$A$21</c:f>
              <c:strCache>
                <c:ptCount val="1"/>
                <c:pt idx="0">
                  <c:v>Potomac and Rappahannock</c:v>
                </c:pt>
              </c:strCache>
            </c:strRef>
          </c:tx>
          <c:spPr>
            <a:solidFill>
              <a:srgbClr val="993366"/>
            </a:solidFill>
            <a:ln w="12700">
              <a:solidFill>
                <a:srgbClr val="000000"/>
              </a:solidFill>
              <a:prstDash val="solid"/>
            </a:ln>
          </c:spPr>
          <c:cat>
            <c:strRef>
              <c:f>'Table 4.4'!$B$4:$F$4</c:f>
              <c:strCache>
                <c:ptCount val="5"/>
                <c:pt idx="0">
                  <c:v>FY 2009</c:v>
                </c:pt>
                <c:pt idx="1">
                  <c:v>FY 2010</c:v>
                </c:pt>
                <c:pt idx="2">
                  <c:v>FY 2011</c:v>
                </c:pt>
                <c:pt idx="3">
                  <c:v>FY 2012</c:v>
                </c:pt>
                <c:pt idx="4">
                  <c:v>FY 2013</c:v>
                </c:pt>
              </c:strCache>
            </c:strRef>
          </c:cat>
          <c:val>
            <c:numRef>
              <c:f>'Table 4.4'!$K$25:$K$29</c:f>
              <c:numCache>
                <c:formatCode>"$"#,##0.00</c:formatCode>
                <c:ptCount val="5"/>
                <c:pt idx="0">
                  <c:v>19.294246650000002</c:v>
                </c:pt>
                <c:pt idx="1">
                  <c:v>20.151657780000001</c:v>
                </c:pt>
                <c:pt idx="2">
                  <c:v>26.500764829999998</c:v>
                </c:pt>
                <c:pt idx="3">
                  <c:v>31.216389379999999</c:v>
                </c:pt>
                <c:pt idx="4">
                  <c:v>30.745176959999998</c:v>
                </c:pt>
              </c:numCache>
            </c:numRef>
          </c:val>
        </c:ser>
        <c:ser>
          <c:idx val="0"/>
          <c:order val="1"/>
          <c:tx>
            <c:strRef>
              <c:f>'Table 4.4'!$A$12</c:f>
              <c:strCache>
                <c:ptCount val="1"/>
                <c:pt idx="0">
                  <c:v>Northern Virginia</c:v>
                </c:pt>
              </c:strCache>
            </c:strRef>
          </c:tx>
          <c:spPr>
            <a:solidFill>
              <a:srgbClr val="9999FF"/>
            </a:solidFill>
            <a:ln w="12700">
              <a:solidFill>
                <a:srgbClr val="000000"/>
              </a:solidFill>
              <a:prstDash val="solid"/>
            </a:ln>
          </c:spPr>
          <c:cat>
            <c:strRef>
              <c:f>'Table 4.4'!$B$4:$F$4</c:f>
              <c:strCache>
                <c:ptCount val="5"/>
                <c:pt idx="0">
                  <c:v>FY 2009</c:v>
                </c:pt>
                <c:pt idx="1">
                  <c:v>FY 2010</c:v>
                </c:pt>
                <c:pt idx="2">
                  <c:v>FY 2011</c:v>
                </c:pt>
                <c:pt idx="3">
                  <c:v>FY 2012</c:v>
                </c:pt>
                <c:pt idx="4">
                  <c:v>FY 2013</c:v>
                </c:pt>
              </c:strCache>
            </c:strRef>
          </c:cat>
          <c:val>
            <c:numRef>
              <c:f>'Table 4.4'!$J$25:$J$29</c:f>
              <c:numCache>
                <c:formatCode>"$"#,##0.00</c:formatCode>
                <c:ptCount val="5"/>
                <c:pt idx="0">
                  <c:v>36.457519429999998</c:v>
                </c:pt>
                <c:pt idx="1">
                  <c:v>36.119506969999996</c:v>
                </c:pt>
                <c:pt idx="2">
                  <c:v>43.022294459999991</c:v>
                </c:pt>
                <c:pt idx="3">
                  <c:v>47.134275039999999</c:v>
                </c:pt>
                <c:pt idx="4">
                  <c:v>49.074870669999989</c:v>
                </c:pt>
              </c:numCache>
            </c:numRef>
          </c:val>
        </c:ser>
        <c:shape val="box"/>
        <c:axId val="156622848"/>
        <c:axId val="156624768"/>
        <c:axId val="0"/>
      </c:bar3DChart>
      <c:catAx>
        <c:axId val="156622848"/>
        <c:scaling>
          <c:orientation val="minMax"/>
        </c:scaling>
        <c:axPos val="b"/>
        <c:title>
          <c:tx>
            <c:rich>
              <a:bodyPr/>
              <a:lstStyle/>
              <a:p>
                <a:pPr>
                  <a:defRPr sz="975" b="1" i="0" u="none" strike="noStrike" baseline="0">
                    <a:solidFill>
                      <a:srgbClr val="000000"/>
                    </a:solidFill>
                    <a:latin typeface="Arial"/>
                    <a:ea typeface="Arial"/>
                    <a:cs typeface="Arial"/>
                  </a:defRPr>
                </a:pPr>
                <a:r>
                  <a:rPr lang="en-US"/>
                  <a:t>Fiscal Year</a:t>
                </a:r>
              </a:p>
            </c:rich>
          </c:tx>
          <c:layout>
            <c:manualLayout>
              <c:xMode val="edge"/>
              <c:yMode val="edge"/>
              <c:x val="0.39836378740516676"/>
              <c:y val="0.84879111633224813"/>
            </c:manualLayout>
          </c:layout>
          <c:spPr>
            <a:noFill/>
            <a:ln w="25400">
              <a:noFill/>
            </a:ln>
          </c:spPr>
        </c:title>
        <c:numFmt formatCode="General" sourceLinked="1"/>
        <c:tickLblPos val="low"/>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56624768"/>
        <c:crosses val="autoZero"/>
        <c:lblAlgn val="ctr"/>
        <c:lblOffset val="100"/>
        <c:tickLblSkip val="1"/>
        <c:tickMarkSkip val="1"/>
      </c:catAx>
      <c:valAx>
        <c:axId val="156624768"/>
        <c:scaling>
          <c:orientation val="minMax"/>
          <c:max val="50"/>
          <c:min val="5"/>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Millions</a:t>
                </a:r>
              </a:p>
            </c:rich>
          </c:tx>
          <c:layout>
            <c:manualLayout>
              <c:xMode val="edge"/>
              <c:yMode val="edge"/>
              <c:x val="9.0041106730690046E-2"/>
              <c:y val="0.43548440013548079"/>
            </c:manualLayout>
          </c:layout>
          <c:spPr>
            <a:noFill/>
            <a:ln w="25400">
              <a:noFill/>
            </a:ln>
          </c:spPr>
        </c:title>
        <c:numFmt formatCode="\$#,##0" sourceLinked="0"/>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56622848"/>
        <c:crosses val="autoZero"/>
        <c:crossBetween val="between"/>
      </c:valAx>
      <c:spPr>
        <a:noFill/>
        <a:ln w="25400">
          <a:noFill/>
        </a:ln>
      </c:spPr>
    </c:plotArea>
    <c:legend>
      <c:legendPos val="r"/>
      <c:layout>
        <c:manualLayout>
          <c:xMode val="edge"/>
          <c:yMode val="edge"/>
          <c:x val="0.76807800968946105"/>
          <c:y val="0.33064542587418538"/>
          <c:w val="0.21146029154269044"/>
          <c:h val="0.3387099420032173"/>
        </c:manualLayout>
      </c:layout>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spPr>
        <a:noFill/>
        <a:ln w="25400">
          <a:noFill/>
        </a:ln>
      </c:spPr>
    </c:title>
    <c:view3D>
      <c:rotX val="10"/>
      <c:hPercent val="38"/>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031266063473205"/>
          <c:y val="0.19808407138146494"/>
          <c:w val="0.86250115156329099"/>
          <c:h val="0.53354903097911865"/>
        </c:manualLayout>
      </c:layout>
      <c:bar3DChart>
        <c:barDir val="col"/>
        <c:grouping val="clustered"/>
        <c:ser>
          <c:idx val="0"/>
          <c:order val="0"/>
          <c:spPr>
            <a:solidFill>
              <a:srgbClr val="9999FF"/>
            </a:solidFill>
            <a:ln w="12700">
              <a:solidFill>
                <a:srgbClr val="000000"/>
              </a:solidFill>
              <a:prstDash val="solid"/>
            </a:ln>
          </c:spPr>
          <c:cat>
            <c:numRef>
              <c:f>'Tables 5.3-5.4'!$A$36:$A$40</c:f>
              <c:numCache>
                <c:formatCode>General</c:formatCode>
                <c:ptCount val="5"/>
                <c:pt idx="0">
                  <c:v>2009</c:v>
                </c:pt>
                <c:pt idx="1">
                  <c:v>2010</c:v>
                </c:pt>
                <c:pt idx="2">
                  <c:v>2011</c:v>
                </c:pt>
                <c:pt idx="3">
                  <c:v>2012</c:v>
                </c:pt>
                <c:pt idx="4">
                  <c:v>2013</c:v>
                </c:pt>
              </c:numCache>
            </c:numRef>
          </c:cat>
          <c:val>
            <c:numRef>
              <c:f>'Tables 5.3-5.4'!$B$36:$B$40</c:f>
              <c:numCache>
                <c:formatCode>#,##0</c:formatCode>
                <c:ptCount val="5"/>
                <c:pt idx="0" formatCode="&quot;$&quot;#,##0">
                  <c:v>21273000</c:v>
                </c:pt>
                <c:pt idx="1">
                  <c:v>24343000</c:v>
                </c:pt>
                <c:pt idx="2">
                  <c:v>24580000</c:v>
                </c:pt>
                <c:pt idx="3">
                  <c:v>19570000</c:v>
                </c:pt>
                <c:pt idx="4">
                  <c:v>20202000</c:v>
                </c:pt>
              </c:numCache>
            </c:numRef>
          </c:val>
        </c:ser>
        <c:shape val="box"/>
        <c:axId val="156670976"/>
        <c:axId val="156898432"/>
        <c:axId val="0"/>
      </c:bar3DChart>
      <c:catAx>
        <c:axId val="156670976"/>
        <c:scaling>
          <c:orientation val="minMax"/>
        </c:scaling>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49152"/>
              <c:y val="0.83706489564203834"/>
            </c:manualLayout>
          </c:layout>
          <c:spPr>
            <a:noFill/>
            <a:ln w="25400">
              <a:noFill/>
            </a:ln>
          </c:spPr>
        </c:title>
        <c:numFmt formatCode="#\ ?/?" sourceLinked="0"/>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6898432"/>
        <c:crossesAt val="0"/>
        <c:auto val="1"/>
        <c:lblAlgn val="ctr"/>
        <c:lblOffset val="100"/>
        <c:tickLblSkip val="1"/>
        <c:tickMarkSkip val="1"/>
      </c:catAx>
      <c:valAx>
        <c:axId val="156898432"/>
        <c:scaling>
          <c:orientation val="minMax"/>
          <c:max val="26000000"/>
          <c:min val="2000000"/>
        </c:scaling>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5225"/>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6670976"/>
        <c:crosses val="autoZero"/>
        <c:crossBetween val="between"/>
        <c:majorUnit val="4000000"/>
        <c:dispUnits>
          <c:builtInUnit val="millions"/>
        </c:dispUnits>
      </c:valAx>
      <c:spPr>
        <a:noFill/>
        <a:ln w="25400">
          <a:noFill/>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558"/>
          <c:y val="3.3395171153344054E-2"/>
        </c:manualLayout>
      </c:layout>
      <c:spPr>
        <a:noFill/>
        <a:ln w="25400">
          <a:noFill/>
        </a:ln>
      </c:spPr>
    </c:title>
    <c:view3D>
      <c:rotX val="10"/>
      <c:hPercent val="6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ser>
          <c:idx val="0"/>
          <c:order val="0"/>
          <c:tx>
            <c:strRef>
              <c:f>'Rev.Exp.'!$I$28</c:f>
              <c:strCache>
                <c:ptCount val="1"/>
                <c:pt idx="0">
                  <c:v>General Fund</c:v>
                </c:pt>
              </c:strCache>
            </c:strRef>
          </c:tx>
          <c:spPr>
            <a:solidFill>
              <a:srgbClr val="9999FF"/>
            </a:solidFill>
            <a:ln w="12700">
              <a:solidFill>
                <a:srgbClr val="000000"/>
              </a:solidFill>
              <a:prstDash val="solid"/>
            </a:ln>
          </c:spPr>
          <c:cat>
            <c:numRef>
              <c:f>'Rev.Exp.'!$H$39:$H$47</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'Rev.Exp.'!$I$39:$I$47</c:f>
              <c:numCache>
                <c:formatCode>0.00</c:formatCode>
                <c:ptCount val="9"/>
                <c:pt idx="0">
                  <c:v>13.755000000000001</c:v>
                </c:pt>
                <c:pt idx="1">
                  <c:v>14.903528</c:v>
                </c:pt>
                <c:pt idx="2">
                  <c:v>15.632781</c:v>
                </c:pt>
                <c:pt idx="3">
                  <c:v>15.844583999999999</c:v>
                </c:pt>
                <c:pt idx="4">
                  <c:v>14.397963000000001</c:v>
                </c:pt>
                <c:pt idx="5">
                  <c:v>14.310392999999999</c:v>
                </c:pt>
                <c:pt idx="6">
                  <c:v>15.378508</c:v>
                </c:pt>
                <c:pt idx="7">
                  <c:v>16.181951000000002</c:v>
                </c:pt>
                <c:pt idx="8">
                  <c:v>16.791968000000001</c:v>
                </c:pt>
              </c:numCache>
            </c:numRef>
          </c:val>
        </c:ser>
        <c:ser>
          <c:idx val="1"/>
          <c:order val="1"/>
          <c:tx>
            <c:strRef>
              <c:f>'Rev.Exp.'!$J$28</c:f>
              <c:strCache>
                <c:ptCount val="1"/>
                <c:pt idx="0">
                  <c:v>All Other Funds</c:v>
                </c:pt>
              </c:strCache>
            </c:strRef>
          </c:tx>
          <c:spPr>
            <a:solidFill>
              <a:srgbClr val="993366"/>
            </a:solidFill>
            <a:ln w="12700">
              <a:solidFill>
                <a:srgbClr val="000000"/>
              </a:solidFill>
              <a:prstDash val="solid"/>
            </a:ln>
          </c:spPr>
          <c:cat>
            <c:numRef>
              <c:f>'Rev.Exp.'!$H$39:$H$47</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'Rev.Exp.'!$J$39:$J$47</c:f>
              <c:numCache>
                <c:formatCode>0.00</c:formatCode>
                <c:ptCount val="9"/>
                <c:pt idx="0">
                  <c:v>17.722999999999999</c:v>
                </c:pt>
                <c:pt idx="1">
                  <c:v>18.971191999999999</c:v>
                </c:pt>
                <c:pt idx="2">
                  <c:v>19.617564999999999</c:v>
                </c:pt>
                <c:pt idx="3">
                  <c:v>18.257210000000001</c:v>
                </c:pt>
                <c:pt idx="4">
                  <c:v>19.133918000000001</c:v>
                </c:pt>
                <c:pt idx="5">
                  <c:v>21.508365999999999</c:v>
                </c:pt>
                <c:pt idx="6">
                  <c:v>22.960031000000001</c:v>
                </c:pt>
                <c:pt idx="7">
                  <c:v>22.802582000000001</c:v>
                </c:pt>
                <c:pt idx="8">
                  <c:v>23.161975000000002</c:v>
                </c:pt>
              </c:numCache>
            </c:numRef>
          </c:val>
        </c:ser>
        <c:shape val="box"/>
        <c:axId val="181996928"/>
        <c:axId val="182252672"/>
        <c:axId val="0"/>
      </c:bar3DChart>
      <c:catAx>
        <c:axId val="181996928"/>
        <c:scaling>
          <c:orientation val="minMax"/>
        </c:scaling>
        <c:axPos val="b"/>
        <c:numFmt formatCode="General" sourceLinked="1"/>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82252672"/>
        <c:crosses val="autoZero"/>
        <c:auto val="1"/>
        <c:lblAlgn val="ctr"/>
        <c:lblOffset val="100"/>
        <c:tickLblSkip val="1"/>
        <c:tickMarkSkip val="1"/>
      </c:catAx>
      <c:valAx>
        <c:axId val="182252672"/>
        <c:scaling>
          <c:orientation val="minMax"/>
        </c:scaling>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2733"/>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81996928"/>
        <c:crosses val="autoZero"/>
        <c:crossBetween val="between"/>
      </c:valAx>
      <c:spPr>
        <a:noFill/>
        <a:ln w="25400">
          <a:noFill/>
        </a:ln>
      </c:spPr>
    </c:plotArea>
    <c:legend>
      <c:legendPos val="b"/>
      <c:layout>
        <c:manualLayout>
          <c:xMode val="edge"/>
          <c:yMode val="edge"/>
          <c:x val="0.21195767260158938"/>
          <c:y val="0.90728747257380238"/>
          <c:w val="0.66457950484164752"/>
          <c:h val="7.7870534507793923E-2"/>
        </c:manualLayout>
      </c:layout>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2013
</a:t>
            </a:r>
          </a:p>
        </c:rich>
      </c:tx>
      <c:layout>
        <c:manualLayout>
          <c:xMode val="edge"/>
          <c:yMode val="edge"/>
          <c:x val="0.16910569105691056"/>
          <c:y val="3.420523138833001E-2"/>
        </c:manualLayout>
      </c:layout>
      <c:spPr>
        <a:noFill/>
        <a:ln w="25400">
          <a:noFill/>
        </a:ln>
      </c:spPr>
    </c:title>
    <c:view3D>
      <c:perspective val="0"/>
    </c:view3D>
    <c:plotArea>
      <c:layout>
        <c:manualLayout>
          <c:layoutTarget val="inner"/>
          <c:xMode val="edge"/>
          <c:yMode val="edge"/>
          <c:x val="0.25040660347061588"/>
          <c:y val="0.44466866335022692"/>
          <c:w val="0.50243922384687179"/>
          <c:h val="0.24748527417230057"/>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dLblPos val="bestFit"/>
              <c:showCatName val="1"/>
              <c:showPercent val="1"/>
            </c:dLbl>
            <c:dLbl>
              <c:idx val="1"/>
              <c:layout/>
              <c:dLblPos val="bestFit"/>
              <c:showCatName val="1"/>
              <c:showPercent val="1"/>
            </c:dLbl>
            <c:dLbl>
              <c:idx val="3"/>
              <c:layout>
                <c:manualLayout>
                  <c:x val="4.5889358920523704E-2"/>
                  <c:y val="-5.5320948607453485E-2"/>
                </c:manualLayout>
              </c:layout>
              <c:dLblPos val="bestFit"/>
              <c:showCatName val="1"/>
              <c:showPercent val="1"/>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CatName val="1"/>
            <c:showPercent val="1"/>
          </c:dLbls>
          <c:cat>
            <c:strRef>
              <c:f>'By Account'!$L$28:$L$31</c:f>
              <c:strCache>
                <c:ptCount val="4"/>
                <c:pt idx="0">
                  <c:v>Sales and Use Tax</c:v>
                </c:pt>
                <c:pt idx="1">
                  <c:v>Individual Income Tax</c:v>
                </c:pt>
                <c:pt idx="2">
                  <c:v>Corporation Income</c:v>
                </c:pt>
                <c:pt idx="3">
                  <c:v>Other</c:v>
                </c:pt>
              </c:strCache>
            </c:strRef>
          </c:cat>
          <c:val>
            <c:numRef>
              <c:f>'By Account'!$N$28:$N$31</c:f>
              <c:numCache>
                <c:formatCode>#,##0</c:formatCode>
                <c:ptCount val="4"/>
                <c:pt idx="0">
                  <c:v>3219798000</c:v>
                </c:pt>
                <c:pt idx="1">
                  <c:v>11339965000</c:v>
                </c:pt>
                <c:pt idx="2">
                  <c:v>796728000</c:v>
                </c:pt>
                <c:pt idx="3">
                  <c:v>1201691000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Sources</a:t>
            </a:r>
          </a:p>
        </c:rich>
      </c:tx>
      <c:layout>
        <c:manualLayout>
          <c:xMode val="edge"/>
          <c:yMode val="edge"/>
          <c:x val="0.13311688311688324"/>
          <c:y val="3.4858387799564412E-2"/>
        </c:manualLayout>
      </c:layout>
      <c:spPr>
        <a:noFill/>
        <a:ln w="25400">
          <a:noFill/>
        </a:ln>
      </c:spPr>
    </c:title>
    <c:view3D>
      <c:rotX val="10"/>
      <c:hPercent val="59"/>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20129886086114177"/>
          <c:y val="0.19825734424113683"/>
          <c:w val="0.76623437360045465"/>
          <c:h val="0.60784394553052346"/>
        </c:manualLayout>
      </c:layout>
      <c:bar3DChart>
        <c:barDir val="col"/>
        <c:grouping val="clustered"/>
        <c:ser>
          <c:idx val="0"/>
          <c:order val="0"/>
          <c:tx>
            <c:strRef>
              <c:f>'By Account'!$K$3</c:f>
              <c:strCache>
                <c:ptCount val="1"/>
                <c:pt idx="0">
                  <c:v>Individual Income Tax</c:v>
                </c:pt>
              </c:strCache>
            </c:strRef>
          </c:tx>
          <c:spPr>
            <a:solidFill>
              <a:srgbClr val="9999FF"/>
            </a:solidFill>
            <a:ln w="12700">
              <a:solidFill>
                <a:srgbClr val="000000"/>
              </a:solidFill>
              <a:prstDash val="solid"/>
            </a:ln>
          </c:spPr>
          <c:cat>
            <c:numRef>
              <c:f>'By Account'!$T$2:$Z$2</c:f>
              <c:numCache>
                <c:formatCode>General</c:formatCode>
                <c:ptCount val="7"/>
                <c:pt idx="0">
                  <c:v>2007</c:v>
                </c:pt>
                <c:pt idx="1">
                  <c:v>2008</c:v>
                </c:pt>
                <c:pt idx="2">
                  <c:v>2009</c:v>
                </c:pt>
                <c:pt idx="3">
                  <c:v>2010</c:v>
                </c:pt>
                <c:pt idx="4">
                  <c:v>2011</c:v>
                </c:pt>
                <c:pt idx="5">
                  <c:v>2012</c:v>
                </c:pt>
                <c:pt idx="6">
                  <c:v>2013</c:v>
                </c:pt>
              </c:numCache>
            </c:numRef>
          </c:cat>
          <c:val>
            <c:numRef>
              <c:f>'By Account'!$T$3:$Z$3</c:f>
              <c:numCache>
                <c:formatCode>0.000</c:formatCode>
                <c:ptCount val="7"/>
                <c:pt idx="0">
                  <c:v>9.7875920000000001</c:v>
                </c:pt>
                <c:pt idx="1">
                  <c:v>10.114833000000001</c:v>
                </c:pt>
                <c:pt idx="2">
                  <c:v>9.481109</c:v>
                </c:pt>
                <c:pt idx="3">
                  <c:v>9.0882520000000007</c:v>
                </c:pt>
                <c:pt idx="4">
                  <c:v>9.9443699999999993</c:v>
                </c:pt>
                <c:pt idx="5">
                  <c:v>10.612836</c:v>
                </c:pt>
                <c:pt idx="6">
                  <c:v>11.339964999999999</c:v>
                </c:pt>
              </c:numCache>
            </c:numRef>
          </c:val>
        </c:ser>
        <c:ser>
          <c:idx val="1"/>
          <c:order val="1"/>
          <c:tx>
            <c:strRef>
              <c:f>'By Account'!$K$4</c:f>
              <c:strCache>
                <c:ptCount val="1"/>
                <c:pt idx="0">
                  <c:v>Sales and Use Tax</c:v>
                </c:pt>
              </c:strCache>
            </c:strRef>
          </c:tx>
          <c:spPr>
            <a:solidFill>
              <a:srgbClr val="993366"/>
            </a:solidFill>
            <a:ln w="12700">
              <a:solidFill>
                <a:srgbClr val="000000"/>
              </a:solidFill>
              <a:prstDash val="solid"/>
            </a:ln>
          </c:spPr>
          <c:cat>
            <c:numRef>
              <c:f>'By Account'!$T$2:$Z$2</c:f>
              <c:numCache>
                <c:formatCode>General</c:formatCode>
                <c:ptCount val="7"/>
                <c:pt idx="0">
                  <c:v>2007</c:v>
                </c:pt>
                <c:pt idx="1">
                  <c:v>2008</c:v>
                </c:pt>
                <c:pt idx="2">
                  <c:v>2009</c:v>
                </c:pt>
                <c:pt idx="3">
                  <c:v>2010</c:v>
                </c:pt>
                <c:pt idx="4">
                  <c:v>2011</c:v>
                </c:pt>
                <c:pt idx="5">
                  <c:v>2012</c:v>
                </c:pt>
                <c:pt idx="6">
                  <c:v>2013</c:v>
                </c:pt>
              </c:numCache>
            </c:numRef>
          </c:cat>
          <c:val>
            <c:numRef>
              <c:f>'By Account'!$T$4:$Z$4</c:f>
              <c:numCache>
                <c:formatCode>0.000</c:formatCode>
                <c:ptCount val="7"/>
                <c:pt idx="0">
                  <c:v>3.0492900000000001</c:v>
                </c:pt>
                <c:pt idx="1">
                  <c:v>3.0757620000000001</c:v>
                </c:pt>
                <c:pt idx="2">
                  <c:v>2.9041419999999998</c:v>
                </c:pt>
                <c:pt idx="3">
                  <c:v>3.082532</c:v>
                </c:pt>
                <c:pt idx="4">
                  <c:v>3.0123790000000001</c:v>
                </c:pt>
                <c:pt idx="5">
                  <c:v>3.1215030000000001</c:v>
                </c:pt>
                <c:pt idx="6">
                  <c:v>3.2197979999999999</c:v>
                </c:pt>
              </c:numCache>
            </c:numRef>
          </c:val>
        </c:ser>
        <c:shape val="box"/>
        <c:axId val="186248576"/>
        <c:axId val="208438016"/>
        <c:axId val="0"/>
      </c:bar3DChart>
      <c:catAx>
        <c:axId val="186248576"/>
        <c:scaling>
          <c:orientation val="minMax"/>
        </c:scaling>
        <c:axPos val="b"/>
        <c:numFmt formatCode="General" sourceLinked="1"/>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208438016"/>
        <c:crosses val="autoZero"/>
        <c:auto val="1"/>
        <c:lblAlgn val="ctr"/>
        <c:lblOffset val="100"/>
        <c:tickLblSkip val="1"/>
        <c:tickMarkSkip val="1"/>
      </c:catAx>
      <c:valAx>
        <c:axId val="208438016"/>
        <c:scaling>
          <c:orientation val="minMax"/>
          <c:max val="11"/>
        </c:scaling>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spPr>
            <a:noFill/>
            <a:ln w="25400">
              <a:noFill/>
            </a:ln>
          </c:spPr>
        </c:title>
        <c:numFmt formatCode="\$#,##0" sourceLinked="0"/>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86248576"/>
        <c:crosses val="autoZero"/>
        <c:crossBetween val="between"/>
        <c:majorUnit val="1"/>
        <c:minorUnit val="1"/>
      </c:valAx>
      <c:spPr>
        <a:noFill/>
        <a:ln w="25400">
          <a:noFill/>
        </a:ln>
      </c:spPr>
    </c:plotArea>
    <c:legend>
      <c:legendPos val="b"/>
      <c:layout/>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2124"/>
          <c:y val="3.1609215514728818E-2"/>
        </c:manualLayout>
      </c:layout>
      <c:spPr>
        <a:noFill/>
        <a:ln w="25400">
          <a:noFill/>
        </a:ln>
      </c:spPr>
    </c:title>
    <c:view3D>
      <c:rotX val="10"/>
      <c:hPercent val="45"/>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ser>
          <c:idx val="0"/>
          <c:order val="0"/>
          <c:spPr>
            <a:solidFill>
              <a:srgbClr val="993366"/>
            </a:solidFill>
            <a:ln w="12700">
              <a:solidFill>
                <a:srgbClr val="000000"/>
              </a:solidFill>
              <a:prstDash val="solid"/>
            </a:ln>
          </c:spPr>
          <c:cat>
            <c:numRef>
              <c:f>'Table 1.1'!$AA$9:$AA$21</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cat>
          <c:val>
            <c:numRef>
              <c:f>'Table 1.1'!$AB$9:$AB$21</c:f>
              <c:numCache>
                <c:formatCode>#,##0.00</c:formatCode>
                <c:ptCount val="13"/>
                <c:pt idx="0">
                  <c:v>6.09</c:v>
                </c:pt>
                <c:pt idx="1">
                  <c:v>6.55</c:v>
                </c:pt>
                <c:pt idx="2">
                  <c:v>6.37</c:v>
                </c:pt>
                <c:pt idx="3">
                  <c:v>6.44</c:v>
                </c:pt>
                <c:pt idx="4">
                  <c:v>6.82</c:v>
                </c:pt>
                <c:pt idx="5">
                  <c:v>7.36</c:v>
                </c:pt>
                <c:pt idx="6">
                  <c:v>8.41</c:v>
                </c:pt>
                <c:pt idx="7">
                  <c:v>9.1300000000000008</c:v>
                </c:pt>
                <c:pt idx="8">
                  <c:v>9.6</c:v>
                </c:pt>
                <c:pt idx="9">
                  <c:v>9.1999999999999993</c:v>
                </c:pt>
                <c:pt idx="10">
                  <c:v>8.84</c:v>
                </c:pt>
                <c:pt idx="11">
                  <c:v>9.5399999999999991</c:v>
                </c:pt>
                <c:pt idx="12">
                  <c:v>9.85</c:v>
                </c:pt>
              </c:numCache>
            </c:numRef>
          </c:val>
        </c:ser>
        <c:shape val="box"/>
        <c:axId val="152480384"/>
        <c:axId val="152486656"/>
        <c:axId val="0"/>
      </c:bar3DChart>
      <c:catAx>
        <c:axId val="152480384"/>
        <c:scaling>
          <c:orientation val="minMax"/>
        </c:scaling>
        <c:axPos val="b"/>
        <c:title>
          <c:tx>
            <c:rich>
              <a:bodyPr/>
              <a:lstStyle/>
              <a:p>
                <a:pPr>
                  <a:defRPr sz="1075" b="1" i="0" u="none" strike="noStrike" baseline="0">
                    <a:solidFill>
                      <a:srgbClr val="000000"/>
                    </a:solidFill>
                    <a:latin typeface="Arial"/>
                    <a:ea typeface="Arial"/>
                    <a:cs typeface="Arial"/>
                  </a:defRPr>
                </a:pPr>
                <a:r>
                  <a:rPr lang="en-US"/>
                  <a:t>Tax Year</a:t>
                </a:r>
              </a:p>
            </c:rich>
          </c:tx>
          <c:layout>
            <c:manualLayout>
              <c:xMode val="edge"/>
              <c:yMode val="edge"/>
              <c:x val="0.49384889645292973"/>
              <c:y val="0.79023213764946054"/>
            </c:manualLayout>
          </c:layout>
          <c:spPr>
            <a:noFill/>
            <a:ln w="25400">
              <a:noFill/>
            </a:ln>
          </c:spPr>
        </c:title>
        <c:numFmt formatCode="General" sourceLinked="1"/>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2486656"/>
        <c:crosses val="autoZero"/>
        <c:auto val="1"/>
        <c:lblAlgn val="ctr"/>
        <c:lblOffset val="100"/>
        <c:tickLblSkip val="2"/>
        <c:tickMarkSkip val="1"/>
      </c:catAx>
      <c:valAx>
        <c:axId val="152486656"/>
        <c:scaling>
          <c:orientation val="minMax"/>
          <c:min val="3"/>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504E-2"/>
              <c:y val="0.37643802857976238"/>
            </c:manualLayout>
          </c:layout>
          <c:spPr>
            <a:noFill/>
            <a:ln w="25400">
              <a:noFill/>
            </a:ln>
          </c:spPr>
        </c:title>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2480384"/>
        <c:crosses val="autoZero"/>
        <c:crossBetween val="between"/>
        <c:majorUnit val="0.5"/>
        <c:minorUnit val="0.5"/>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232" r="0.7500000000000123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4158456719233276"/>
          <c:y val="0.33453281478266372"/>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Lbls>
            <c:dLbl>
              <c:idx val="1"/>
              <c:tx>
                <c:rich>
                  <a:bodyPr/>
                  <a:lstStyle/>
                  <a:p>
                    <a:pPr>
                      <a:defRPr sz="1100" b="0" i="0" u="none" strike="noStrike" baseline="0">
                        <a:solidFill>
                          <a:srgbClr val="000000"/>
                        </a:solidFill>
                        <a:latin typeface="Arial"/>
                        <a:ea typeface="Arial"/>
                        <a:cs typeface="Arial"/>
                      </a:defRPr>
                    </a:pPr>
                    <a:r>
                      <a:rPr lang="en-US"/>
                      <a:t>Nonjoint
4%</a:t>
                    </a:r>
                  </a:p>
                </c:rich>
              </c:tx>
              <c:spPr>
                <a:noFill/>
                <a:ln w="25400">
                  <a:noFill/>
                </a:ln>
              </c:spPr>
              <c:dLblPos val="bestFi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CatName val="1"/>
            <c:showPercent val="1"/>
          </c:dLbls>
          <c:cat>
            <c:strRef>
              <c:f>'Table 1.3'!$AB$19:$AB$21</c:f>
              <c:strCache>
                <c:ptCount val="3"/>
                <c:pt idx="0">
                  <c:v>Single</c:v>
                </c:pt>
                <c:pt idx="1">
                  <c:v>Separate</c:v>
                </c:pt>
                <c:pt idx="2">
                  <c:v>Joint</c:v>
                </c:pt>
              </c:strCache>
            </c:strRef>
          </c:cat>
          <c:val>
            <c:numRef>
              <c:f>'Table 1.3'!$AC$19:$AC$21</c:f>
              <c:numCache>
                <c:formatCode>#,##0</c:formatCode>
                <c:ptCount val="3"/>
                <c:pt idx="0">
                  <c:v>2060318</c:v>
                </c:pt>
                <c:pt idx="1">
                  <c:v>139211</c:v>
                </c:pt>
                <c:pt idx="2">
                  <c:v>1457145</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1594710658536789"/>
          <c:y val="0.28668977811923346"/>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6.8802384382657789E-2"/>
                  <c:y val="-9.1021155929984027E-2"/>
                </c:manualLayout>
              </c:layout>
              <c:tx>
                <c:rich>
                  <a:bodyPr/>
                  <a:lstStyle/>
                  <a:p>
                    <a:r>
                      <a:rPr lang="en-US"/>
                      <a:t>Age
9%</a:t>
                    </a:r>
                  </a:p>
                </c:rich>
              </c:tx>
              <c:dLblPos val="bestFit"/>
              <c:showCatName val="1"/>
              <c:showPercent val="1"/>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CatName val="1"/>
            <c:showPercent val="1"/>
          </c:dLbls>
          <c:cat>
            <c:strRef>
              <c:f>'Table 1.4'!$E$39:$E$42</c:f>
              <c:strCache>
                <c:ptCount val="4"/>
                <c:pt idx="0">
                  <c:v>Age</c:v>
                </c:pt>
                <c:pt idx="1">
                  <c:v>Blindness</c:v>
                </c:pt>
                <c:pt idx="2">
                  <c:v>Personal</c:v>
                </c:pt>
                <c:pt idx="3">
                  <c:v>Dependent</c:v>
                </c:pt>
              </c:strCache>
            </c:strRef>
          </c:cat>
          <c:val>
            <c:numRef>
              <c:f>'Table 1.4'!$F$39:$F$42</c:f>
              <c:numCache>
                <c:formatCode>#,##0</c:formatCode>
                <c:ptCount val="4"/>
                <c:pt idx="0">
                  <c:v>721972</c:v>
                </c:pt>
                <c:pt idx="1">
                  <c:v>9891</c:v>
                </c:pt>
                <c:pt idx="2">
                  <c:v>5123327</c:v>
                </c:pt>
                <c:pt idx="3">
                  <c:v>2362760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5833"/>
          <c:y val="3.8690866766654196E-2"/>
        </c:manualLayout>
      </c:layout>
      <c:spPr>
        <a:noFill/>
        <a:ln w="25400">
          <a:noFill/>
        </a:ln>
      </c:spPr>
    </c:title>
    <c:view3D>
      <c:rotX val="10"/>
      <c:hPercent val="4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1930928503001839"/>
          <c:y val="0.19345336490707721"/>
          <c:w val="0.85400330337276309"/>
          <c:h val="0.59226491717703578"/>
        </c:manualLayout>
      </c:layout>
      <c:bar3DChart>
        <c:barDir val="col"/>
        <c:grouping val="clustered"/>
        <c:ser>
          <c:idx val="1"/>
          <c:order val="0"/>
          <c:tx>
            <c:strRef>
              <c:f>'Table 1.8-1.9'!$C$29</c:f>
              <c:strCache>
                <c:ptCount val="1"/>
                <c:pt idx="0">
                  <c:v>Total</c:v>
                </c:pt>
              </c:strCache>
            </c:strRef>
          </c:tx>
          <c:spPr>
            <a:solidFill>
              <a:srgbClr val="993366"/>
            </a:solidFill>
            <a:ln w="12700">
              <a:solidFill>
                <a:srgbClr val="000000"/>
              </a:solidFill>
              <a:prstDash val="solid"/>
            </a:ln>
          </c:spPr>
          <c:cat>
            <c:numRef>
              <c:f>'Table 1.8-1.9'!$I$30:$I$39</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1.8-1.9'!$J$30:$J$39</c:f>
              <c:numCache>
                <c:formatCode>"$"#,##0.0</c:formatCode>
                <c:ptCount val="10"/>
                <c:pt idx="0">
                  <c:v>23.013587100000002</c:v>
                </c:pt>
                <c:pt idx="1">
                  <c:v>21.137385800000001</c:v>
                </c:pt>
                <c:pt idx="2">
                  <c:v>22.937393359999998</c:v>
                </c:pt>
                <c:pt idx="3">
                  <c:v>14.052101029999999</c:v>
                </c:pt>
                <c:pt idx="4">
                  <c:v>15.896468560000001</c:v>
                </c:pt>
                <c:pt idx="5">
                  <c:v>15.673200720000001</c:v>
                </c:pt>
                <c:pt idx="6">
                  <c:v>16.366547060000002</c:v>
                </c:pt>
                <c:pt idx="7">
                  <c:v>17.87642293</c:v>
                </c:pt>
                <c:pt idx="8">
                  <c:v>18.578293819999999</c:v>
                </c:pt>
                <c:pt idx="9">
                  <c:v>18.10492331</c:v>
                </c:pt>
              </c:numCache>
            </c:numRef>
          </c:val>
        </c:ser>
        <c:shape val="box"/>
        <c:axId val="156159360"/>
        <c:axId val="156165632"/>
        <c:axId val="0"/>
      </c:bar3DChart>
      <c:catAx>
        <c:axId val="156159360"/>
        <c:scaling>
          <c:orientation val="minMax"/>
        </c:scaling>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7989"/>
              <c:y val="0.8660757249094021"/>
            </c:manualLayout>
          </c:layout>
          <c:spPr>
            <a:noFill/>
            <a:ln w="25400">
              <a:noFill/>
            </a:ln>
          </c:spPr>
        </c:title>
        <c:numFmt formatCode="General" sourceLinked="1"/>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6165632"/>
        <c:crossesAt val="10"/>
        <c:auto val="1"/>
        <c:lblAlgn val="ctr"/>
        <c:lblOffset val="100"/>
        <c:tickLblSkip val="1"/>
        <c:tickMarkSkip val="1"/>
      </c:catAx>
      <c:valAx>
        <c:axId val="156165632"/>
        <c:scaling>
          <c:orientation val="minMax"/>
          <c:min val="10"/>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659"/>
            </c:manualLayout>
          </c:layout>
          <c:spPr>
            <a:noFill/>
            <a:ln w="25400">
              <a:noFill/>
            </a:ln>
          </c:spPr>
        </c:title>
        <c:numFmt formatCode="\$#,##0" sourceLinked="0"/>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6159360"/>
        <c:crosses val="autoZero"/>
        <c:crossBetween val="between"/>
      </c:valAx>
      <c:spPr>
        <a:noFill/>
        <a:ln w="25400">
          <a:noFill/>
        </a:ln>
      </c:spPr>
    </c:plotArea>
    <c:plotVisOnly val="1"/>
    <c:dispBlanksAs val="gap"/>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spPr>
        <a:noFill/>
        <a:ln w="25400">
          <a:noFill/>
        </a:ln>
      </c:spPr>
    </c:title>
    <c:view3D>
      <c:hPercent val="49"/>
      <c:depthPercent val="100"/>
      <c:rAngAx val="1"/>
    </c:view3D>
    <c:floor>
      <c:spPr>
        <a:solidFill>
          <a:srgbClr val="C0C0C0"/>
        </a:solid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111"/>
          <c:h val="0.63500135650926581"/>
        </c:manualLayout>
      </c:layout>
      <c:bar3DChart>
        <c:barDir val="col"/>
        <c:grouping val="stacked"/>
        <c:ser>
          <c:idx val="0"/>
          <c:order val="0"/>
          <c:tx>
            <c:strRef>
              <c:f>'Table 2.1'!$D$5</c:f>
              <c:strCache>
                <c:ptCount val="1"/>
                <c:pt idx="0">
                  <c:v>Amount</c:v>
                </c:pt>
              </c:strCache>
            </c:strRef>
          </c:tx>
          <c:spPr>
            <a:solidFill>
              <a:srgbClr val="9999FF"/>
            </a:solidFill>
            <a:ln w="12700">
              <a:solidFill>
                <a:srgbClr val="000000"/>
              </a:solidFill>
              <a:prstDash val="solid"/>
            </a:ln>
          </c:spPr>
          <c:cat>
            <c:numRef>
              <c:f>'Table 2.1'!$A$6:$A$16</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 2.1'!$D$6:$D$16</c:f>
              <c:numCache>
                <c:formatCode>#,##0</c:formatCode>
                <c:ptCount val="11"/>
                <c:pt idx="0" formatCode="&quot;$&quot;#,##0">
                  <c:v>343318607</c:v>
                </c:pt>
                <c:pt idx="1">
                  <c:v>425715754</c:v>
                </c:pt>
                <c:pt idx="2">
                  <c:v>616690263</c:v>
                </c:pt>
                <c:pt idx="3">
                  <c:v>867115786</c:v>
                </c:pt>
                <c:pt idx="4">
                  <c:v>879575371</c:v>
                </c:pt>
                <c:pt idx="5">
                  <c:v>807851584</c:v>
                </c:pt>
                <c:pt idx="6">
                  <c:v>648032537</c:v>
                </c:pt>
                <c:pt idx="7">
                  <c:v>806472760</c:v>
                </c:pt>
                <c:pt idx="8">
                  <c:v>822258802.83999991</c:v>
                </c:pt>
                <c:pt idx="9">
                  <c:v>859922839.54999995</c:v>
                </c:pt>
                <c:pt idx="10">
                  <c:v>796728154.4000001</c:v>
                </c:pt>
              </c:numCache>
            </c:numRef>
          </c:val>
        </c:ser>
        <c:shape val="box"/>
        <c:axId val="156444544"/>
        <c:axId val="156471296"/>
        <c:axId val="0"/>
      </c:bar3DChart>
      <c:catAx>
        <c:axId val="156444544"/>
        <c:scaling>
          <c:orientation val="minMax"/>
        </c:scaling>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6471296"/>
        <c:crosses val="autoZero"/>
        <c:auto val="1"/>
        <c:lblAlgn val="ctr"/>
        <c:lblOffset val="100"/>
        <c:tickLblSkip val="1"/>
        <c:tickMarkSkip val="1"/>
      </c:catAx>
      <c:valAx>
        <c:axId val="156471296"/>
        <c:scaling>
          <c:orientation val="minMax"/>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7891"/>
            </c:manualLayout>
          </c:layout>
          <c:spPr>
            <a:noFill/>
            <a:ln w="25400">
              <a:noFill/>
            </a:ln>
          </c:spPr>
        </c:title>
        <c:numFmt formatCode="&quot;$&quot;#,##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6444544"/>
        <c:crosses val="autoZero"/>
        <c:crossBetween val="between"/>
        <c:dispUnits>
          <c:builtInUnit val="millions"/>
        </c:dispUnits>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5</xdr:col>
      <xdr:colOff>762000</xdr:colOff>
      <xdr:row>24</xdr:row>
      <xdr:rowOff>121920</xdr:rowOff>
    </xdr:from>
    <xdr:to>
      <xdr:col>11</xdr:col>
      <xdr:colOff>38100</xdr:colOff>
      <xdr:row>47</xdr:row>
      <xdr:rowOff>33020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22860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388620</xdr:colOff>
      <xdr:row>30</xdr:row>
      <xdr:rowOff>53340</xdr:rowOff>
    </xdr:from>
    <xdr:to>
      <xdr:col>5</xdr:col>
      <xdr:colOff>1129665</xdr:colOff>
      <xdr:row>44</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53340</xdr:colOff>
      <xdr:row>193</xdr:row>
      <xdr:rowOff>83820</xdr:rowOff>
    </xdr:from>
    <xdr:to>
      <xdr:col>19</xdr:col>
      <xdr:colOff>266700</xdr:colOff>
      <xdr:row>193</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19</xdr:col>
      <xdr:colOff>53340</xdr:colOff>
      <xdr:row>196</xdr:row>
      <xdr:rowOff>76200</xdr:rowOff>
    </xdr:from>
    <xdr:to>
      <xdr:col>19</xdr:col>
      <xdr:colOff>274320</xdr:colOff>
      <xdr:row>196</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19</xdr:col>
      <xdr:colOff>53340</xdr:colOff>
      <xdr:row>193</xdr:row>
      <xdr:rowOff>83820</xdr:rowOff>
    </xdr:from>
    <xdr:to>
      <xdr:col>19</xdr:col>
      <xdr:colOff>266700</xdr:colOff>
      <xdr:row>193</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19</xdr:col>
      <xdr:colOff>53340</xdr:colOff>
      <xdr:row>196</xdr:row>
      <xdr:rowOff>76200</xdr:rowOff>
    </xdr:from>
    <xdr:to>
      <xdr:col>19</xdr:col>
      <xdr:colOff>274320</xdr:colOff>
      <xdr:row>196</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21</xdr:row>
      <xdr:rowOff>0</xdr:rowOff>
    </xdr:from>
    <xdr:to>
      <xdr:col>9</xdr:col>
      <xdr:colOff>274320</xdr:colOff>
      <xdr:row>40</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845820</xdr:colOff>
      <xdr:row>0</xdr:row>
      <xdr:rowOff>0</xdr:rowOff>
    </xdr:from>
    <xdr:to>
      <xdr:col>9</xdr:col>
      <xdr:colOff>274320</xdr:colOff>
      <xdr:row>18</xdr:row>
      <xdr:rowOff>68580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365760</xdr:colOff>
      <xdr:row>35</xdr:row>
      <xdr:rowOff>160020</xdr:rowOff>
    </xdr:from>
    <xdr:to>
      <xdr:col>6</xdr:col>
      <xdr:colOff>0</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7620</xdr:colOff>
      <xdr:row>35</xdr:row>
      <xdr:rowOff>7620</xdr:rowOff>
    </xdr:from>
    <xdr:to>
      <xdr:col>7</xdr:col>
      <xdr:colOff>381000</xdr:colOff>
      <xdr:row>48</xdr:row>
      <xdr:rowOff>60960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670560</xdr:colOff>
      <xdr:row>24</xdr:row>
      <xdr:rowOff>160020</xdr:rowOff>
    </xdr:from>
    <xdr:to>
      <xdr:col>13</xdr:col>
      <xdr:colOff>83820</xdr:colOff>
      <xdr:row>40</xdr:row>
      <xdr:rowOff>22860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1005840</xdr:colOff>
      <xdr:row>31</xdr:row>
      <xdr:rowOff>7620</xdr:rowOff>
    </xdr:from>
    <xdr:to>
      <xdr:col>5</xdr:col>
      <xdr:colOff>1051560</xdr:colOff>
      <xdr:row>46</xdr:row>
      <xdr:rowOff>106680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29</xdr:row>
      <xdr:rowOff>121920</xdr:rowOff>
    </xdr:from>
    <xdr:to>
      <xdr:col>6</xdr:col>
      <xdr:colOff>60960</xdr:colOff>
      <xdr:row>52</xdr:row>
      <xdr:rowOff>45720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codeName="Sheet24"/>
  <dimension ref="A1:H20"/>
  <sheetViews>
    <sheetView tabSelected="1" zoomScaleNormal="100" workbookViewId="0"/>
  </sheetViews>
  <sheetFormatPr defaultRowHeight="13.2"/>
  <sheetData>
    <row r="1" spans="1:8" ht="15">
      <c r="A1" s="187"/>
      <c r="B1" s="187"/>
      <c r="C1" s="187"/>
      <c r="D1" s="187"/>
      <c r="E1" s="187"/>
      <c r="F1" s="187"/>
      <c r="G1" s="187"/>
      <c r="H1" s="187"/>
    </row>
    <row r="2" spans="1:8" ht="15">
      <c r="A2" s="187"/>
      <c r="B2" s="187"/>
      <c r="C2" s="187"/>
      <c r="D2" s="187"/>
      <c r="E2" s="187"/>
      <c r="F2" s="187"/>
      <c r="G2" s="187"/>
      <c r="H2" s="187"/>
    </row>
    <row r="3" spans="1:8" ht="15">
      <c r="A3" s="187"/>
      <c r="B3" s="187"/>
      <c r="C3" s="187"/>
      <c r="D3" s="187"/>
      <c r="E3" s="187"/>
      <c r="F3" s="187"/>
      <c r="G3" s="187"/>
      <c r="H3" s="187"/>
    </row>
    <row r="4" spans="1:8" ht="15">
      <c r="A4" s="187"/>
      <c r="B4" s="187"/>
      <c r="C4" s="187"/>
      <c r="D4" s="187"/>
      <c r="E4" s="187"/>
      <c r="F4" s="187"/>
      <c r="G4" s="187"/>
      <c r="H4" s="187"/>
    </row>
    <row r="5" spans="1:8" ht="21">
      <c r="A5" s="1088" t="s">
        <v>377</v>
      </c>
      <c r="B5" s="1088"/>
      <c r="C5" s="1088"/>
      <c r="D5" s="1088"/>
      <c r="E5" s="1088"/>
      <c r="F5" s="1088"/>
      <c r="G5" s="1088"/>
      <c r="H5" s="1088"/>
    </row>
    <row r="6" spans="1:8" ht="21">
      <c r="A6" s="188"/>
      <c r="B6" s="189"/>
      <c r="C6" s="189"/>
      <c r="D6" s="189"/>
      <c r="E6" s="189"/>
      <c r="F6" s="189"/>
      <c r="G6" s="189"/>
      <c r="H6" s="189"/>
    </row>
    <row r="7" spans="1:8" ht="21">
      <c r="A7" s="1088" t="s">
        <v>398</v>
      </c>
      <c r="B7" s="1088"/>
      <c r="C7" s="1088"/>
      <c r="D7" s="1088"/>
      <c r="E7" s="1088"/>
      <c r="F7" s="1088"/>
      <c r="G7" s="1088"/>
      <c r="H7" s="1088"/>
    </row>
    <row r="8" spans="1:8" ht="21">
      <c r="A8" s="188"/>
      <c r="B8" s="189"/>
      <c r="C8" s="189"/>
      <c r="D8" s="189"/>
      <c r="E8" s="189"/>
      <c r="F8" s="189"/>
      <c r="G8" s="189"/>
      <c r="H8" s="189"/>
    </row>
    <row r="9" spans="1:8" ht="21">
      <c r="A9" s="1088" t="s">
        <v>1090</v>
      </c>
      <c r="B9" s="1088"/>
      <c r="C9" s="1088"/>
      <c r="D9" s="1088"/>
      <c r="E9" s="1088"/>
      <c r="F9" s="1088"/>
      <c r="G9" s="1088"/>
      <c r="H9" s="1088"/>
    </row>
    <row r="10" spans="1:8" ht="15.6">
      <c r="A10" s="190"/>
      <c r="B10" s="191"/>
      <c r="C10" s="191"/>
      <c r="D10" s="191"/>
      <c r="E10" s="191"/>
      <c r="F10" s="191"/>
      <c r="G10" s="191"/>
      <c r="H10" s="191"/>
    </row>
    <row r="11" spans="1:8" ht="15.6">
      <c r="A11" s="190"/>
      <c r="B11" s="191"/>
      <c r="C11" s="191"/>
      <c r="D11" s="191"/>
      <c r="E11" s="191"/>
      <c r="F11" s="191"/>
      <c r="G11" s="191"/>
      <c r="H11" s="191"/>
    </row>
    <row r="12" spans="1:8" ht="17.399999999999999">
      <c r="A12" s="1087" t="s">
        <v>399</v>
      </c>
      <c r="B12" s="1087"/>
      <c r="C12" s="1087"/>
      <c r="D12" s="1087"/>
      <c r="E12" s="1087"/>
      <c r="F12" s="1087"/>
      <c r="G12" s="1087"/>
      <c r="H12" s="1087"/>
    </row>
    <row r="13" spans="1:8" ht="17.399999999999999">
      <c r="A13" s="1087" t="s">
        <v>400</v>
      </c>
      <c r="B13" s="1087"/>
      <c r="C13" s="1087"/>
      <c r="D13" s="1087"/>
      <c r="E13" s="1087"/>
      <c r="F13" s="1087"/>
      <c r="G13" s="1087"/>
      <c r="H13" s="1087"/>
    </row>
    <row r="14" spans="1:8" ht="17.399999999999999">
      <c r="A14" s="192"/>
      <c r="B14" s="192"/>
      <c r="C14" s="192"/>
      <c r="D14" s="192"/>
      <c r="E14" s="192"/>
      <c r="F14" s="192"/>
      <c r="G14" s="192"/>
      <c r="H14" s="192"/>
    </row>
    <row r="15" spans="1:8" ht="17.399999999999999">
      <c r="A15" s="192"/>
      <c r="B15" s="192"/>
      <c r="C15" s="192"/>
      <c r="D15" s="192"/>
      <c r="E15" s="192"/>
      <c r="F15" s="192"/>
      <c r="G15" s="192"/>
      <c r="H15" s="192"/>
    </row>
    <row r="16" spans="1:8" ht="17.399999999999999">
      <c r="A16" s="1087" t="s">
        <v>401</v>
      </c>
      <c r="B16" s="1087"/>
      <c r="C16" s="1087"/>
      <c r="D16" s="1087"/>
      <c r="E16" s="1087"/>
      <c r="F16" s="1087"/>
      <c r="G16" s="1087"/>
      <c r="H16" s="1087"/>
    </row>
    <row r="17" spans="1:8" ht="17.399999999999999">
      <c r="A17" s="192"/>
      <c r="B17" s="192"/>
      <c r="C17" s="192"/>
      <c r="D17" s="192"/>
      <c r="E17" s="192"/>
      <c r="F17" s="192"/>
      <c r="G17" s="192"/>
      <c r="H17" s="192"/>
    </row>
    <row r="18" spans="1:8" ht="17.399999999999999">
      <c r="A18" s="1087" t="s">
        <v>402</v>
      </c>
      <c r="B18" s="1087"/>
      <c r="C18" s="1087"/>
      <c r="D18" s="1087"/>
      <c r="E18" s="1087"/>
      <c r="F18" s="1087"/>
      <c r="G18" s="1087"/>
      <c r="H18" s="1087"/>
    </row>
    <row r="19" spans="1:8" ht="17.399999999999999">
      <c r="A19" s="192"/>
      <c r="B19" s="192"/>
      <c r="C19" s="192"/>
      <c r="D19" s="192"/>
      <c r="E19" s="192"/>
      <c r="F19" s="192"/>
      <c r="G19" s="192"/>
      <c r="H19" s="192"/>
    </row>
    <row r="20" spans="1:8" ht="17.399999999999999">
      <c r="A20" s="1087" t="s">
        <v>403</v>
      </c>
      <c r="B20" s="1087"/>
      <c r="C20" s="1087"/>
      <c r="D20" s="1087"/>
      <c r="E20" s="1087"/>
      <c r="F20" s="1087"/>
      <c r="G20" s="1087"/>
      <c r="H20" s="1087"/>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sheetPr codeName="Sheet9"/>
  <dimension ref="A1:N211"/>
  <sheetViews>
    <sheetView showOutlineSymbols="0" zoomScaleNormal="100" workbookViewId="0"/>
  </sheetViews>
  <sheetFormatPr defaultColWidth="10.6640625" defaultRowHeight="15"/>
  <cols>
    <col min="1" max="1" width="15" style="388" customWidth="1"/>
    <col min="2" max="2" width="12.6640625" style="388" bestFit="1" customWidth="1"/>
    <col min="3" max="3" width="15.88671875" style="388" customWidth="1"/>
    <col min="4" max="4" width="2.6640625" style="388" customWidth="1"/>
    <col min="5" max="6" width="12" style="388" bestFit="1" customWidth="1"/>
    <col min="7" max="7" width="17.5546875" style="388" customWidth="1"/>
    <col min="8" max="8" width="12.6640625" style="388" bestFit="1" customWidth="1"/>
    <col min="9" max="9" width="2.5546875" style="388" customWidth="1"/>
    <col min="10" max="10" width="12" style="388" bestFit="1" customWidth="1"/>
    <col min="11" max="11" width="12.33203125" style="388" bestFit="1" customWidth="1"/>
    <col min="12" max="12" width="11.109375" style="388" bestFit="1" customWidth="1"/>
    <col min="13" max="16384" width="10.6640625" style="388"/>
  </cols>
  <sheetData>
    <row r="1" spans="1:13" ht="17.399999999999999">
      <c r="A1" s="379" t="s">
        <v>828</v>
      </c>
      <c r="B1" s="830"/>
      <c r="C1" s="818"/>
      <c r="D1" s="818"/>
      <c r="E1" s="830"/>
      <c r="F1" s="830"/>
      <c r="G1" s="818"/>
      <c r="H1" s="830"/>
      <c r="I1" s="830"/>
      <c r="J1" s="830"/>
      <c r="K1" s="830"/>
      <c r="L1" s="818"/>
    </row>
    <row r="2" spans="1:13" ht="15.6">
      <c r="A2" s="381" t="s">
        <v>829</v>
      </c>
      <c r="B2" s="830"/>
      <c r="C2" s="818"/>
      <c r="D2" s="818"/>
      <c r="E2" s="830"/>
      <c r="F2" s="830"/>
      <c r="G2" s="818"/>
      <c r="H2" s="830"/>
      <c r="I2" s="830"/>
      <c r="J2" s="831"/>
      <c r="K2" s="831"/>
      <c r="L2" s="829"/>
    </row>
    <row r="3" spans="1:13" ht="15.6">
      <c r="A3" s="395" t="str">
        <f>'Table 1.2'!A3</f>
        <v>Taxable Year 2011</v>
      </c>
      <c r="B3" s="831"/>
      <c r="C3" s="829"/>
      <c r="D3" s="829"/>
      <c r="E3" s="831"/>
      <c r="F3" s="831"/>
      <c r="G3" s="829"/>
      <c r="H3" s="831"/>
      <c r="I3" s="831"/>
      <c r="J3" s="831"/>
      <c r="K3" s="831"/>
      <c r="L3" s="829"/>
    </row>
    <row r="4" spans="1:13" ht="13.2" customHeight="1" thickBot="1">
      <c r="A4" s="828"/>
      <c r="B4" s="831"/>
      <c r="C4" s="829"/>
      <c r="D4" s="829"/>
      <c r="E4" s="831"/>
      <c r="F4" s="831"/>
      <c r="G4" s="829"/>
      <c r="H4" s="831"/>
      <c r="I4" s="831"/>
      <c r="J4" s="831"/>
      <c r="K4" s="831"/>
      <c r="L4" s="829"/>
      <c r="M4" s="396"/>
    </row>
    <row r="5" spans="1:13">
      <c r="A5" s="832"/>
      <c r="B5" s="1092" t="s">
        <v>503</v>
      </c>
      <c r="C5" s="1092"/>
      <c r="D5" s="833"/>
      <c r="E5" s="1093" t="s">
        <v>504</v>
      </c>
      <c r="F5" s="1094"/>
      <c r="G5" s="1094"/>
      <c r="H5" s="1094"/>
      <c r="I5" s="834"/>
      <c r="J5" s="835"/>
      <c r="K5" s="836" t="s">
        <v>830</v>
      </c>
      <c r="L5" s="837"/>
      <c r="M5" s="396"/>
    </row>
    <row r="6" spans="1:13" ht="13.2" customHeight="1">
      <c r="A6" s="838"/>
      <c r="B6" s="839"/>
      <c r="C6" s="840"/>
      <c r="D6" s="840"/>
      <c r="E6" s="841"/>
      <c r="F6" s="839"/>
      <c r="G6" s="840"/>
      <c r="H6" s="842" t="s">
        <v>25</v>
      </c>
      <c r="I6" s="843"/>
      <c r="J6" s="842"/>
      <c r="K6" s="842" t="s">
        <v>490</v>
      </c>
      <c r="L6" s="838" t="s">
        <v>490</v>
      </c>
    </row>
    <row r="7" spans="1:13" ht="13.2" customHeight="1">
      <c r="A7" s="819" t="s">
        <v>33</v>
      </c>
      <c r="B7" s="844" t="s">
        <v>831</v>
      </c>
      <c r="C7" s="819" t="s">
        <v>30</v>
      </c>
      <c r="D7" s="819"/>
      <c r="E7" s="845" t="s">
        <v>500</v>
      </c>
      <c r="F7" s="844" t="s">
        <v>499</v>
      </c>
      <c r="G7" s="819" t="s">
        <v>30</v>
      </c>
      <c r="H7" s="844" t="s">
        <v>495</v>
      </c>
      <c r="I7" s="846"/>
      <c r="J7" s="844" t="s">
        <v>832</v>
      </c>
      <c r="K7" s="844" t="s">
        <v>492</v>
      </c>
      <c r="L7" s="819" t="s">
        <v>493</v>
      </c>
    </row>
    <row r="8" spans="1:13" ht="10.65" customHeight="1">
      <c r="A8" s="829"/>
      <c r="B8" s="831"/>
      <c r="C8" s="829"/>
      <c r="D8" s="829"/>
      <c r="E8" s="847"/>
      <c r="F8" s="831"/>
      <c r="G8" s="829"/>
      <c r="H8" s="831"/>
      <c r="I8" s="848"/>
      <c r="J8" s="831"/>
      <c r="K8" s="831"/>
      <c r="L8" s="829"/>
    </row>
    <row r="9" spans="1:13" ht="13.2" customHeight="1">
      <c r="A9" s="821" t="s">
        <v>520</v>
      </c>
      <c r="B9" s="823">
        <v>38216</v>
      </c>
      <c r="C9" s="849">
        <v>34815244.899999999</v>
      </c>
      <c r="D9" s="849"/>
      <c r="E9" s="850">
        <v>11705</v>
      </c>
      <c r="F9" s="825">
        <v>4442</v>
      </c>
      <c r="G9" s="849">
        <v>180828323.20999998</v>
      </c>
      <c r="H9" s="825">
        <v>16147</v>
      </c>
      <c r="I9" s="851"/>
      <c r="J9" s="825">
        <v>9514</v>
      </c>
      <c r="K9" s="823">
        <v>6102</v>
      </c>
      <c r="L9" s="830">
        <v>531</v>
      </c>
    </row>
    <row r="10" spans="1:13" ht="13.2" customHeight="1">
      <c r="A10" s="822" t="s">
        <v>524</v>
      </c>
      <c r="B10" s="823">
        <v>99164</v>
      </c>
      <c r="C10" s="825">
        <v>89612165</v>
      </c>
      <c r="D10" s="825"/>
      <c r="E10" s="850">
        <v>23695</v>
      </c>
      <c r="F10" s="825">
        <v>18602</v>
      </c>
      <c r="G10" s="825">
        <v>580918320.41999996</v>
      </c>
      <c r="H10" s="825">
        <v>42297</v>
      </c>
      <c r="I10" s="851"/>
      <c r="J10" s="825">
        <v>22858</v>
      </c>
      <c r="K10" s="823">
        <v>18329</v>
      </c>
      <c r="L10" s="830">
        <v>1110</v>
      </c>
    </row>
    <row r="11" spans="1:13" ht="13.2" customHeight="1">
      <c r="A11" s="822" t="s">
        <v>528</v>
      </c>
      <c r="B11" s="823">
        <v>16369</v>
      </c>
      <c r="C11" s="825">
        <v>14920664</v>
      </c>
      <c r="D11" s="825"/>
      <c r="E11" s="850">
        <v>5473</v>
      </c>
      <c r="F11" s="825">
        <v>1418</v>
      </c>
      <c r="G11" s="825">
        <v>54287025.899999999</v>
      </c>
      <c r="H11" s="825">
        <v>6891</v>
      </c>
      <c r="I11" s="851"/>
      <c r="J11" s="825">
        <v>3392</v>
      </c>
      <c r="K11" s="823">
        <v>3321</v>
      </c>
      <c r="L11" s="830">
        <v>178</v>
      </c>
    </row>
    <row r="12" spans="1:13" ht="13.2" customHeight="1">
      <c r="A12" s="822" t="s">
        <v>532</v>
      </c>
      <c r="B12" s="823">
        <v>13454</v>
      </c>
      <c r="C12" s="825">
        <v>12312278</v>
      </c>
      <c r="D12" s="825"/>
      <c r="E12" s="850">
        <v>3776</v>
      </c>
      <c r="F12" s="825">
        <v>1848</v>
      </c>
      <c r="G12" s="825">
        <v>46527203.600000001</v>
      </c>
      <c r="H12" s="825">
        <v>5624</v>
      </c>
      <c r="I12" s="851"/>
      <c r="J12" s="825">
        <v>2892</v>
      </c>
      <c r="K12" s="823">
        <v>2592</v>
      </c>
      <c r="L12" s="830">
        <v>140</v>
      </c>
    </row>
    <row r="13" spans="1:13" ht="13.2" customHeight="1">
      <c r="A13" s="822" t="s">
        <v>536</v>
      </c>
      <c r="B13" s="823">
        <v>30606</v>
      </c>
      <c r="C13" s="825">
        <v>27923117</v>
      </c>
      <c r="D13" s="825"/>
      <c r="E13" s="850">
        <v>9552</v>
      </c>
      <c r="F13" s="825">
        <v>3668</v>
      </c>
      <c r="G13" s="825">
        <v>96521742</v>
      </c>
      <c r="H13" s="825">
        <v>13220</v>
      </c>
      <c r="I13" s="851"/>
      <c r="J13" s="825">
        <v>7127</v>
      </c>
      <c r="K13" s="823">
        <v>5802</v>
      </c>
      <c r="L13" s="830">
        <v>291</v>
      </c>
    </row>
    <row r="14" spans="1:13" ht="10.65" customHeight="1">
      <c r="A14" s="822"/>
      <c r="B14" s="823"/>
      <c r="C14" s="825"/>
      <c r="D14" s="825"/>
      <c r="E14" s="850"/>
      <c r="F14" s="825"/>
      <c r="G14" s="825"/>
      <c r="H14" s="825"/>
      <c r="I14" s="851"/>
      <c r="J14" s="825"/>
      <c r="K14" s="823"/>
      <c r="L14" s="830"/>
    </row>
    <row r="15" spans="1:13" ht="13.2" customHeight="1">
      <c r="A15" s="822" t="s">
        <v>540</v>
      </c>
      <c r="B15" s="823">
        <v>15148</v>
      </c>
      <c r="C15" s="825">
        <v>13821544</v>
      </c>
      <c r="D15" s="825"/>
      <c r="E15" s="850">
        <v>4733</v>
      </c>
      <c r="F15" s="825">
        <v>1692</v>
      </c>
      <c r="G15" s="825">
        <v>46922960.399999999</v>
      </c>
      <c r="H15" s="825">
        <v>6425</v>
      </c>
      <c r="I15" s="851"/>
      <c r="J15" s="825">
        <v>3307</v>
      </c>
      <c r="K15" s="823">
        <v>2976</v>
      </c>
      <c r="L15" s="830">
        <v>142</v>
      </c>
    </row>
    <row r="16" spans="1:13" ht="13.2" customHeight="1">
      <c r="A16" s="822" t="s">
        <v>544</v>
      </c>
      <c r="B16" s="823">
        <v>217941</v>
      </c>
      <c r="C16" s="825">
        <v>195748455</v>
      </c>
      <c r="D16" s="825"/>
      <c r="E16" s="850">
        <v>66736</v>
      </c>
      <c r="F16" s="825">
        <v>56159</v>
      </c>
      <c r="G16" s="825">
        <v>1578908918.0999999</v>
      </c>
      <c r="H16" s="825">
        <v>122895</v>
      </c>
      <c r="I16" s="851"/>
      <c r="J16" s="825">
        <v>84768</v>
      </c>
      <c r="K16" s="823">
        <v>33743</v>
      </c>
      <c r="L16" s="830">
        <v>4384</v>
      </c>
    </row>
    <row r="17" spans="1:12" ht="13.2" customHeight="1">
      <c r="A17" s="822" t="s">
        <v>548</v>
      </c>
      <c r="B17" s="823">
        <v>74733</v>
      </c>
      <c r="C17" s="825">
        <v>68108360</v>
      </c>
      <c r="D17" s="825"/>
      <c r="E17" s="850">
        <v>21465</v>
      </c>
      <c r="F17" s="825">
        <v>10128</v>
      </c>
      <c r="G17" s="825">
        <v>251785172.70000002</v>
      </c>
      <c r="H17" s="825">
        <v>31593</v>
      </c>
      <c r="I17" s="851"/>
      <c r="J17" s="825">
        <v>15228</v>
      </c>
      <c r="K17" s="823">
        <v>15672</v>
      </c>
      <c r="L17" s="830">
        <v>693</v>
      </c>
    </row>
    <row r="18" spans="1:12" ht="13.2" customHeight="1">
      <c r="A18" s="822" t="s">
        <v>552</v>
      </c>
      <c r="B18" s="823">
        <v>5331</v>
      </c>
      <c r="C18" s="825">
        <v>4848493</v>
      </c>
      <c r="D18" s="825"/>
      <c r="E18" s="850">
        <v>1905</v>
      </c>
      <c r="F18" s="825">
        <v>479</v>
      </c>
      <c r="G18" s="825">
        <v>21402289.800000001</v>
      </c>
      <c r="H18" s="825">
        <v>2384</v>
      </c>
      <c r="I18" s="851"/>
      <c r="J18" s="825">
        <v>1277</v>
      </c>
      <c r="K18" s="823">
        <v>1045</v>
      </c>
      <c r="L18" s="830">
        <v>62</v>
      </c>
    </row>
    <row r="19" spans="1:12" ht="13.2" customHeight="1">
      <c r="A19" s="822" t="s">
        <v>556</v>
      </c>
      <c r="B19" s="823">
        <v>72928</v>
      </c>
      <c r="C19" s="825">
        <v>66329931</v>
      </c>
      <c r="D19" s="825"/>
      <c r="E19" s="850">
        <v>19077</v>
      </c>
      <c r="F19" s="825">
        <v>11045</v>
      </c>
      <c r="G19" s="825">
        <v>267356985.90000001</v>
      </c>
      <c r="H19" s="825">
        <v>30122</v>
      </c>
      <c r="I19" s="851"/>
      <c r="J19" s="825">
        <v>13520</v>
      </c>
      <c r="K19" s="823">
        <v>15908</v>
      </c>
      <c r="L19" s="830">
        <v>694</v>
      </c>
    </row>
    <row r="20" spans="1:12" ht="10.65" customHeight="1">
      <c r="A20" s="822"/>
      <c r="B20" s="823"/>
      <c r="C20" s="825"/>
      <c r="D20" s="825"/>
      <c r="E20" s="850"/>
      <c r="F20" s="825"/>
      <c r="G20" s="825"/>
      <c r="H20" s="825"/>
      <c r="I20" s="851"/>
      <c r="J20" s="825"/>
      <c r="K20" s="823"/>
      <c r="L20" s="830"/>
    </row>
    <row r="21" spans="1:12" ht="13.2" customHeight="1">
      <c r="A21" s="822" t="s">
        <v>560</v>
      </c>
      <c r="B21" s="823">
        <v>5959</v>
      </c>
      <c r="C21" s="825">
        <v>5434689</v>
      </c>
      <c r="D21" s="825"/>
      <c r="E21" s="850">
        <v>2089</v>
      </c>
      <c r="F21" s="825">
        <v>454</v>
      </c>
      <c r="G21" s="825">
        <v>16830726.399999999</v>
      </c>
      <c r="H21" s="825">
        <v>2543</v>
      </c>
      <c r="I21" s="851"/>
      <c r="J21" s="825">
        <v>1171</v>
      </c>
      <c r="K21" s="823">
        <v>1310</v>
      </c>
      <c r="L21" s="830">
        <v>62</v>
      </c>
    </row>
    <row r="22" spans="1:12" ht="13.2" customHeight="1">
      <c r="A22" s="822" t="s">
        <v>564</v>
      </c>
      <c r="B22" s="823">
        <v>34052</v>
      </c>
      <c r="C22" s="825">
        <v>31023432</v>
      </c>
      <c r="D22" s="825"/>
      <c r="E22" s="850">
        <v>8540</v>
      </c>
      <c r="F22" s="825">
        <v>5597</v>
      </c>
      <c r="G22" s="825">
        <v>129395767.60000001</v>
      </c>
      <c r="H22" s="825">
        <v>14137</v>
      </c>
      <c r="I22" s="851"/>
      <c r="J22" s="825">
        <v>6311</v>
      </c>
      <c r="K22" s="823">
        <v>7529</v>
      </c>
      <c r="L22" s="830">
        <v>297</v>
      </c>
    </row>
    <row r="23" spans="1:12" ht="13.2" customHeight="1">
      <c r="A23" s="822" t="s">
        <v>568</v>
      </c>
      <c r="B23" s="823">
        <v>14398</v>
      </c>
      <c r="C23" s="825">
        <v>13180267</v>
      </c>
      <c r="D23" s="825"/>
      <c r="E23" s="850">
        <v>4720</v>
      </c>
      <c r="F23" s="825">
        <v>1430</v>
      </c>
      <c r="G23" s="825">
        <v>40284663.600000001</v>
      </c>
      <c r="H23" s="825">
        <v>6150</v>
      </c>
      <c r="I23" s="851"/>
      <c r="J23" s="825">
        <v>3888</v>
      </c>
      <c r="K23" s="823">
        <v>2069</v>
      </c>
      <c r="L23" s="830">
        <v>193</v>
      </c>
    </row>
    <row r="24" spans="1:12" ht="13.2" customHeight="1">
      <c r="A24" s="822" t="s">
        <v>572</v>
      </c>
      <c r="B24" s="823">
        <v>19239</v>
      </c>
      <c r="C24" s="825">
        <v>17651059</v>
      </c>
      <c r="D24" s="825"/>
      <c r="E24" s="850">
        <v>7188</v>
      </c>
      <c r="F24" s="825">
        <v>883</v>
      </c>
      <c r="G24" s="825">
        <v>45306164.999999993</v>
      </c>
      <c r="H24" s="825">
        <v>8071</v>
      </c>
      <c r="I24" s="851"/>
      <c r="J24" s="825">
        <v>3705</v>
      </c>
      <c r="K24" s="823">
        <v>4239</v>
      </c>
      <c r="L24" s="830">
        <v>127</v>
      </c>
    </row>
    <row r="25" spans="1:12" ht="13.2" customHeight="1">
      <c r="A25" s="822" t="s">
        <v>576</v>
      </c>
      <c r="B25" s="823">
        <v>13164</v>
      </c>
      <c r="C25" s="825">
        <v>12059368</v>
      </c>
      <c r="D25" s="825"/>
      <c r="E25" s="850">
        <v>4305</v>
      </c>
      <c r="F25" s="825">
        <v>1375</v>
      </c>
      <c r="G25" s="825">
        <v>37942527.299999997</v>
      </c>
      <c r="H25" s="825">
        <v>5680</v>
      </c>
      <c r="I25" s="851"/>
      <c r="J25" s="825">
        <v>3278</v>
      </c>
      <c r="K25" s="823">
        <v>2227</v>
      </c>
      <c r="L25" s="830">
        <v>175</v>
      </c>
    </row>
    <row r="26" spans="1:12" ht="10.65" customHeight="1">
      <c r="A26" s="822"/>
      <c r="B26" s="823"/>
      <c r="C26" s="825"/>
      <c r="D26" s="825"/>
      <c r="E26" s="850"/>
      <c r="F26" s="825"/>
      <c r="G26" s="825"/>
      <c r="H26" s="825"/>
      <c r="I26" s="851"/>
      <c r="J26" s="825"/>
      <c r="K26" s="823"/>
      <c r="L26" s="830"/>
    </row>
    <row r="27" spans="1:12" ht="13.2" customHeight="1">
      <c r="A27" s="822" t="s">
        <v>580</v>
      </c>
      <c r="B27" s="823">
        <v>52211</v>
      </c>
      <c r="C27" s="825">
        <v>47656841</v>
      </c>
      <c r="D27" s="825"/>
      <c r="E27" s="850">
        <v>16627</v>
      </c>
      <c r="F27" s="825">
        <v>5761</v>
      </c>
      <c r="G27" s="825">
        <v>244627472.19999999</v>
      </c>
      <c r="H27" s="825">
        <v>22388</v>
      </c>
      <c r="I27" s="851"/>
      <c r="J27" s="825">
        <v>11723</v>
      </c>
      <c r="K27" s="823">
        <v>10153</v>
      </c>
      <c r="L27" s="830">
        <v>512</v>
      </c>
    </row>
    <row r="28" spans="1:12" ht="13.2" customHeight="1">
      <c r="A28" s="822" t="s">
        <v>582</v>
      </c>
      <c r="B28" s="823">
        <v>27922</v>
      </c>
      <c r="C28" s="825">
        <v>25514601</v>
      </c>
      <c r="D28" s="825"/>
      <c r="E28" s="850">
        <v>7378</v>
      </c>
      <c r="F28" s="825">
        <v>4788</v>
      </c>
      <c r="G28" s="825">
        <v>109747264.5</v>
      </c>
      <c r="H28" s="825">
        <v>12166</v>
      </c>
      <c r="I28" s="851"/>
      <c r="J28" s="825">
        <v>6833</v>
      </c>
      <c r="K28" s="823">
        <v>4966</v>
      </c>
      <c r="L28" s="830">
        <v>367</v>
      </c>
    </row>
    <row r="29" spans="1:12" ht="13.2" customHeight="1">
      <c r="A29" s="822" t="s">
        <v>585</v>
      </c>
      <c r="B29" s="823">
        <v>27017</v>
      </c>
      <c r="C29" s="825">
        <v>24680240</v>
      </c>
      <c r="D29" s="825"/>
      <c r="E29" s="850">
        <v>9616</v>
      </c>
      <c r="F29" s="825">
        <v>1913</v>
      </c>
      <c r="G29" s="825">
        <v>68389744</v>
      </c>
      <c r="H29" s="825">
        <v>11529</v>
      </c>
      <c r="I29" s="851"/>
      <c r="J29" s="825">
        <v>5451</v>
      </c>
      <c r="K29" s="823">
        <v>5726</v>
      </c>
      <c r="L29" s="830">
        <v>352</v>
      </c>
    </row>
    <row r="30" spans="1:12" ht="13.2" customHeight="1">
      <c r="A30" s="822" t="s">
        <v>588</v>
      </c>
      <c r="B30" s="823">
        <v>7150</v>
      </c>
      <c r="C30" s="825">
        <v>6531833</v>
      </c>
      <c r="D30" s="825"/>
      <c r="E30" s="850">
        <v>2261</v>
      </c>
      <c r="F30" s="825">
        <v>1096</v>
      </c>
      <c r="G30" s="825">
        <v>30869148.800000001</v>
      </c>
      <c r="H30" s="825">
        <v>3357</v>
      </c>
      <c r="I30" s="851"/>
      <c r="J30" s="825">
        <v>1973</v>
      </c>
      <c r="K30" s="823">
        <v>1267</v>
      </c>
      <c r="L30" s="830">
        <v>117</v>
      </c>
    </row>
    <row r="31" spans="1:12" ht="13.2" customHeight="1">
      <c r="A31" s="822" t="s">
        <v>591</v>
      </c>
      <c r="B31" s="823">
        <v>12292</v>
      </c>
      <c r="C31" s="825">
        <v>11229995</v>
      </c>
      <c r="D31" s="825"/>
      <c r="E31" s="850">
        <v>4078</v>
      </c>
      <c r="F31" s="825">
        <v>1023</v>
      </c>
      <c r="G31" s="825">
        <v>43107664.299999997</v>
      </c>
      <c r="H31" s="825">
        <v>5101</v>
      </c>
      <c r="I31" s="851"/>
      <c r="J31" s="825">
        <v>2752</v>
      </c>
      <c r="K31" s="823">
        <v>2179</v>
      </c>
      <c r="L31" s="830">
        <v>170</v>
      </c>
    </row>
    <row r="32" spans="1:12" ht="10.65" customHeight="1">
      <c r="A32" s="822"/>
      <c r="B32" s="823"/>
      <c r="C32" s="825"/>
      <c r="D32" s="825"/>
      <c r="E32" s="850"/>
      <c r="F32" s="825"/>
      <c r="G32" s="825"/>
      <c r="H32" s="825"/>
      <c r="I32" s="851"/>
      <c r="J32" s="825"/>
      <c r="K32" s="823"/>
      <c r="L32" s="830"/>
    </row>
    <row r="33" spans="1:13" ht="13.2" customHeight="1">
      <c r="A33" s="822" t="s">
        <v>593</v>
      </c>
      <c r="B33" s="823">
        <v>332794</v>
      </c>
      <c r="C33" s="825">
        <v>303657837</v>
      </c>
      <c r="D33" s="825"/>
      <c r="E33" s="850">
        <v>73585</v>
      </c>
      <c r="F33" s="825">
        <v>66690</v>
      </c>
      <c r="G33" s="825">
        <v>1455902771.6500001</v>
      </c>
      <c r="H33" s="825">
        <v>140275</v>
      </c>
      <c r="I33" s="851"/>
      <c r="J33" s="825">
        <v>74922</v>
      </c>
      <c r="K33" s="823">
        <v>61497</v>
      </c>
      <c r="L33" s="830">
        <v>3856</v>
      </c>
    </row>
    <row r="34" spans="1:13" ht="13.2" customHeight="1">
      <c r="A34" s="822" t="s">
        <v>596</v>
      </c>
      <c r="B34" s="823">
        <v>15099</v>
      </c>
      <c r="C34" s="825">
        <v>13729886</v>
      </c>
      <c r="D34" s="825"/>
      <c r="E34" s="850">
        <v>3487</v>
      </c>
      <c r="F34" s="825">
        <v>2929</v>
      </c>
      <c r="G34" s="825">
        <v>75764175.700000003</v>
      </c>
      <c r="H34" s="825">
        <v>6416</v>
      </c>
      <c r="I34" s="851"/>
      <c r="J34" s="825">
        <v>3231</v>
      </c>
      <c r="K34" s="823">
        <v>2992</v>
      </c>
      <c r="L34" s="830">
        <v>193</v>
      </c>
    </row>
    <row r="35" spans="1:13" ht="13.2" customHeight="1">
      <c r="A35" s="822" t="s">
        <v>598</v>
      </c>
      <c r="B35" s="823">
        <v>4933</v>
      </c>
      <c r="C35" s="825">
        <v>4495786</v>
      </c>
      <c r="D35" s="825"/>
      <c r="E35" s="850">
        <v>1571</v>
      </c>
      <c r="F35" s="825">
        <v>553</v>
      </c>
      <c r="G35" s="825">
        <v>16408429.199999999</v>
      </c>
      <c r="H35" s="825">
        <v>2124</v>
      </c>
      <c r="I35" s="851"/>
      <c r="J35" s="825">
        <v>1028</v>
      </c>
      <c r="K35" s="823">
        <v>1054</v>
      </c>
      <c r="L35" s="830">
        <v>42</v>
      </c>
    </row>
    <row r="36" spans="1:13" ht="13.2" customHeight="1">
      <c r="A36" s="822" t="s">
        <v>601</v>
      </c>
      <c r="B36" s="823">
        <v>48300</v>
      </c>
      <c r="C36" s="825">
        <v>44129241</v>
      </c>
      <c r="D36" s="825"/>
      <c r="E36" s="850">
        <v>11613</v>
      </c>
      <c r="F36" s="825">
        <v>8018</v>
      </c>
      <c r="G36" s="825">
        <v>197796425.62</v>
      </c>
      <c r="H36" s="825">
        <v>19631</v>
      </c>
      <c r="I36" s="851"/>
      <c r="J36" s="825">
        <v>10271</v>
      </c>
      <c r="K36" s="823">
        <v>8827</v>
      </c>
      <c r="L36" s="830">
        <v>533</v>
      </c>
    </row>
    <row r="37" spans="1:13" ht="13.2" customHeight="1">
      <c r="A37" s="822" t="s">
        <v>604</v>
      </c>
      <c r="B37" s="823">
        <v>8902</v>
      </c>
      <c r="C37" s="825">
        <v>8141589</v>
      </c>
      <c r="D37" s="825"/>
      <c r="E37" s="850">
        <v>2715</v>
      </c>
      <c r="F37" s="825">
        <v>1038</v>
      </c>
      <c r="G37" s="825">
        <v>26457866.5</v>
      </c>
      <c r="H37" s="825">
        <v>3753</v>
      </c>
      <c r="I37" s="851"/>
      <c r="J37" s="825">
        <v>2070</v>
      </c>
      <c r="K37" s="823">
        <v>1557</v>
      </c>
      <c r="L37" s="830">
        <v>126</v>
      </c>
    </row>
    <row r="38" spans="1:13" ht="10.65" customHeight="1">
      <c r="A38" s="822"/>
      <c r="B38" s="823"/>
      <c r="C38" s="825"/>
      <c r="D38" s="825"/>
      <c r="E38" s="850"/>
      <c r="F38" s="825"/>
      <c r="G38" s="825"/>
      <c r="H38" s="825"/>
      <c r="I38" s="851"/>
      <c r="J38" s="825"/>
      <c r="K38" s="823"/>
      <c r="L38" s="830"/>
    </row>
    <row r="39" spans="1:13" ht="13.2" customHeight="1">
      <c r="A39" s="822" t="s">
        <v>607</v>
      </c>
      <c r="B39" s="823">
        <v>12176</v>
      </c>
      <c r="C39" s="825">
        <v>11158331</v>
      </c>
      <c r="D39" s="825"/>
      <c r="E39" s="850">
        <v>4564</v>
      </c>
      <c r="F39" s="825">
        <v>496</v>
      </c>
      <c r="G39" s="825">
        <v>26493638.5</v>
      </c>
      <c r="H39" s="825">
        <v>5060</v>
      </c>
      <c r="I39" s="851"/>
      <c r="J39" s="825">
        <v>2278</v>
      </c>
      <c r="K39" s="823">
        <v>2696</v>
      </c>
      <c r="L39" s="830">
        <v>86</v>
      </c>
    </row>
    <row r="40" spans="1:13" ht="13.2" customHeight="1">
      <c r="A40" s="822" t="s">
        <v>610</v>
      </c>
      <c r="B40" s="823">
        <v>26109</v>
      </c>
      <c r="C40" s="825">
        <v>23903231</v>
      </c>
      <c r="D40" s="825"/>
      <c r="E40" s="850">
        <v>7306</v>
      </c>
      <c r="F40" s="825">
        <v>4081</v>
      </c>
      <c r="G40" s="825">
        <v>90219628.200000003</v>
      </c>
      <c r="H40" s="825">
        <v>11387</v>
      </c>
      <c r="I40" s="851"/>
      <c r="J40" s="825">
        <v>6454</v>
      </c>
      <c r="K40" s="823">
        <v>4583</v>
      </c>
      <c r="L40" s="830">
        <v>350</v>
      </c>
    </row>
    <row r="41" spans="1:13" ht="13.2" customHeight="1">
      <c r="A41" s="960" t="s">
        <v>613</v>
      </c>
      <c r="B41" s="823">
        <v>11388</v>
      </c>
      <c r="C41" s="825">
        <v>10384502</v>
      </c>
      <c r="D41" s="825"/>
      <c r="E41" s="850">
        <v>3485</v>
      </c>
      <c r="F41" s="825">
        <v>1498</v>
      </c>
      <c r="G41" s="886">
        <v>844690126.20000005</v>
      </c>
      <c r="H41" s="825">
        <v>4983</v>
      </c>
      <c r="I41" s="851"/>
      <c r="J41" s="825">
        <v>3027</v>
      </c>
      <c r="K41" s="823">
        <v>1809</v>
      </c>
      <c r="L41" s="830">
        <v>147</v>
      </c>
    </row>
    <row r="42" spans="1:13" ht="13.2" customHeight="1">
      <c r="A42" s="820" t="s">
        <v>616</v>
      </c>
      <c r="B42" s="823">
        <v>1153302</v>
      </c>
      <c r="C42" s="825">
        <v>1048699755</v>
      </c>
      <c r="D42" s="825"/>
      <c r="E42" s="850">
        <v>235505</v>
      </c>
      <c r="F42" s="825">
        <v>273794</v>
      </c>
      <c r="G42" s="825">
        <v>8086986088.4500008</v>
      </c>
      <c r="H42" s="825">
        <v>509299</v>
      </c>
      <c r="I42" s="851"/>
      <c r="J42" s="825">
        <v>275535</v>
      </c>
      <c r="K42" s="823">
        <v>216209</v>
      </c>
      <c r="L42" s="830">
        <v>17555</v>
      </c>
    </row>
    <row r="43" spans="1:13" ht="13.2" customHeight="1">
      <c r="A43" s="820" t="s">
        <v>619</v>
      </c>
      <c r="B43" s="825">
        <v>71532</v>
      </c>
      <c r="C43" s="825">
        <v>65236425</v>
      </c>
      <c r="D43" s="825"/>
      <c r="E43" s="850">
        <v>15190</v>
      </c>
      <c r="F43" s="825">
        <v>14984</v>
      </c>
      <c r="G43" s="825">
        <v>448667594.89999998</v>
      </c>
      <c r="H43" s="825">
        <v>30174</v>
      </c>
      <c r="I43" s="851"/>
      <c r="J43" s="825">
        <v>15269</v>
      </c>
      <c r="K43" s="825">
        <v>14047</v>
      </c>
      <c r="L43" s="831">
        <v>858</v>
      </c>
      <c r="M43" s="396"/>
    </row>
    <row r="44" spans="1:13" ht="17.399999999999999">
      <c r="A44" s="387" t="s">
        <v>833</v>
      </c>
      <c r="B44" s="831"/>
      <c r="C44" s="831"/>
      <c r="D44" s="831"/>
      <c r="E44" s="831"/>
      <c r="F44" s="831"/>
      <c r="G44" s="831"/>
      <c r="H44" s="831"/>
      <c r="I44" s="831"/>
      <c r="J44" s="831"/>
      <c r="K44" s="831"/>
      <c r="L44" s="831"/>
      <c r="M44" s="396"/>
    </row>
    <row r="45" spans="1:13" ht="15.6">
      <c r="A45" s="399" t="s">
        <v>829</v>
      </c>
      <c r="B45" s="831"/>
      <c r="C45" s="831"/>
      <c r="D45" s="831"/>
      <c r="E45" s="831"/>
      <c r="F45" s="831"/>
      <c r="G45" s="831"/>
      <c r="H45" s="831"/>
      <c r="I45" s="831"/>
      <c r="J45" s="831"/>
      <c r="K45" s="831"/>
      <c r="L45" s="831"/>
    </row>
    <row r="46" spans="1:13" ht="15.6">
      <c r="A46" s="395" t="str">
        <f>A3</f>
        <v>Taxable Year 2011</v>
      </c>
      <c r="B46" s="831"/>
      <c r="C46" s="831"/>
      <c r="D46" s="831"/>
      <c r="E46" s="831"/>
      <c r="F46" s="831"/>
      <c r="G46" s="831"/>
      <c r="H46" s="831"/>
      <c r="I46" s="831"/>
      <c r="J46" s="831"/>
      <c r="K46" s="831"/>
      <c r="L46" s="831"/>
    </row>
    <row r="47" spans="1:13" ht="13.2" customHeight="1" thickBot="1">
      <c r="A47" s="396"/>
      <c r="B47" s="400">
        <f>SUM(B9:B43)</f>
        <v>2481829</v>
      </c>
      <c r="C47" s="400">
        <f t="shared" ref="C47:L47" si="0">SUM(C9:C43)</f>
        <v>2256939159.9000001</v>
      </c>
      <c r="D47" s="400">
        <f t="shared" si="0"/>
        <v>0</v>
      </c>
      <c r="E47" s="400">
        <f t="shared" si="0"/>
        <v>593940</v>
      </c>
      <c r="F47" s="400">
        <f t="shared" si="0"/>
        <v>507882</v>
      </c>
      <c r="G47" s="400">
        <f t="shared" si="0"/>
        <v>15161346830.65</v>
      </c>
      <c r="H47" s="400">
        <f t="shared" si="0"/>
        <v>1101822</v>
      </c>
      <c r="I47" s="400">
        <f t="shared" si="0"/>
        <v>0</v>
      </c>
      <c r="J47" s="400">
        <f t="shared" si="0"/>
        <v>605053</v>
      </c>
      <c r="K47" s="400">
        <f t="shared" si="0"/>
        <v>462426</v>
      </c>
      <c r="L47" s="400">
        <f t="shared" si="0"/>
        <v>34343</v>
      </c>
    </row>
    <row r="48" spans="1:13">
      <c r="A48" s="832"/>
      <c r="B48" s="1092" t="s">
        <v>503</v>
      </c>
      <c r="C48" s="1092"/>
      <c r="D48" s="852"/>
      <c r="E48" s="1093" t="s">
        <v>504</v>
      </c>
      <c r="F48" s="1094"/>
      <c r="G48" s="1094"/>
      <c r="H48" s="1094"/>
      <c r="I48" s="834"/>
      <c r="J48" s="835"/>
      <c r="K48" s="836" t="s">
        <v>830</v>
      </c>
      <c r="L48" s="837"/>
      <c r="M48" s="396"/>
    </row>
    <row r="49" spans="1:12" ht="13.2" customHeight="1">
      <c r="A49" s="853"/>
      <c r="B49" s="854"/>
      <c r="C49" s="854"/>
      <c r="D49" s="854"/>
      <c r="E49" s="855"/>
      <c r="F49" s="854"/>
      <c r="G49" s="854"/>
      <c r="H49" s="856" t="s">
        <v>25</v>
      </c>
      <c r="I49" s="857"/>
      <c r="J49" s="856"/>
      <c r="K49" s="856" t="s">
        <v>490</v>
      </c>
      <c r="L49" s="853" t="s">
        <v>490</v>
      </c>
    </row>
    <row r="50" spans="1:12" ht="13.2" customHeight="1">
      <c r="A50" s="819" t="s">
        <v>33</v>
      </c>
      <c r="B50" s="844" t="s">
        <v>831</v>
      </c>
      <c r="C50" s="844" t="s">
        <v>30</v>
      </c>
      <c r="D50" s="844"/>
      <c r="E50" s="845" t="s">
        <v>500</v>
      </c>
      <c r="F50" s="844" t="s">
        <v>499</v>
      </c>
      <c r="G50" s="819" t="s">
        <v>30</v>
      </c>
      <c r="H50" s="844" t="s">
        <v>495</v>
      </c>
      <c r="I50" s="846"/>
      <c r="J50" s="844" t="s">
        <v>832</v>
      </c>
      <c r="K50" s="844" t="s">
        <v>492</v>
      </c>
      <c r="L50" s="819" t="s">
        <v>493</v>
      </c>
    </row>
    <row r="51" spans="1:12" ht="10.65" customHeight="1">
      <c r="A51" s="820"/>
      <c r="B51" s="831"/>
      <c r="C51" s="831"/>
      <c r="D51" s="831"/>
      <c r="E51" s="847"/>
      <c r="F51" s="831"/>
      <c r="G51" s="831"/>
      <c r="H51" s="831"/>
      <c r="I51" s="848"/>
      <c r="J51" s="831"/>
      <c r="K51" s="831"/>
      <c r="L51" s="830"/>
    </row>
    <row r="52" spans="1:12" ht="13.2" customHeight="1">
      <c r="A52" s="822" t="s">
        <v>622</v>
      </c>
      <c r="B52" s="823">
        <v>14638</v>
      </c>
      <c r="C52" s="849">
        <v>13356907</v>
      </c>
      <c r="D52" s="849"/>
      <c r="E52" s="850">
        <v>4643</v>
      </c>
      <c r="F52" s="825">
        <v>1457</v>
      </c>
      <c r="G52" s="849">
        <v>41675404.5</v>
      </c>
      <c r="H52" s="825">
        <v>6100</v>
      </c>
      <c r="I52" s="851"/>
      <c r="J52" s="825">
        <v>2810</v>
      </c>
      <c r="K52" s="823">
        <v>3156</v>
      </c>
      <c r="L52" s="830">
        <v>134</v>
      </c>
    </row>
    <row r="53" spans="1:12" ht="13.2" customHeight="1">
      <c r="A53" s="822" t="s">
        <v>624</v>
      </c>
      <c r="B53" s="823">
        <v>25467</v>
      </c>
      <c r="C53" s="825">
        <v>23141924</v>
      </c>
      <c r="D53" s="825"/>
      <c r="E53" s="850">
        <v>5962</v>
      </c>
      <c r="F53" s="825">
        <v>4474</v>
      </c>
      <c r="G53" s="825">
        <v>100852567.09999999</v>
      </c>
      <c r="H53" s="825">
        <v>10436</v>
      </c>
      <c r="I53" s="851"/>
      <c r="J53" s="825">
        <v>4985</v>
      </c>
      <c r="K53" s="823">
        <v>5176</v>
      </c>
      <c r="L53" s="830">
        <v>275</v>
      </c>
    </row>
    <row r="54" spans="1:12" ht="13.2" customHeight="1">
      <c r="A54" s="822" t="s">
        <v>627</v>
      </c>
      <c r="B54" s="823">
        <v>52603</v>
      </c>
      <c r="C54" s="825">
        <v>47850278</v>
      </c>
      <c r="D54" s="825"/>
      <c r="E54" s="850">
        <v>16002</v>
      </c>
      <c r="F54" s="825">
        <v>6119</v>
      </c>
      <c r="G54" s="825">
        <v>177948562.5</v>
      </c>
      <c r="H54" s="825">
        <v>22121</v>
      </c>
      <c r="I54" s="851"/>
      <c r="J54" s="825">
        <v>10805</v>
      </c>
      <c r="K54" s="823">
        <v>10815</v>
      </c>
      <c r="L54" s="830">
        <v>501</v>
      </c>
    </row>
    <row r="55" spans="1:12" ht="13.2" customHeight="1">
      <c r="A55" s="822" t="s">
        <v>629</v>
      </c>
      <c r="B55" s="823">
        <v>83683</v>
      </c>
      <c r="C55" s="825">
        <v>76228924</v>
      </c>
      <c r="D55" s="825"/>
      <c r="E55" s="850">
        <v>21369</v>
      </c>
      <c r="F55" s="825">
        <v>14050</v>
      </c>
      <c r="G55" s="825">
        <v>341770235.19999999</v>
      </c>
      <c r="H55" s="825">
        <v>35419</v>
      </c>
      <c r="I55" s="851"/>
      <c r="J55" s="825">
        <v>18218</v>
      </c>
      <c r="K55" s="823">
        <v>16405</v>
      </c>
      <c r="L55" s="830">
        <v>796</v>
      </c>
    </row>
    <row r="56" spans="1:12" ht="13.2" customHeight="1">
      <c r="A56" s="822" t="s">
        <v>632</v>
      </c>
      <c r="B56" s="823">
        <v>16623</v>
      </c>
      <c r="C56" s="825">
        <v>15143969</v>
      </c>
      <c r="D56" s="825"/>
      <c r="E56" s="850">
        <v>5761</v>
      </c>
      <c r="F56" s="825">
        <v>1412</v>
      </c>
      <c r="G56" s="825">
        <v>43346028.200000003</v>
      </c>
      <c r="H56" s="825">
        <v>7173</v>
      </c>
      <c r="I56" s="851"/>
      <c r="J56" s="825">
        <v>3674</v>
      </c>
      <c r="K56" s="823">
        <v>3354</v>
      </c>
      <c r="L56" s="830">
        <v>145</v>
      </c>
    </row>
    <row r="57" spans="1:12" ht="10.65" customHeight="1">
      <c r="A57" s="822"/>
      <c r="B57" s="823"/>
      <c r="C57" s="825"/>
      <c r="D57" s="825"/>
      <c r="E57" s="850"/>
      <c r="F57" s="825"/>
      <c r="G57" s="825"/>
      <c r="H57" s="825"/>
      <c r="I57" s="851"/>
      <c r="J57" s="825"/>
      <c r="K57" s="823"/>
      <c r="L57" s="830"/>
    </row>
    <row r="58" spans="1:12" ht="13.2" customHeight="1">
      <c r="A58" s="822" t="s">
        <v>635</v>
      </c>
      <c r="B58" s="823">
        <v>37474</v>
      </c>
      <c r="C58" s="825">
        <v>34155923</v>
      </c>
      <c r="D58" s="825"/>
      <c r="E58" s="850">
        <v>10154</v>
      </c>
      <c r="F58" s="825">
        <v>6285</v>
      </c>
      <c r="G58" s="825">
        <v>149397733.5</v>
      </c>
      <c r="H58" s="825">
        <v>16439</v>
      </c>
      <c r="I58" s="851"/>
      <c r="J58" s="825">
        <v>8339</v>
      </c>
      <c r="K58" s="823">
        <v>7624</v>
      </c>
      <c r="L58" s="830">
        <v>476</v>
      </c>
    </row>
    <row r="59" spans="1:12" ht="13.2" customHeight="1">
      <c r="A59" s="822" t="s">
        <v>637</v>
      </c>
      <c r="B59" s="823">
        <v>22558</v>
      </c>
      <c r="C59" s="825">
        <v>20541129</v>
      </c>
      <c r="D59" s="825"/>
      <c r="E59" s="850">
        <v>4549</v>
      </c>
      <c r="F59" s="825">
        <v>4829</v>
      </c>
      <c r="G59" s="825">
        <v>149030424.40000001</v>
      </c>
      <c r="H59" s="825">
        <v>9378</v>
      </c>
      <c r="I59" s="851"/>
      <c r="J59" s="825">
        <v>4117</v>
      </c>
      <c r="K59" s="823">
        <v>4998</v>
      </c>
      <c r="L59" s="830">
        <v>263</v>
      </c>
    </row>
    <row r="60" spans="1:12" ht="13.2" customHeight="1">
      <c r="A60" s="822" t="s">
        <v>639</v>
      </c>
      <c r="B60" s="823">
        <v>14709</v>
      </c>
      <c r="C60" s="825">
        <v>13420398</v>
      </c>
      <c r="D60" s="825"/>
      <c r="E60" s="850">
        <v>5271</v>
      </c>
      <c r="F60" s="825">
        <v>1074</v>
      </c>
      <c r="G60" s="825">
        <v>41780551.700000003</v>
      </c>
      <c r="H60" s="825">
        <v>6345</v>
      </c>
      <c r="I60" s="851"/>
      <c r="J60" s="825">
        <v>2989</v>
      </c>
      <c r="K60" s="823">
        <v>3135</v>
      </c>
      <c r="L60" s="830">
        <v>221</v>
      </c>
    </row>
    <row r="61" spans="1:12" ht="13.2" customHeight="1">
      <c r="A61" s="822" t="s">
        <v>642</v>
      </c>
      <c r="B61" s="823">
        <v>18298</v>
      </c>
      <c r="C61" s="825">
        <v>16701695</v>
      </c>
      <c r="D61" s="825"/>
      <c r="E61" s="850">
        <v>4794</v>
      </c>
      <c r="F61" s="825">
        <v>2910</v>
      </c>
      <c r="G61" s="825">
        <v>67318021.600000009</v>
      </c>
      <c r="H61" s="825">
        <v>7704</v>
      </c>
      <c r="I61" s="851"/>
      <c r="J61" s="825">
        <v>3859</v>
      </c>
      <c r="K61" s="823">
        <v>3629</v>
      </c>
      <c r="L61" s="830">
        <v>216</v>
      </c>
    </row>
    <row r="62" spans="1:12" ht="13.2" customHeight="1">
      <c r="A62" s="822" t="s">
        <v>645</v>
      </c>
      <c r="B62" s="823">
        <v>11266</v>
      </c>
      <c r="C62" s="825">
        <v>10333467</v>
      </c>
      <c r="D62" s="825"/>
      <c r="E62" s="850">
        <v>3653</v>
      </c>
      <c r="F62" s="825">
        <v>1283</v>
      </c>
      <c r="G62" s="825">
        <v>41529935.299999997</v>
      </c>
      <c r="H62" s="825">
        <v>4936</v>
      </c>
      <c r="I62" s="851"/>
      <c r="J62" s="825">
        <v>3142</v>
      </c>
      <c r="K62" s="823">
        <v>1498</v>
      </c>
      <c r="L62" s="830">
        <v>296</v>
      </c>
    </row>
    <row r="63" spans="1:12" ht="10.65" customHeight="1">
      <c r="A63" s="822"/>
      <c r="B63" s="823"/>
      <c r="C63" s="825"/>
      <c r="D63" s="825"/>
      <c r="E63" s="850"/>
      <c r="F63" s="825"/>
      <c r="G63" s="825"/>
      <c r="H63" s="825">
        <v>0</v>
      </c>
      <c r="I63" s="851"/>
      <c r="J63" s="825"/>
      <c r="K63" s="823"/>
      <c r="L63" s="830"/>
    </row>
    <row r="64" spans="1:12" ht="13.2" customHeight="1">
      <c r="A64" s="822" t="s">
        <v>521</v>
      </c>
      <c r="B64" s="823">
        <v>33852</v>
      </c>
      <c r="C64" s="825">
        <v>30932652</v>
      </c>
      <c r="D64" s="825"/>
      <c r="E64" s="850">
        <v>11379</v>
      </c>
      <c r="F64" s="825">
        <v>2966</v>
      </c>
      <c r="G64" s="825">
        <v>89558217.600000009</v>
      </c>
      <c r="H64" s="825">
        <v>14345</v>
      </c>
      <c r="I64" s="851"/>
      <c r="J64" s="825">
        <v>8127</v>
      </c>
      <c r="K64" s="823">
        <v>5717</v>
      </c>
      <c r="L64" s="830">
        <v>501</v>
      </c>
    </row>
    <row r="65" spans="1:12" ht="13.2" customHeight="1">
      <c r="A65" s="822" t="s">
        <v>525</v>
      </c>
      <c r="B65" s="823">
        <v>107945</v>
      </c>
      <c r="C65" s="825">
        <v>98518492</v>
      </c>
      <c r="D65" s="825"/>
      <c r="E65" s="850">
        <v>23651</v>
      </c>
      <c r="F65" s="825">
        <v>21519</v>
      </c>
      <c r="G65" s="825">
        <v>479667630.42999995</v>
      </c>
      <c r="H65" s="825">
        <v>45170</v>
      </c>
      <c r="I65" s="851"/>
      <c r="J65" s="825">
        <v>22216</v>
      </c>
      <c r="K65" s="823">
        <v>21922</v>
      </c>
      <c r="L65" s="830">
        <v>1032</v>
      </c>
    </row>
    <row r="66" spans="1:12" ht="13.2" customHeight="1">
      <c r="A66" s="822" t="s">
        <v>529</v>
      </c>
      <c r="B66" s="823">
        <v>312913</v>
      </c>
      <c r="C66" s="825">
        <v>284894290</v>
      </c>
      <c r="D66" s="825"/>
      <c r="E66" s="850">
        <v>79939</v>
      </c>
      <c r="F66" s="825">
        <v>60201</v>
      </c>
      <c r="G66" s="825">
        <v>1377444418.5699999</v>
      </c>
      <c r="H66" s="825">
        <v>140140</v>
      </c>
      <c r="I66" s="851"/>
      <c r="J66" s="825">
        <v>84436</v>
      </c>
      <c r="K66" s="823">
        <v>51841</v>
      </c>
      <c r="L66" s="830">
        <v>3863</v>
      </c>
    </row>
    <row r="67" spans="1:12" ht="13.2" customHeight="1">
      <c r="A67" s="822" t="s">
        <v>533</v>
      </c>
      <c r="B67" s="823">
        <v>52729</v>
      </c>
      <c r="C67" s="825">
        <v>48143749</v>
      </c>
      <c r="D67" s="825"/>
      <c r="E67" s="850">
        <v>18360</v>
      </c>
      <c r="F67" s="825">
        <v>4058</v>
      </c>
      <c r="G67" s="825">
        <v>137152488.10000002</v>
      </c>
      <c r="H67" s="825">
        <v>22418</v>
      </c>
      <c r="I67" s="851"/>
      <c r="J67" s="825">
        <v>12408</v>
      </c>
      <c r="K67" s="823">
        <v>9372</v>
      </c>
      <c r="L67" s="830">
        <v>638</v>
      </c>
    </row>
    <row r="68" spans="1:12" ht="13.2" customHeight="1">
      <c r="A68" s="822" t="s">
        <v>537</v>
      </c>
      <c r="B68" s="823">
        <v>2352</v>
      </c>
      <c r="C68" s="825">
        <v>2122983</v>
      </c>
      <c r="D68" s="825"/>
      <c r="E68" s="850">
        <v>798</v>
      </c>
      <c r="F68" s="825">
        <v>217</v>
      </c>
      <c r="G68" s="825">
        <v>7472646.5</v>
      </c>
      <c r="H68" s="825">
        <v>1015</v>
      </c>
      <c r="I68" s="851"/>
      <c r="J68" s="825">
        <v>483</v>
      </c>
      <c r="K68" s="823">
        <v>503</v>
      </c>
      <c r="L68" s="858">
        <v>29</v>
      </c>
    </row>
    <row r="69" spans="1:12" ht="10.65" customHeight="1">
      <c r="A69" s="822"/>
      <c r="B69" s="823"/>
      <c r="C69" s="825"/>
      <c r="D69" s="825"/>
      <c r="E69" s="850"/>
      <c r="F69" s="825"/>
      <c r="G69" s="825"/>
      <c r="H69" s="825"/>
      <c r="I69" s="851"/>
      <c r="J69" s="825"/>
      <c r="K69" s="823"/>
      <c r="L69" s="858"/>
    </row>
    <row r="70" spans="1:12" ht="13.2" customHeight="1">
      <c r="A70" s="822" t="s">
        <v>541</v>
      </c>
      <c r="B70" s="823">
        <v>36429</v>
      </c>
      <c r="C70" s="825">
        <v>33220459</v>
      </c>
      <c r="D70" s="825"/>
      <c r="E70" s="850">
        <v>8848</v>
      </c>
      <c r="F70" s="825">
        <v>6687</v>
      </c>
      <c r="G70" s="825">
        <v>159565413.00999999</v>
      </c>
      <c r="H70" s="825">
        <v>15535</v>
      </c>
      <c r="I70" s="851"/>
      <c r="J70" s="825">
        <v>7724</v>
      </c>
      <c r="K70" s="823">
        <v>7283</v>
      </c>
      <c r="L70" s="830">
        <v>528</v>
      </c>
    </row>
    <row r="71" spans="1:12" ht="13.2" customHeight="1">
      <c r="A71" s="822" t="s">
        <v>545</v>
      </c>
      <c r="B71" s="823">
        <v>75951</v>
      </c>
      <c r="C71" s="825">
        <v>68318129</v>
      </c>
      <c r="D71" s="825"/>
      <c r="E71" s="850">
        <v>16163</v>
      </c>
      <c r="F71" s="825">
        <v>15037</v>
      </c>
      <c r="G71" s="825">
        <v>394934697.63</v>
      </c>
      <c r="H71" s="825">
        <v>31200</v>
      </c>
      <c r="I71" s="851"/>
      <c r="J71" s="825">
        <v>15338</v>
      </c>
      <c r="K71" s="823">
        <v>14952</v>
      </c>
      <c r="L71" s="830">
        <v>910</v>
      </c>
    </row>
    <row r="72" spans="1:12" ht="13.2" customHeight="1">
      <c r="A72" s="822" t="s">
        <v>549</v>
      </c>
      <c r="B72" s="823">
        <v>6916</v>
      </c>
      <c r="C72" s="825">
        <v>6316364</v>
      </c>
      <c r="D72" s="825"/>
      <c r="E72" s="850">
        <v>2114</v>
      </c>
      <c r="F72" s="825">
        <v>904</v>
      </c>
      <c r="G72" s="825">
        <v>23240771.600000001</v>
      </c>
      <c r="H72" s="825">
        <v>3018</v>
      </c>
      <c r="I72" s="851"/>
      <c r="J72" s="825">
        <v>1679</v>
      </c>
      <c r="K72" s="823">
        <v>1259</v>
      </c>
      <c r="L72" s="830">
        <v>80</v>
      </c>
    </row>
    <row r="73" spans="1:12" ht="13.2" customHeight="1">
      <c r="A73" s="822" t="s">
        <v>553</v>
      </c>
      <c r="B73" s="823">
        <v>23899</v>
      </c>
      <c r="C73" s="825">
        <v>21754544</v>
      </c>
      <c r="D73" s="825"/>
      <c r="E73" s="850">
        <v>5085</v>
      </c>
      <c r="F73" s="825">
        <v>4774</v>
      </c>
      <c r="G73" s="825">
        <v>107987042.09999999</v>
      </c>
      <c r="H73" s="825">
        <v>9859</v>
      </c>
      <c r="I73" s="851"/>
      <c r="J73" s="825">
        <v>4877</v>
      </c>
      <c r="K73" s="823">
        <v>4611</v>
      </c>
      <c r="L73" s="830">
        <v>371</v>
      </c>
    </row>
    <row r="74" spans="1:12" ht="13.2" customHeight="1">
      <c r="A74" s="822" t="s">
        <v>557</v>
      </c>
      <c r="B74" s="823">
        <v>16927</v>
      </c>
      <c r="C74" s="825">
        <v>15507707</v>
      </c>
      <c r="D74" s="825"/>
      <c r="E74" s="850">
        <v>4152</v>
      </c>
      <c r="F74" s="825">
        <v>3060</v>
      </c>
      <c r="G74" s="825">
        <v>75891096</v>
      </c>
      <c r="H74" s="825">
        <v>7212</v>
      </c>
      <c r="I74" s="851"/>
      <c r="J74" s="825">
        <v>3625</v>
      </c>
      <c r="K74" s="823">
        <v>3379</v>
      </c>
      <c r="L74" s="830">
        <v>208</v>
      </c>
    </row>
    <row r="75" spans="1:12" ht="10.65" customHeight="1">
      <c r="A75" s="818"/>
      <c r="B75" s="823"/>
      <c r="C75" s="825"/>
      <c r="D75" s="825"/>
      <c r="E75" s="850"/>
      <c r="F75" s="825"/>
      <c r="G75" s="825"/>
      <c r="H75" s="825"/>
      <c r="I75" s="851"/>
      <c r="J75" s="825"/>
      <c r="K75" s="823"/>
      <c r="L75" s="830"/>
    </row>
    <row r="76" spans="1:12" ht="13.2" customHeight="1">
      <c r="A76" s="822" t="s">
        <v>561</v>
      </c>
      <c r="B76" s="823">
        <v>12730</v>
      </c>
      <c r="C76" s="825">
        <v>11458253</v>
      </c>
      <c r="D76" s="825"/>
      <c r="E76" s="850">
        <v>3272</v>
      </c>
      <c r="F76" s="825">
        <v>2056</v>
      </c>
      <c r="G76" s="886">
        <v>74284778.299999997</v>
      </c>
      <c r="H76" s="825">
        <v>5328</v>
      </c>
      <c r="I76" s="851"/>
      <c r="J76" s="825">
        <v>2955</v>
      </c>
      <c r="K76" s="823">
        <v>2222</v>
      </c>
      <c r="L76" s="830">
        <v>151</v>
      </c>
    </row>
    <row r="77" spans="1:12" ht="13.2" customHeight="1">
      <c r="A77" s="822" t="s">
        <v>565</v>
      </c>
      <c r="B77" s="823">
        <v>19453</v>
      </c>
      <c r="C77" s="825">
        <v>17815759</v>
      </c>
      <c r="D77" s="825"/>
      <c r="E77" s="850">
        <v>6980</v>
      </c>
      <c r="F77" s="825">
        <v>1142</v>
      </c>
      <c r="G77" s="825">
        <v>47129309.200000003</v>
      </c>
      <c r="H77" s="825">
        <v>8122</v>
      </c>
      <c r="I77" s="851"/>
      <c r="J77" s="825">
        <v>3934</v>
      </c>
      <c r="K77" s="823">
        <v>3920</v>
      </c>
      <c r="L77" s="830">
        <v>268</v>
      </c>
    </row>
    <row r="78" spans="1:12" ht="13.2" customHeight="1">
      <c r="A78" s="822" t="s">
        <v>569</v>
      </c>
      <c r="B78" s="823">
        <v>354898</v>
      </c>
      <c r="C78" s="825">
        <v>324041684</v>
      </c>
      <c r="D78" s="825"/>
      <c r="E78" s="850">
        <v>58660</v>
      </c>
      <c r="F78" s="825">
        <v>84740</v>
      </c>
      <c r="G78" s="825">
        <v>2436583889.1999998</v>
      </c>
      <c r="H78" s="825">
        <v>143400</v>
      </c>
      <c r="I78" s="851"/>
      <c r="J78" s="825">
        <v>67983</v>
      </c>
      <c r="K78" s="823">
        <v>71074</v>
      </c>
      <c r="L78" s="830">
        <v>4343</v>
      </c>
    </row>
    <row r="79" spans="1:12" ht="13.2" customHeight="1">
      <c r="A79" s="822" t="s">
        <v>573</v>
      </c>
      <c r="B79" s="823">
        <v>32225</v>
      </c>
      <c r="C79" s="825">
        <v>29408252</v>
      </c>
      <c r="D79" s="825"/>
      <c r="E79" s="850">
        <v>8327</v>
      </c>
      <c r="F79" s="825">
        <v>5488</v>
      </c>
      <c r="G79" s="825">
        <v>127437309.10000001</v>
      </c>
      <c r="H79" s="825">
        <v>13815</v>
      </c>
      <c r="I79" s="851"/>
      <c r="J79" s="825">
        <v>6960</v>
      </c>
      <c r="K79" s="823">
        <v>6453</v>
      </c>
      <c r="L79" s="830">
        <v>402</v>
      </c>
    </row>
    <row r="80" spans="1:12" ht="13.2" customHeight="1">
      <c r="A80" s="822" t="s">
        <v>577</v>
      </c>
      <c r="B80" s="823">
        <v>10607</v>
      </c>
      <c r="C80" s="825">
        <v>9672942</v>
      </c>
      <c r="D80" s="825"/>
      <c r="E80" s="850">
        <v>3612</v>
      </c>
      <c r="F80" s="825">
        <v>899</v>
      </c>
      <c r="G80" s="825">
        <v>28880633.200000003</v>
      </c>
      <c r="H80" s="825">
        <v>4511</v>
      </c>
      <c r="I80" s="851"/>
      <c r="J80" s="825">
        <v>2626</v>
      </c>
      <c r="K80" s="823">
        <v>1784</v>
      </c>
      <c r="L80" s="830">
        <v>101</v>
      </c>
    </row>
    <row r="81" spans="1:13" ht="10.65" customHeight="1">
      <c r="A81" s="822"/>
      <c r="B81" s="823"/>
      <c r="C81" s="825"/>
      <c r="D81" s="825"/>
      <c r="E81" s="850"/>
      <c r="F81" s="825"/>
      <c r="G81" s="825"/>
      <c r="H81" s="825"/>
      <c r="I81" s="851"/>
      <c r="J81" s="825"/>
      <c r="K81" s="823"/>
      <c r="L81" s="830"/>
    </row>
    <row r="82" spans="1:13" ht="13.2" customHeight="1">
      <c r="A82" s="822" t="s">
        <v>581</v>
      </c>
      <c r="B82" s="823">
        <v>12962</v>
      </c>
      <c r="C82" s="825">
        <v>11834905</v>
      </c>
      <c r="D82" s="825"/>
      <c r="E82" s="850">
        <v>3576</v>
      </c>
      <c r="F82" s="825">
        <v>1763</v>
      </c>
      <c r="G82" s="825">
        <v>46807812.299999997</v>
      </c>
      <c r="H82" s="825">
        <v>5339</v>
      </c>
      <c r="I82" s="851"/>
      <c r="J82" s="825">
        <v>2529</v>
      </c>
      <c r="K82" s="823">
        <v>2661</v>
      </c>
      <c r="L82" s="830">
        <v>149</v>
      </c>
    </row>
    <row r="83" spans="1:13" ht="13.2" customHeight="1">
      <c r="A83" s="822" t="s">
        <v>583</v>
      </c>
      <c r="B83" s="823">
        <v>9455</v>
      </c>
      <c r="C83" s="825">
        <v>8536320</v>
      </c>
      <c r="D83" s="825"/>
      <c r="E83" s="850">
        <v>2476</v>
      </c>
      <c r="F83" s="825">
        <v>1392</v>
      </c>
      <c r="G83" s="825">
        <v>36664803.399999999</v>
      </c>
      <c r="H83" s="825">
        <v>3868</v>
      </c>
      <c r="I83" s="851"/>
      <c r="J83" s="825">
        <v>1834</v>
      </c>
      <c r="K83" s="823">
        <v>1941</v>
      </c>
      <c r="L83" s="830">
        <v>93</v>
      </c>
    </row>
    <row r="84" spans="1:13" ht="13.2" customHeight="1">
      <c r="A84" s="822" t="s">
        <v>586</v>
      </c>
      <c r="B84" s="823">
        <v>30866</v>
      </c>
      <c r="C84" s="825">
        <v>28101467</v>
      </c>
      <c r="D84" s="825"/>
      <c r="E84" s="850">
        <v>10014</v>
      </c>
      <c r="F84" s="825">
        <v>3180</v>
      </c>
      <c r="G84" s="825">
        <v>94035097.800000012</v>
      </c>
      <c r="H84" s="825">
        <v>13194</v>
      </c>
      <c r="I84" s="851"/>
      <c r="J84" s="825">
        <v>7568</v>
      </c>
      <c r="K84" s="823">
        <v>5179</v>
      </c>
      <c r="L84" s="830">
        <v>447</v>
      </c>
    </row>
    <row r="85" spans="1:13" ht="13.2" customHeight="1">
      <c r="A85" s="961" t="s">
        <v>589</v>
      </c>
      <c r="B85" s="825">
        <v>11207</v>
      </c>
      <c r="C85" s="825">
        <v>10126238</v>
      </c>
      <c r="D85" s="825"/>
      <c r="E85" s="850">
        <v>3141</v>
      </c>
      <c r="F85" s="825">
        <v>1600</v>
      </c>
      <c r="G85" s="886">
        <v>847581759.79999995</v>
      </c>
      <c r="H85" s="825">
        <v>4741</v>
      </c>
      <c r="I85" s="851"/>
      <c r="J85" s="825">
        <v>2418</v>
      </c>
      <c r="K85" s="825">
        <v>2195</v>
      </c>
      <c r="L85" s="831">
        <v>128</v>
      </c>
    </row>
    <row r="86" spans="1:13" ht="13.2" customHeight="1">
      <c r="A86" s="820" t="s">
        <v>592</v>
      </c>
      <c r="B86" s="825">
        <v>72992</v>
      </c>
      <c r="C86" s="825">
        <v>66204696</v>
      </c>
      <c r="D86" s="825"/>
      <c r="E86" s="850">
        <v>23242</v>
      </c>
      <c r="F86" s="825">
        <v>11129</v>
      </c>
      <c r="G86" s="825">
        <v>272115014.61000001</v>
      </c>
      <c r="H86" s="825">
        <v>34371</v>
      </c>
      <c r="I86" s="851"/>
      <c r="J86" s="825">
        <v>19394</v>
      </c>
      <c r="K86" s="825">
        <v>13939</v>
      </c>
      <c r="L86" s="831">
        <v>1038</v>
      </c>
      <c r="M86" s="396"/>
    </row>
    <row r="87" spans="1:13" ht="17.399999999999999">
      <c r="A87" s="387" t="s">
        <v>833</v>
      </c>
      <c r="B87" s="831"/>
      <c r="C87" s="831"/>
      <c r="D87" s="831"/>
      <c r="E87" s="831"/>
      <c r="F87" s="831"/>
      <c r="G87" s="831"/>
      <c r="H87" s="831"/>
      <c r="I87" s="831"/>
      <c r="J87" s="831"/>
      <c r="K87" s="831"/>
      <c r="L87" s="831"/>
      <c r="M87" s="396"/>
    </row>
    <row r="88" spans="1:13" ht="15.6">
      <c r="A88" s="399" t="s">
        <v>829</v>
      </c>
      <c r="B88" s="831"/>
      <c r="C88" s="831"/>
      <c r="D88" s="831"/>
      <c r="E88" s="831"/>
      <c r="F88" s="831"/>
      <c r="G88" s="831"/>
      <c r="H88" s="831"/>
      <c r="I88" s="831"/>
      <c r="J88" s="831"/>
      <c r="K88" s="831"/>
      <c r="L88" s="831"/>
    </row>
    <row r="89" spans="1:13" ht="15.6">
      <c r="A89" s="395" t="str">
        <f>A46</f>
        <v>Taxable Year 2011</v>
      </c>
      <c r="B89" s="831"/>
      <c r="C89" s="831"/>
      <c r="D89" s="831"/>
      <c r="E89" s="831"/>
      <c r="F89" s="831"/>
      <c r="G89" s="831"/>
      <c r="H89" s="831"/>
      <c r="I89" s="831"/>
      <c r="J89" s="831"/>
      <c r="K89" s="831"/>
      <c r="L89" s="831"/>
    </row>
    <row r="90" spans="1:13" ht="13.2" customHeight="1" thickBot="1">
      <c r="A90" s="828"/>
      <c r="B90" s="400">
        <f t="shared" ref="B90:L90" si="1">SUM(B52:B86)</f>
        <v>1534627</v>
      </c>
      <c r="C90" s="400">
        <f t="shared" si="1"/>
        <v>1397804499</v>
      </c>
      <c r="D90" s="400">
        <f t="shared" si="1"/>
        <v>0</v>
      </c>
      <c r="E90" s="400">
        <f t="shared" si="1"/>
        <v>375947</v>
      </c>
      <c r="F90" s="400">
        <f t="shared" si="1"/>
        <v>276705</v>
      </c>
      <c r="G90" s="400">
        <f t="shared" si="1"/>
        <v>8019084292.4499989</v>
      </c>
      <c r="H90" s="400">
        <f t="shared" si="1"/>
        <v>652652</v>
      </c>
      <c r="I90" s="400">
        <f t="shared" si="1"/>
        <v>0</v>
      </c>
      <c r="J90" s="400">
        <f t="shared" si="1"/>
        <v>342052</v>
      </c>
      <c r="K90" s="400">
        <f t="shared" si="1"/>
        <v>291997</v>
      </c>
      <c r="L90" s="400">
        <f t="shared" si="1"/>
        <v>18603</v>
      </c>
    </row>
    <row r="91" spans="1:13">
      <c r="A91" s="832"/>
      <c r="B91" s="1092" t="s">
        <v>503</v>
      </c>
      <c r="C91" s="1092"/>
      <c r="D91" s="852"/>
      <c r="E91" s="1093" t="s">
        <v>504</v>
      </c>
      <c r="F91" s="1094"/>
      <c r="G91" s="1094"/>
      <c r="H91" s="1094"/>
      <c r="I91" s="834"/>
      <c r="J91" s="835"/>
      <c r="K91" s="836" t="s">
        <v>830</v>
      </c>
      <c r="L91" s="837"/>
      <c r="M91" s="396"/>
    </row>
    <row r="92" spans="1:13" ht="13.2" customHeight="1">
      <c r="A92" s="853"/>
      <c r="B92" s="854"/>
      <c r="C92" s="854"/>
      <c r="D92" s="854"/>
      <c r="E92" s="855"/>
      <c r="F92" s="854"/>
      <c r="G92" s="854"/>
      <c r="H92" s="856" t="s">
        <v>25</v>
      </c>
      <c r="I92" s="857"/>
      <c r="J92" s="856"/>
      <c r="K92" s="856" t="s">
        <v>490</v>
      </c>
      <c r="L92" s="853" t="s">
        <v>490</v>
      </c>
    </row>
    <row r="93" spans="1:13" ht="13.2" customHeight="1">
      <c r="A93" s="819" t="s">
        <v>33</v>
      </c>
      <c r="B93" s="844" t="s">
        <v>831</v>
      </c>
      <c r="C93" s="844" t="s">
        <v>30</v>
      </c>
      <c r="D93" s="844"/>
      <c r="E93" s="845" t="s">
        <v>500</v>
      </c>
      <c r="F93" s="844" t="s">
        <v>499</v>
      </c>
      <c r="G93" s="844" t="s">
        <v>30</v>
      </c>
      <c r="H93" s="844" t="s">
        <v>495</v>
      </c>
      <c r="I93" s="846"/>
      <c r="J93" s="844" t="s">
        <v>832</v>
      </c>
      <c r="K93" s="844" t="s">
        <v>492</v>
      </c>
      <c r="L93" s="819" t="s">
        <v>493</v>
      </c>
    </row>
    <row r="94" spans="1:13" ht="10.65" customHeight="1">
      <c r="A94" s="820"/>
      <c r="B94" s="856"/>
      <c r="C94" s="856"/>
      <c r="D94" s="856"/>
      <c r="E94" s="859"/>
      <c r="F94" s="856"/>
      <c r="G94" s="856"/>
      <c r="H94" s="856"/>
      <c r="I94" s="857"/>
      <c r="J94" s="856"/>
      <c r="K94" s="856"/>
      <c r="L94" s="830"/>
    </row>
    <row r="95" spans="1:13" ht="13.2" customHeight="1">
      <c r="A95" s="822" t="s">
        <v>594</v>
      </c>
      <c r="B95" s="823">
        <v>15429</v>
      </c>
      <c r="C95" s="849">
        <v>14025621</v>
      </c>
      <c r="D95" s="849"/>
      <c r="E95" s="850">
        <v>4568</v>
      </c>
      <c r="F95" s="825">
        <v>2080</v>
      </c>
      <c r="G95" s="849">
        <v>56585634.299999997</v>
      </c>
      <c r="H95" s="825">
        <v>6648</v>
      </c>
      <c r="I95" s="851"/>
      <c r="J95" s="825">
        <v>3467</v>
      </c>
      <c r="K95" s="823">
        <v>3062</v>
      </c>
      <c r="L95" s="830">
        <v>119</v>
      </c>
    </row>
    <row r="96" spans="1:13" ht="13.2" customHeight="1">
      <c r="A96" s="822" t="s">
        <v>597</v>
      </c>
      <c r="B96" s="823">
        <v>19980</v>
      </c>
      <c r="C96" s="825">
        <v>18211451</v>
      </c>
      <c r="D96" s="825"/>
      <c r="E96" s="850">
        <v>4433</v>
      </c>
      <c r="F96" s="825">
        <v>4112</v>
      </c>
      <c r="G96" s="825">
        <v>88698332.400000006</v>
      </c>
      <c r="H96" s="825">
        <v>8545</v>
      </c>
      <c r="I96" s="851"/>
      <c r="J96" s="825">
        <v>3903</v>
      </c>
      <c r="K96" s="823">
        <v>4421</v>
      </c>
      <c r="L96" s="830">
        <v>221</v>
      </c>
    </row>
    <row r="97" spans="1:12" ht="13.2" customHeight="1">
      <c r="A97" s="822" t="s">
        <v>599</v>
      </c>
      <c r="B97" s="823">
        <v>12667</v>
      </c>
      <c r="C97" s="825">
        <v>11518766</v>
      </c>
      <c r="D97" s="825"/>
      <c r="E97" s="850">
        <v>4011</v>
      </c>
      <c r="F97" s="825">
        <v>1485</v>
      </c>
      <c r="G97" s="825">
        <v>48177446</v>
      </c>
      <c r="H97" s="825">
        <v>5496</v>
      </c>
      <c r="I97" s="851"/>
      <c r="J97" s="825">
        <v>3349</v>
      </c>
      <c r="K97" s="823">
        <v>1980</v>
      </c>
      <c r="L97" s="830">
        <v>167</v>
      </c>
    </row>
    <row r="98" spans="1:12" ht="13.2" customHeight="1">
      <c r="A98" s="822" t="s">
        <v>602</v>
      </c>
      <c r="B98" s="823">
        <v>14356</v>
      </c>
      <c r="C98" s="825">
        <v>12910663</v>
      </c>
      <c r="D98" s="825"/>
      <c r="E98" s="850">
        <v>3718</v>
      </c>
      <c r="F98" s="825">
        <v>1932</v>
      </c>
      <c r="G98" s="825">
        <v>60513495.100000001</v>
      </c>
      <c r="H98" s="825">
        <v>5650</v>
      </c>
      <c r="I98" s="851"/>
      <c r="J98" s="825">
        <v>2783</v>
      </c>
      <c r="K98" s="823">
        <v>2706</v>
      </c>
      <c r="L98" s="830">
        <v>161</v>
      </c>
    </row>
    <row r="99" spans="1:12" ht="13.2" customHeight="1">
      <c r="A99" s="822" t="s">
        <v>605</v>
      </c>
      <c r="B99" s="823">
        <v>13936</v>
      </c>
      <c r="C99" s="825">
        <v>12738833</v>
      </c>
      <c r="D99" s="825"/>
      <c r="E99" s="850">
        <v>4409</v>
      </c>
      <c r="F99" s="825">
        <v>1379</v>
      </c>
      <c r="G99" s="825">
        <v>39078902.200000003</v>
      </c>
      <c r="H99" s="825">
        <v>5788</v>
      </c>
      <c r="I99" s="851"/>
      <c r="J99" s="825">
        <v>3414</v>
      </c>
      <c r="K99" s="823">
        <v>2211</v>
      </c>
      <c r="L99" s="830">
        <v>163</v>
      </c>
    </row>
    <row r="100" spans="1:12" ht="10.65" customHeight="1">
      <c r="A100" s="822"/>
      <c r="B100" s="823"/>
      <c r="C100" s="825"/>
      <c r="D100" s="825"/>
      <c r="E100" s="850"/>
      <c r="F100" s="825"/>
      <c r="G100" s="825"/>
      <c r="H100" s="825"/>
      <c r="I100" s="851"/>
      <c r="J100" s="825"/>
      <c r="K100" s="823"/>
      <c r="L100" s="830"/>
    </row>
    <row r="101" spans="1:12" ht="13.2" customHeight="1">
      <c r="A101" s="822" t="s">
        <v>608</v>
      </c>
      <c r="B101" s="823">
        <v>35602</v>
      </c>
      <c r="C101" s="825">
        <v>32307751</v>
      </c>
      <c r="D101" s="825"/>
      <c r="E101" s="850">
        <v>8860</v>
      </c>
      <c r="F101" s="825">
        <v>5913</v>
      </c>
      <c r="G101" s="825">
        <v>149930102.09999999</v>
      </c>
      <c r="H101" s="825">
        <v>14773</v>
      </c>
      <c r="I101" s="851"/>
      <c r="J101" s="825">
        <v>7515</v>
      </c>
      <c r="K101" s="823">
        <v>6862</v>
      </c>
      <c r="L101" s="830">
        <v>396</v>
      </c>
    </row>
    <row r="102" spans="1:12" ht="13.2" customHeight="1">
      <c r="A102" s="822" t="s">
        <v>611</v>
      </c>
      <c r="B102" s="823">
        <v>23262</v>
      </c>
      <c r="C102" s="825">
        <v>21246035</v>
      </c>
      <c r="D102" s="825"/>
      <c r="E102" s="850">
        <v>7825</v>
      </c>
      <c r="F102" s="825">
        <v>2337</v>
      </c>
      <c r="G102" s="825">
        <v>70433851.599999994</v>
      </c>
      <c r="H102" s="825">
        <v>10162</v>
      </c>
      <c r="I102" s="851"/>
      <c r="J102" s="825">
        <v>5409</v>
      </c>
      <c r="K102" s="823">
        <v>4539</v>
      </c>
      <c r="L102" s="830">
        <v>214</v>
      </c>
    </row>
    <row r="103" spans="1:12" ht="13.2" customHeight="1">
      <c r="A103" s="822" t="s">
        <v>614</v>
      </c>
      <c r="B103" s="823">
        <v>16457</v>
      </c>
      <c r="C103" s="825">
        <v>15009594</v>
      </c>
      <c r="D103" s="825"/>
      <c r="E103" s="850">
        <v>5720</v>
      </c>
      <c r="F103" s="825">
        <v>1229</v>
      </c>
      <c r="G103" s="825">
        <v>44626427.900000006</v>
      </c>
      <c r="H103" s="825">
        <v>6949</v>
      </c>
      <c r="I103" s="851"/>
      <c r="J103" s="825">
        <v>3320</v>
      </c>
      <c r="K103" s="823">
        <v>3396</v>
      </c>
      <c r="L103" s="830">
        <v>233</v>
      </c>
    </row>
    <row r="104" spans="1:12" ht="13.2" customHeight="1">
      <c r="A104" s="822" t="s">
        <v>617</v>
      </c>
      <c r="B104" s="823">
        <v>60207</v>
      </c>
      <c r="C104" s="825">
        <v>55043459</v>
      </c>
      <c r="D104" s="825"/>
      <c r="E104" s="850">
        <v>19584</v>
      </c>
      <c r="F104" s="825">
        <v>6016</v>
      </c>
      <c r="G104" s="825">
        <v>170324681.09999999</v>
      </c>
      <c r="H104" s="825">
        <v>25600</v>
      </c>
      <c r="I104" s="851"/>
      <c r="J104" s="825">
        <v>13404</v>
      </c>
      <c r="K104" s="823">
        <v>11491</v>
      </c>
      <c r="L104" s="830">
        <v>705</v>
      </c>
    </row>
    <row r="105" spans="1:12" ht="13.2" customHeight="1">
      <c r="A105" s="822" t="s">
        <v>620</v>
      </c>
      <c r="B105" s="823">
        <v>27881</v>
      </c>
      <c r="C105" s="825">
        <v>25439207.999999996</v>
      </c>
      <c r="D105" s="825"/>
      <c r="E105" s="850">
        <v>5689</v>
      </c>
      <c r="F105" s="825">
        <v>5761</v>
      </c>
      <c r="G105" s="825">
        <v>126403118.5</v>
      </c>
      <c r="H105" s="825">
        <v>11450</v>
      </c>
      <c r="I105" s="851"/>
      <c r="J105" s="825">
        <v>5067</v>
      </c>
      <c r="K105" s="823">
        <v>6071</v>
      </c>
      <c r="L105" s="830">
        <v>312</v>
      </c>
    </row>
    <row r="106" spans="1:12" ht="10.65" customHeight="1">
      <c r="A106" s="822"/>
      <c r="B106" s="823"/>
      <c r="C106" s="825"/>
      <c r="D106" s="825"/>
      <c r="E106" s="850"/>
      <c r="F106" s="825"/>
      <c r="G106" s="825"/>
      <c r="H106" s="825"/>
      <c r="I106" s="851"/>
      <c r="J106" s="825"/>
      <c r="K106" s="823"/>
      <c r="L106" s="830"/>
    </row>
    <row r="107" spans="1:12" ht="13.2" customHeight="1">
      <c r="A107" s="822" t="s">
        <v>623</v>
      </c>
      <c r="B107" s="823">
        <v>16941</v>
      </c>
      <c r="C107" s="825">
        <v>15452186.560000001</v>
      </c>
      <c r="D107" s="825"/>
      <c r="E107" s="850">
        <v>5465</v>
      </c>
      <c r="F107" s="825">
        <v>1933</v>
      </c>
      <c r="G107" s="825">
        <v>51639775.799999997</v>
      </c>
      <c r="H107" s="825">
        <v>7398</v>
      </c>
      <c r="I107" s="851"/>
      <c r="J107" s="825">
        <v>4487</v>
      </c>
      <c r="K107" s="823">
        <v>2695</v>
      </c>
      <c r="L107" s="830">
        <v>216</v>
      </c>
    </row>
    <row r="108" spans="1:12" ht="13.2" customHeight="1">
      <c r="A108" s="822" t="s">
        <v>625</v>
      </c>
      <c r="B108" s="823">
        <v>29386</v>
      </c>
      <c r="C108" s="825">
        <v>26797389.969999999</v>
      </c>
      <c r="D108" s="825"/>
      <c r="E108" s="850">
        <v>7623</v>
      </c>
      <c r="F108" s="825">
        <v>5101</v>
      </c>
      <c r="G108" s="825">
        <v>118807462.40000001</v>
      </c>
      <c r="H108" s="825">
        <v>12724</v>
      </c>
      <c r="I108" s="851"/>
      <c r="J108" s="825">
        <v>6571</v>
      </c>
      <c r="K108" s="823">
        <v>5616</v>
      </c>
      <c r="L108" s="830">
        <v>537</v>
      </c>
    </row>
    <row r="109" spans="1:12" ht="13.2" customHeight="1">
      <c r="A109" s="822" t="s">
        <v>628</v>
      </c>
      <c r="B109" s="823">
        <v>428941</v>
      </c>
      <c r="C109" s="825">
        <v>392202583.04000002</v>
      </c>
      <c r="D109" s="825"/>
      <c r="E109" s="850">
        <v>87656</v>
      </c>
      <c r="F109" s="825">
        <v>95406</v>
      </c>
      <c r="G109" s="825">
        <v>2349113540.9300003</v>
      </c>
      <c r="H109" s="825">
        <v>183062</v>
      </c>
      <c r="I109" s="851"/>
      <c r="J109" s="825">
        <v>101168</v>
      </c>
      <c r="K109" s="823">
        <v>75482</v>
      </c>
      <c r="L109" s="830">
        <v>6412</v>
      </c>
    </row>
    <row r="110" spans="1:12" ht="13.2" customHeight="1">
      <c r="A110" s="822" t="s">
        <v>630</v>
      </c>
      <c r="B110" s="823">
        <v>31189</v>
      </c>
      <c r="C110" s="825">
        <v>28424584.410000008</v>
      </c>
      <c r="D110" s="825"/>
      <c r="E110" s="850">
        <v>10741</v>
      </c>
      <c r="F110" s="825">
        <v>3128</v>
      </c>
      <c r="G110" s="825">
        <v>90239032</v>
      </c>
      <c r="H110" s="825">
        <v>13869</v>
      </c>
      <c r="I110" s="851"/>
      <c r="J110" s="825">
        <v>7333</v>
      </c>
      <c r="K110" s="823">
        <v>6234</v>
      </c>
      <c r="L110" s="830">
        <v>302</v>
      </c>
    </row>
    <row r="111" spans="1:12" ht="13.2" customHeight="1">
      <c r="A111" s="822" t="s">
        <v>633</v>
      </c>
      <c r="B111" s="823">
        <v>7917</v>
      </c>
      <c r="C111" s="825">
        <v>7177686.5800000001</v>
      </c>
      <c r="D111" s="825"/>
      <c r="E111" s="850">
        <v>1963</v>
      </c>
      <c r="F111" s="825">
        <v>1413</v>
      </c>
      <c r="G111" s="825">
        <v>41052396.799999997</v>
      </c>
      <c r="H111" s="825">
        <v>3376</v>
      </c>
      <c r="I111" s="851"/>
      <c r="J111" s="825">
        <v>1681</v>
      </c>
      <c r="K111" s="823">
        <v>1604</v>
      </c>
      <c r="L111" s="830">
        <v>91</v>
      </c>
    </row>
    <row r="112" spans="1:12" ht="10.65" customHeight="1">
      <c r="A112" s="822"/>
      <c r="B112" s="823"/>
      <c r="C112" s="825"/>
      <c r="D112" s="825"/>
      <c r="E112" s="850"/>
      <c r="F112" s="825"/>
      <c r="G112" s="825"/>
      <c r="H112" s="825"/>
      <c r="I112" s="851"/>
      <c r="J112" s="825"/>
      <c r="K112" s="823"/>
      <c r="L112" s="830"/>
    </row>
    <row r="113" spans="1:12" ht="13.2" customHeight="1">
      <c r="A113" s="822" t="s">
        <v>563</v>
      </c>
      <c r="B113" s="823">
        <v>13677</v>
      </c>
      <c r="C113" s="825">
        <v>12523823.689999999</v>
      </c>
      <c r="D113" s="825"/>
      <c r="E113" s="850">
        <v>3423</v>
      </c>
      <c r="F113" s="825">
        <v>2343</v>
      </c>
      <c r="G113" s="886">
        <v>116850369.7</v>
      </c>
      <c r="H113" s="825">
        <v>5766</v>
      </c>
      <c r="I113" s="851"/>
      <c r="J113" s="825">
        <v>3035</v>
      </c>
      <c r="K113" s="823">
        <v>2291</v>
      </c>
      <c r="L113" s="830">
        <v>440</v>
      </c>
    </row>
    <row r="114" spans="1:12" ht="13.2" customHeight="1">
      <c r="A114" s="822" t="s">
        <v>567</v>
      </c>
      <c r="B114" s="823">
        <v>101012</v>
      </c>
      <c r="C114" s="825">
        <v>91846733.400000006</v>
      </c>
      <c r="D114" s="825"/>
      <c r="E114" s="850">
        <v>25721</v>
      </c>
      <c r="F114" s="825">
        <v>17277</v>
      </c>
      <c r="G114" s="825">
        <v>396178461.81</v>
      </c>
      <c r="H114" s="825">
        <v>42998</v>
      </c>
      <c r="I114" s="851"/>
      <c r="J114" s="825">
        <v>21765</v>
      </c>
      <c r="K114" s="823">
        <v>20294</v>
      </c>
      <c r="L114" s="830">
        <v>939</v>
      </c>
    </row>
    <row r="115" spans="1:12" ht="13.2" customHeight="1">
      <c r="A115" s="822" t="s">
        <v>640</v>
      </c>
      <c r="B115" s="823">
        <v>21290</v>
      </c>
      <c r="C115" s="825">
        <v>19359156.530000005</v>
      </c>
      <c r="D115" s="825"/>
      <c r="E115" s="850">
        <v>6504</v>
      </c>
      <c r="F115" s="825">
        <v>2647</v>
      </c>
      <c r="G115" s="825">
        <v>81149547.5</v>
      </c>
      <c r="H115" s="825">
        <v>9151</v>
      </c>
      <c r="I115" s="851"/>
      <c r="J115" s="825">
        <v>4654</v>
      </c>
      <c r="K115" s="823">
        <v>4300</v>
      </c>
      <c r="L115" s="830">
        <v>197</v>
      </c>
    </row>
    <row r="116" spans="1:12" ht="13.2" customHeight="1">
      <c r="A116" s="822" t="s">
        <v>643</v>
      </c>
      <c r="B116" s="823">
        <v>81107</v>
      </c>
      <c r="C116" s="825">
        <v>73943050.489999995</v>
      </c>
      <c r="D116" s="825"/>
      <c r="E116" s="850">
        <v>23616</v>
      </c>
      <c r="F116" s="825">
        <v>10669</v>
      </c>
      <c r="G116" s="825">
        <v>292963647.30999994</v>
      </c>
      <c r="H116" s="825">
        <v>34285</v>
      </c>
      <c r="I116" s="851"/>
      <c r="J116" s="825">
        <v>17260</v>
      </c>
      <c r="K116" s="823">
        <v>16358</v>
      </c>
      <c r="L116" s="830">
        <v>667</v>
      </c>
    </row>
    <row r="117" spans="1:12" ht="13.2" customHeight="1">
      <c r="A117" s="822" t="s">
        <v>646</v>
      </c>
      <c r="B117" s="823">
        <v>24153</v>
      </c>
      <c r="C117" s="825">
        <v>22164258.730000004</v>
      </c>
      <c r="D117" s="825"/>
      <c r="E117" s="850">
        <v>8713</v>
      </c>
      <c r="F117" s="825">
        <v>1591</v>
      </c>
      <c r="G117" s="825">
        <v>63401653.700000003</v>
      </c>
      <c r="H117" s="825">
        <v>10304</v>
      </c>
      <c r="I117" s="851"/>
      <c r="J117" s="825">
        <v>4689</v>
      </c>
      <c r="K117" s="823">
        <v>5388</v>
      </c>
      <c r="L117" s="830">
        <v>227</v>
      </c>
    </row>
    <row r="118" spans="1:12" ht="10.65" customHeight="1">
      <c r="A118" s="822"/>
      <c r="B118" s="823"/>
      <c r="C118" s="825"/>
      <c r="D118" s="825"/>
      <c r="E118" s="850"/>
      <c r="F118" s="825"/>
      <c r="G118" s="825"/>
      <c r="H118" s="825"/>
      <c r="I118" s="851"/>
      <c r="J118" s="825"/>
      <c r="K118" s="823"/>
      <c r="L118" s="830"/>
    </row>
    <row r="119" spans="1:12" ht="13.2" customHeight="1">
      <c r="A119" s="822" t="s">
        <v>522</v>
      </c>
      <c r="B119" s="823">
        <v>20987</v>
      </c>
      <c r="C119" s="825">
        <v>19135561.5</v>
      </c>
      <c r="D119" s="825"/>
      <c r="E119" s="850">
        <v>7434</v>
      </c>
      <c r="F119" s="825">
        <v>1425</v>
      </c>
      <c r="G119" s="825">
        <v>55192831.810000002</v>
      </c>
      <c r="H119" s="825">
        <v>8859</v>
      </c>
      <c r="I119" s="851"/>
      <c r="J119" s="825">
        <v>3893</v>
      </c>
      <c r="K119" s="823">
        <v>4428</v>
      </c>
      <c r="L119" s="830">
        <v>538</v>
      </c>
    </row>
    <row r="120" spans="1:12" ht="13.2" customHeight="1">
      <c r="A120" s="960" t="s">
        <v>526</v>
      </c>
      <c r="B120" s="823">
        <v>43005</v>
      </c>
      <c r="C120" s="825">
        <v>39123371.960000001</v>
      </c>
      <c r="D120" s="825"/>
      <c r="E120" s="850">
        <v>12682</v>
      </c>
      <c r="F120" s="825">
        <v>5905</v>
      </c>
      <c r="G120" s="886">
        <v>683790707.39999998</v>
      </c>
      <c r="H120" s="825">
        <v>18587</v>
      </c>
      <c r="I120" s="851"/>
      <c r="J120" s="825">
        <v>9899</v>
      </c>
      <c r="K120" s="823">
        <v>8267</v>
      </c>
      <c r="L120" s="830">
        <v>421</v>
      </c>
    </row>
    <row r="121" spans="1:12" ht="13.2" customHeight="1">
      <c r="A121" s="822" t="s">
        <v>530</v>
      </c>
      <c r="B121" s="823">
        <v>29670</v>
      </c>
      <c r="C121" s="825">
        <v>27112235.809999995</v>
      </c>
      <c r="D121" s="825"/>
      <c r="E121" s="850">
        <v>10848</v>
      </c>
      <c r="F121" s="825">
        <v>2034</v>
      </c>
      <c r="G121" s="825">
        <v>76778988.400000006</v>
      </c>
      <c r="H121" s="825">
        <v>12882</v>
      </c>
      <c r="I121" s="851"/>
      <c r="J121" s="825">
        <v>6801</v>
      </c>
      <c r="K121" s="823">
        <v>5828</v>
      </c>
      <c r="L121" s="830">
        <v>253</v>
      </c>
    </row>
    <row r="122" spans="1:12" ht="13.2" customHeight="1">
      <c r="A122" s="822" t="s">
        <v>534</v>
      </c>
      <c r="B122" s="823">
        <v>17458</v>
      </c>
      <c r="C122" s="825">
        <v>15964272.82</v>
      </c>
      <c r="D122" s="825"/>
      <c r="E122" s="850">
        <v>4960</v>
      </c>
      <c r="F122" s="825">
        <v>2468</v>
      </c>
      <c r="G122" s="825">
        <v>57431895.700000003</v>
      </c>
      <c r="H122" s="825">
        <v>7428</v>
      </c>
      <c r="I122" s="851"/>
      <c r="J122" s="825">
        <v>3961</v>
      </c>
      <c r="K122" s="823">
        <v>3197</v>
      </c>
      <c r="L122" s="830">
        <v>270</v>
      </c>
    </row>
    <row r="123" spans="1:12" ht="13.2" customHeight="1">
      <c r="A123" s="822" t="s">
        <v>538</v>
      </c>
      <c r="B123" s="823">
        <v>125566</v>
      </c>
      <c r="C123" s="825">
        <v>114579427.42</v>
      </c>
      <c r="D123" s="825"/>
      <c r="E123" s="850">
        <v>27633</v>
      </c>
      <c r="F123" s="825">
        <v>24843</v>
      </c>
      <c r="G123" s="825">
        <v>590485181.20000005</v>
      </c>
      <c r="H123" s="825">
        <v>52476</v>
      </c>
      <c r="I123" s="851"/>
      <c r="J123" s="825">
        <v>27243</v>
      </c>
      <c r="K123" s="823">
        <v>23632</v>
      </c>
      <c r="L123" s="830">
        <v>1601</v>
      </c>
    </row>
    <row r="124" spans="1:12" ht="10.65" customHeight="1">
      <c r="A124" s="822"/>
      <c r="B124" s="823"/>
      <c r="C124" s="825"/>
      <c r="D124" s="825"/>
      <c r="E124" s="850"/>
      <c r="F124" s="825"/>
      <c r="G124" s="825"/>
      <c r="H124" s="825"/>
      <c r="I124" s="851"/>
      <c r="J124" s="825"/>
      <c r="K124" s="823"/>
      <c r="L124" s="830"/>
    </row>
    <row r="125" spans="1:12" ht="13.2" customHeight="1">
      <c r="A125" s="822" t="s">
        <v>542</v>
      </c>
      <c r="B125" s="823">
        <v>126485</v>
      </c>
      <c r="C125" s="825">
        <v>115186140.70000002</v>
      </c>
      <c r="D125" s="825"/>
      <c r="E125" s="850">
        <v>25302</v>
      </c>
      <c r="F125" s="825">
        <v>26891</v>
      </c>
      <c r="G125" s="825">
        <v>658389755.80999994</v>
      </c>
      <c r="H125" s="825">
        <v>52193</v>
      </c>
      <c r="I125" s="851"/>
      <c r="J125" s="825">
        <v>25981</v>
      </c>
      <c r="K125" s="823">
        <v>24182</v>
      </c>
      <c r="L125" s="830">
        <v>2030</v>
      </c>
    </row>
    <row r="126" spans="1:12" ht="13.2" customHeight="1">
      <c r="A126" s="822" t="s">
        <v>546</v>
      </c>
      <c r="B126" s="823">
        <v>7185</v>
      </c>
      <c r="C126" s="825">
        <v>6585024.3000000007</v>
      </c>
      <c r="D126" s="825"/>
      <c r="E126" s="850">
        <v>2067</v>
      </c>
      <c r="F126" s="825">
        <v>1152</v>
      </c>
      <c r="G126" s="825">
        <v>27733237.600000001</v>
      </c>
      <c r="H126" s="825">
        <v>3219</v>
      </c>
      <c r="I126" s="851"/>
      <c r="J126" s="825">
        <v>1771</v>
      </c>
      <c r="K126" s="823">
        <v>1269</v>
      </c>
      <c r="L126" s="830">
        <v>179</v>
      </c>
    </row>
    <row r="127" spans="1:12" ht="13.2" customHeight="1">
      <c r="A127" s="822" t="s">
        <v>550</v>
      </c>
      <c r="B127" s="823">
        <v>9199</v>
      </c>
      <c r="C127" s="825">
        <v>8419447.7699999996</v>
      </c>
      <c r="D127" s="825"/>
      <c r="E127" s="850">
        <v>2890</v>
      </c>
      <c r="F127" s="825">
        <v>1154</v>
      </c>
      <c r="G127" s="825">
        <v>30609144.799999997</v>
      </c>
      <c r="H127" s="825">
        <v>4044</v>
      </c>
      <c r="I127" s="851"/>
      <c r="J127" s="825">
        <v>2512</v>
      </c>
      <c r="K127" s="823">
        <v>1370</v>
      </c>
      <c r="L127" s="830">
        <v>162</v>
      </c>
    </row>
    <row r="128" spans="1:12" ht="13.2" customHeight="1">
      <c r="A128" s="820" t="s">
        <v>554</v>
      </c>
      <c r="B128" s="825">
        <v>39129</v>
      </c>
      <c r="C128" s="825">
        <v>35720769.190000005</v>
      </c>
      <c r="D128" s="825"/>
      <c r="E128" s="850">
        <v>13635</v>
      </c>
      <c r="F128" s="825">
        <v>2993</v>
      </c>
      <c r="G128" s="825">
        <v>106116126.40000001</v>
      </c>
      <c r="H128" s="825">
        <v>16628</v>
      </c>
      <c r="I128" s="851"/>
      <c r="J128" s="825">
        <v>7853</v>
      </c>
      <c r="K128" s="825">
        <v>8372</v>
      </c>
      <c r="L128" s="831">
        <v>403</v>
      </c>
    </row>
    <row r="129" spans="1:14" ht="13.2" customHeight="1">
      <c r="A129" s="820" t="s">
        <v>558</v>
      </c>
      <c r="B129" s="825">
        <v>37903</v>
      </c>
      <c r="C129" s="825">
        <v>34537761.589999996</v>
      </c>
      <c r="D129" s="825"/>
      <c r="E129" s="850">
        <v>10129</v>
      </c>
      <c r="F129" s="825">
        <v>6446</v>
      </c>
      <c r="G129" s="825">
        <v>155474442.59999999</v>
      </c>
      <c r="H129" s="825">
        <v>16575</v>
      </c>
      <c r="I129" s="851"/>
      <c r="J129" s="825">
        <v>9037</v>
      </c>
      <c r="K129" s="825">
        <v>7111</v>
      </c>
      <c r="L129" s="831">
        <v>427</v>
      </c>
      <c r="M129" s="396"/>
    </row>
    <row r="130" spans="1:14" ht="17.399999999999999">
      <c r="A130" s="387" t="s">
        <v>833</v>
      </c>
      <c r="B130" s="831"/>
      <c r="C130" s="831"/>
      <c r="D130" s="831"/>
      <c r="E130" s="831"/>
      <c r="F130" s="831"/>
      <c r="G130" s="831"/>
      <c r="H130" s="831"/>
      <c r="I130" s="831"/>
      <c r="J130" s="831"/>
      <c r="K130" s="831"/>
      <c r="L130" s="831"/>
      <c r="M130" s="396"/>
    </row>
    <row r="131" spans="1:14" ht="15.6">
      <c r="A131" s="399" t="s">
        <v>829</v>
      </c>
      <c r="B131" s="831"/>
      <c r="C131" s="831"/>
      <c r="D131" s="831"/>
      <c r="E131" s="831"/>
      <c r="F131" s="831"/>
      <c r="G131" s="831"/>
      <c r="H131" s="831"/>
      <c r="I131" s="831"/>
      <c r="J131" s="831"/>
      <c r="K131" s="831"/>
      <c r="L131" s="831"/>
    </row>
    <row r="132" spans="1:14" ht="15.6">
      <c r="A132" s="395" t="str">
        <f>A89</f>
        <v>Taxable Year 2011</v>
      </c>
      <c r="B132" s="831"/>
      <c r="C132" s="831"/>
      <c r="D132" s="831"/>
      <c r="E132" s="831"/>
      <c r="F132" s="831"/>
      <c r="G132" s="831"/>
      <c r="H132" s="831"/>
      <c r="I132" s="831"/>
      <c r="J132" s="831"/>
      <c r="K132" s="831"/>
      <c r="L132" s="831"/>
    </row>
    <row r="133" spans="1:14" ht="13.2" customHeight="1" thickBot="1">
      <c r="A133" s="396"/>
      <c r="B133" s="400">
        <f t="shared" ref="B133:L133" si="2">SUM(B95:B129)</f>
        <v>1451977</v>
      </c>
      <c r="C133" s="400">
        <f t="shared" si="2"/>
        <v>1324706847.46</v>
      </c>
      <c r="D133" s="400">
        <f t="shared" si="2"/>
        <v>0</v>
      </c>
      <c r="E133" s="400">
        <f t="shared" si="2"/>
        <v>367822</v>
      </c>
      <c r="F133" s="400">
        <f t="shared" si="2"/>
        <v>249063</v>
      </c>
      <c r="G133" s="400">
        <f t="shared" si="2"/>
        <v>6898170190.8699999</v>
      </c>
      <c r="H133" s="400">
        <f t="shared" si="2"/>
        <v>616885</v>
      </c>
      <c r="I133" s="400">
        <f t="shared" si="2"/>
        <v>0</v>
      </c>
      <c r="J133" s="400">
        <f t="shared" si="2"/>
        <v>323225</v>
      </c>
      <c r="K133" s="400">
        <f t="shared" si="2"/>
        <v>274657</v>
      </c>
      <c r="L133" s="400">
        <f t="shared" si="2"/>
        <v>19003</v>
      </c>
    </row>
    <row r="134" spans="1:14">
      <c r="A134" s="832"/>
      <c r="B134" s="1092" t="s">
        <v>503</v>
      </c>
      <c r="C134" s="1092"/>
      <c r="D134" s="852"/>
      <c r="E134" s="1093" t="s">
        <v>504</v>
      </c>
      <c r="F134" s="1094"/>
      <c r="G134" s="1094"/>
      <c r="H134" s="1094"/>
      <c r="I134" s="834"/>
      <c r="J134" s="835"/>
      <c r="K134" s="836" t="s">
        <v>830</v>
      </c>
      <c r="L134" s="837"/>
      <c r="M134" s="396"/>
    </row>
    <row r="135" spans="1:14" ht="13.2" customHeight="1">
      <c r="A135" s="853"/>
      <c r="B135" s="854"/>
      <c r="C135" s="854"/>
      <c r="D135" s="854"/>
      <c r="E135" s="855"/>
      <c r="F135" s="854"/>
      <c r="G135" s="854"/>
      <c r="H135" s="856" t="s">
        <v>25</v>
      </c>
      <c r="I135" s="857"/>
      <c r="J135" s="856"/>
      <c r="K135" s="856" t="s">
        <v>490</v>
      </c>
      <c r="L135" s="853" t="s">
        <v>490</v>
      </c>
    </row>
    <row r="136" spans="1:14" ht="13.2" customHeight="1">
      <c r="A136" s="819" t="s">
        <v>33</v>
      </c>
      <c r="B136" s="844" t="s">
        <v>831</v>
      </c>
      <c r="C136" s="844" t="s">
        <v>30</v>
      </c>
      <c r="D136" s="844"/>
      <c r="E136" s="845" t="s">
        <v>500</v>
      </c>
      <c r="F136" s="844" t="s">
        <v>499</v>
      </c>
      <c r="G136" s="819" t="s">
        <v>30</v>
      </c>
      <c r="H136" s="844" t="s">
        <v>495</v>
      </c>
      <c r="I136" s="846"/>
      <c r="J136" s="844" t="s">
        <v>832</v>
      </c>
      <c r="K136" s="844" t="s">
        <v>492</v>
      </c>
      <c r="L136" s="819" t="s">
        <v>493</v>
      </c>
    </row>
    <row r="137" spans="1:14" ht="10.65" customHeight="1">
      <c r="A137" s="820"/>
      <c r="B137" s="856"/>
      <c r="C137" s="856"/>
      <c r="D137" s="856"/>
      <c r="E137" s="859"/>
      <c r="F137" s="856"/>
      <c r="G137" s="856"/>
      <c r="H137" s="856"/>
      <c r="I137" s="857"/>
      <c r="J137" s="856"/>
      <c r="K137" s="856"/>
      <c r="L137" s="831"/>
    </row>
    <row r="138" spans="1:14" ht="13.2" customHeight="1">
      <c r="A138" s="821" t="s">
        <v>562</v>
      </c>
      <c r="B138" s="823">
        <v>55995</v>
      </c>
      <c r="C138" s="849">
        <v>51020765.899999999</v>
      </c>
      <c r="D138" s="849"/>
      <c r="E138" s="850">
        <v>18604</v>
      </c>
      <c r="F138" s="825">
        <v>5842</v>
      </c>
      <c r="G138" s="849">
        <v>181560186.60000002</v>
      </c>
      <c r="H138" s="825">
        <v>24446</v>
      </c>
      <c r="I138" s="851"/>
      <c r="J138" s="825">
        <v>11580</v>
      </c>
      <c r="K138" s="823">
        <v>11403</v>
      </c>
      <c r="L138" s="830">
        <v>1463</v>
      </c>
    </row>
    <row r="139" spans="1:14" ht="13.2" customHeight="1">
      <c r="A139" s="822" t="s">
        <v>566</v>
      </c>
      <c r="B139" s="823">
        <v>18228</v>
      </c>
      <c r="C139" s="825">
        <v>16535810.050000001</v>
      </c>
      <c r="D139" s="825"/>
      <c r="E139" s="850">
        <v>5081</v>
      </c>
      <c r="F139" s="825">
        <v>2528</v>
      </c>
      <c r="G139" s="825">
        <v>63708956.299999997</v>
      </c>
      <c r="H139" s="825">
        <v>7609</v>
      </c>
      <c r="I139" s="851"/>
      <c r="J139" s="825">
        <v>4332</v>
      </c>
      <c r="K139" s="823">
        <v>3058</v>
      </c>
      <c r="L139" s="830">
        <v>219</v>
      </c>
    </row>
    <row r="140" spans="1:14" ht="13.2" customHeight="1">
      <c r="A140" s="822" t="s">
        <v>570</v>
      </c>
      <c r="B140" s="823">
        <v>33370</v>
      </c>
      <c r="C140" s="825">
        <v>30579409.419999994</v>
      </c>
      <c r="D140" s="825"/>
      <c r="E140" s="850">
        <v>11936</v>
      </c>
      <c r="F140" s="825">
        <v>2329</v>
      </c>
      <c r="G140" s="825">
        <v>90017268.400000006</v>
      </c>
      <c r="H140" s="825">
        <v>14265</v>
      </c>
      <c r="I140" s="851"/>
      <c r="J140" s="825">
        <v>7023</v>
      </c>
      <c r="K140" s="823">
        <v>6806</v>
      </c>
      <c r="L140" s="830">
        <v>436</v>
      </c>
    </row>
    <row r="141" spans="1:14" ht="13.2" customHeight="1">
      <c r="A141" s="822" t="s">
        <v>574</v>
      </c>
      <c r="B141" s="823">
        <v>27253</v>
      </c>
      <c r="C141" s="825">
        <v>24862720.41</v>
      </c>
      <c r="D141" s="825"/>
      <c r="E141" s="850">
        <v>9660</v>
      </c>
      <c r="F141" s="825">
        <v>2390</v>
      </c>
      <c r="G141" s="825">
        <v>78136615.600000009</v>
      </c>
      <c r="H141" s="825">
        <v>12050</v>
      </c>
      <c r="I141" s="851"/>
      <c r="J141" s="825">
        <v>6151</v>
      </c>
      <c r="K141" s="823">
        <v>5592</v>
      </c>
      <c r="L141" s="830">
        <v>307</v>
      </c>
    </row>
    <row r="142" spans="1:14" ht="13.2" customHeight="1">
      <c r="A142" s="820" t="s">
        <v>578</v>
      </c>
      <c r="B142" s="825">
        <v>63403</v>
      </c>
      <c r="C142" s="825">
        <v>57560929.979999997</v>
      </c>
      <c r="D142" s="825"/>
      <c r="E142" s="850">
        <v>14214</v>
      </c>
      <c r="F142" s="825">
        <v>12609</v>
      </c>
      <c r="G142" s="825">
        <v>289447123</v>
      </c>
      <c r="H142" s="825">
        <v>26823</v>
      </c>
      <c r="I142" s="851"/>
      <c r="J142" s="825">
        <v>13038</v>
      </c>
      <c r="K142" s="823">
        <v>12784</v>
      </c>
      <c r="L142" s="831">
        <v>1001</v>
      </c>
    </row>
    <row r="143" spans="1:14" ht="10.65" customHeight="1">
      <c r="A143" s="820"/>
      <c r="B143" s="825"/>
      <c r="C143" s="860"/>
      <c r="D143" s="860"/>
      <c r="E143" s="861"/>
      <c r="F143" s="860"/>
      <c r="G143" s="860"/>
      <c r="H143" s="860"/>
      <c r="I143" s="862"/>
      <c r="J143" s="860"/>
      <c r="K143" s="825"/>
      <c r="L143" s="831"/>
      <c r="N143" s="403"/>
    </row>
    <row r="144" spans="1:14" ht="13.2" customHeight="1">
      <c r="A144" s="826" t="s">
        <v>34</v>
      </c>
      <c r="B144" s="863">
        <f>SUM(B138:B143)+B133+B90+B47</f>
        <v>5666682</v>
      </c>
      <c r="C144" s="827">
        <f t="shared" ref="C144:L144" si="3">SUM(C138:C143)+C133+C90+C47</f>
        <v>5160010142.1200008</v>
      </c>
      <c r="D144" s="864"/>
      <c r="E144" s="865">
        <f t="shared" si="3"/>
        <v>1397204</v>
      </c>
      <c r="F144" s="863">
        <f t="shared" si="3"/>
        <v>1059348</v>
      </c>
      <c r="G144" s="827">
        <f t="shared" si="3"/>
        <v>30781471463.869999</v>
      </c>
      <c r="H144" s="863">
        <f t="shared" si="3"/>
        <v>2456552</v>
      </c>
      <c r="I144" s="866"/>
      <c r="J144" s="863">
        <f t="shared" si="3"/>
        <v>1312454</v>
      </c>
      <c r="K144" s="863">
        <f t="shared" si="3"/>
        <v>1068723</v>
      </c>
      <c r="L144" s="863">
        <f t="shared" si="3"/>
        <v>75375</v>
      </c>
    </row>
    <row r="145" spans="1:13" ht="13.2" customHeight="1" thickBot="1">
      <c r="A145" s="828"/>
      <c r="B145" s="854"/>
      <c r="C145" s="854"/>
      <c r="D145" s="854"/>
      <c r="E145" s="854"/>
      <c r="F145" s="854"/>
      <c r="G145" s="854"/>
      <c r="H145" s="854"/>
      <c r="I145" s="854"/>
      <c r="J145" s="854"/>
      <c r="K145" s="854"/>
      <c r="L145" s="831"/>
    </row>
    <row r="146" spans="1:13">
      <c r="A146" s="832"/>
      <c r="B146" s="1092" t="s">
        <v>503</v>
      </c>
      <c r="C146" s="1092"/>
      <c r="D146" s="852"/>
      <c r="E146" s="1093" t="s">
        <v>504</v>
      </c>
      <c r="F146" s="1094"/>
      <c r="G146" s="1094"/>
      <c r="H146" s="1094"/>
      <c r="I146" s="834"/>
      <c r="J146" s="835"/>
      <c r="K146" s="836" t="s">
        <v>830</v>
      </c>
      <c r="L146" s="837"/>
      <c r="M146" s="396"/>
    </row>
    <row r="147" spans="1:13" ht="13.2" customHeight="1">
      <c r="A147" s="853"/>
      <c r="B147" s="854"/>
      <c r="C147" s="854"/>
      <c r="D147" s="854"/>
      <c r="E147" s="855"/>
      <c r="F147" s="854"/>
      <c r="G147" s="854"/>
      <c r="H147" s="856" t="s">
        <v>25</v>
      </c>
      <c r="I147" s="857"/>
      <c r="J147" s="856"/>
      <c r="K147" s="856" t="s">
        <v>490</v>
      </c>
      <c r="L147" s="853" t="s">
        <v>490</v>
      </c>
    </row>
    <row r="148" spans="1:13" ht="13.2" customHeight="1">
      <c r="A148" s="853" t="s">
        <v>35</v>
      </c>
      <c r="B148" s="844" t="s">
        <v>831</v>
      </c>
      <c r="C148" s="844" t="s">
        <v>30</v>
      </c>
      <c r="D148" s="844"/>
      <c r="E148" s="845" t="s">
        <v>500</v>
      </c>
      <c r="F148" s="844" t="s">
        <v>499</v>
      </c>
      <c r="G148" s="819" t="s">
        <v>30</v>
      </c>
      <c r="H148" s="844" t="s">
        <v>495</v>
      </c>
      <c r="I148" s="846"/>
      <c r="J148" s="844" t="s">
        <v>832</v>
      </c>
      <c r="K148" s="844" t="s">
        <v>492</v>
      </c>
      <c r="L148" s="819" t="s">
        <v>493</v>
      </c>
    </row>
    <row r="149" spans="1:13" ht="10.65" customHeight="1">
      <c r="A149" s="838"/>
      <c r="B149" s="867"/>
      <c r="C149" s="867"/>
      <c r="D149" s="867"/>
      <c r="E149" s="868"/>
      <c r="F149" s="867"/>
      <c r="G149" s="867"/>
      <c r="H149" s="867"/>
      <c r="I149" s="869"/>
      <c r="J149" s="867"/>
      <c r="K149" s="867"/>
      <c r="L149" s="867"/>
      <c r="M149" s="396"/>
    </row>
    <row r="150" spans="1:13" ht="13.2" customHeight="1">
      <c r="A150" s="820" t="s">
        <v>595</v>
      </c>
      <c r="B150" s="825">
        <v>151116</v>
      </c>
      <c r="C150" s="849">
        <v>136309987.55999997</v>
      </c>
      <c r="D150" s="849"/>
      <c r="E150" s="850">
        <v>43020</v>
      </c>
      <c r="F150" s="825">
        <v>39033</v>
      </c>
      <c r="G150" s="849">
        <v>1084612777.9400001</v>
      </c>
      <c r="H150" s="825">
        <v>82053</v>
      </c>
      <c r="I150" s="851"/>
      <c r="J150" s="825">
        <v>56079</v>
      </c>
      <c r="K150" s="825">
        <v>22495</v>
      </c>
      <c r="L150" s="831">
        <v>3479</v>
      </c>
    </row>
    <row r="151" spans="1:13" ht="13.2" customHeight="1">
      <c r="A151" s="822" t="s">
        <v>556</v>
      </c>
      <c r="B151" s="823">
        <v>6297</v>
      </c>
      <c r="C151" s="825">
        <v>5731076.2499999991</v>
      </c>
      <c r="D151" s="825"/>
      <c r="E151" s="850">
        <v>2076</v>
      </c>
      <c r="F151" s="825">
        <v>676</v>
      </c>
      <c r="G151" s="825">
        <v>21714875.899999999</v>
      </c>
      <c r="H151" s="825">
        <v>2752</v>
      </c>
      <c r="I151" s="851"/>
      <c r="J151" s="825">
        <v>1600</v>
      </c>
      <c r="K151" s="823">
        <v>1079</v>
      </c>
      <c r="L151" s="830">
        <v>73</v>
      </c>
    </row>
    <row r="152" spans="1:13" ht="13.2" customHeight="1">
      <c r="A152" s="822" t="s">
        <v>600</v>
      </c>
      <c r="B152" s="823">
        <v>25871</v>
      </c>
      <c r="C152" s="825">
        <v>23669039.309999999</v>
      </c>
      <c r="D152" s="825"/>
      <c r="E152" s="850">
        <v>9880</v>
      </c>
      <c r="F152" s="825">
        <v>2488</v>
      </c>
      <c r="G152" s="825">
        <v>88996379.410000011</v>
      </c>
      <c r="H152" s="825">
        <v>12368</v>
      </c>
      <c r="I152" s="851"/>
      <c r="J152" s="825">
        <v>6536</v>
      </c>
      <c r="K152" s="823">
        <v>3879</v>
      </c>
      <c r="L152" s="830">
        <v>1953</v>
      </c>
    </row>
    <row r="153" spans="1:13" ht="13.2" customHeight="1">
      <c r="A153" s="822" t="s">
        <v>603</v>
      </c>
      <c r="B153" s="823">
        <v>6092</v>
      </c>
      <c r="C153" s="825">
        <v>5552252.9900000002</v>
      </c>
      <c r="D153" s="825"/>
      <c r="E153" s="850">
        <v>2173</v>
      </c>
      <c r="F153" s="825">
        <v>529</v>
      </c>
      <c r="G153" s="825">
        <v>18710221</v>
      </c>
      <c r="H153" s="825">
        <v>2702</v>
      </c>
      <c r="I153" s="851"/>
      <c r="J153" s="825">
        <v>1498</v>
      </c>
      <c r="K153" s="823">
        <v>1142</v>
      </c>
      <c r="L153" s="830">
        <v>62</v>
      </c>
    </row>
    <row r="154" spans="1:13" ht="13.2" customHeight="1">
      <c r="A154" s="822" t="s">
        <v>606</v>
      </c>
      <c r="B154" s="823">
        <v>38171</v>
      </c>
      <c r="C154" s="825">
        <v>34588908.519999988</v>
      </c>
      <c r="D154" s="825"/>
      <c r="E154" s="850">
        <v>13283</v>
      </c>
      <c r="F154" s="825">
        <v>6381</v>
      </c>
      <c r="G154" s="825">
        <v>189536951.00999999</v>
      </c>
      <c r="H154" s="825">
        <v>19664</v>
      </c>
      <c r="I154" s="851"/>
      <c r="J154" s="825">
        <v>13330</v>
      </c>
      <c r="K154" s="823">
        <v>5556</v>
      </c>
      <c r="L154" s="830">
        <v>778</v>
      </c>
    </row>
    <row r="155" spans="1:13" ht="10.65" customHeight="1">
      <c r="A155" s="822"/>
      <c r="B155" s="823"/>
      <c r="C155" s="825"/>
      <c r="D155" s="825"/>
      <c r="E155" s="850"/>
      <c r="F155" s="825"/>
      <c r="G155" s="825"/>
      <c r="H155" s="825"/>
      <c r="I155" s="851"/>
      <c r="J155" s="825"/>
      <c r="K155" s="823"/>
      <c r="L155" s="830"/>
    </row>
    <row r="156" spans="1:13" ht="13.2" customHeight="1">
      <c r="A156" s="822" t="s">
        <v>609</v>
      </c>
      <c r="B156" s="823">
        <v>220058</v>
      </c>
      <c r="C156" s="825">
        <v>200819585.63999999</v>
      </c>
      <c r="D156" s="825"/>
      <c r="E156" s="850">
        <v>53892</v>
      </c>
      <c r="F156" s="825">
        <v>42401</v>
      </c>
      <c r="G156" s="825">
        <v>1001339776.62</v>
      </c>
      <c r="H156" s="825">
        <v>96293</v>
      </c>
      <c r="I156" s="851"/>
      <c r="J156" s="825">
        <v>53024</v>
      </c>
      <c r="K156" s="823">
        <v>38748</v>
      </c>
      <c r="L156" s="830">
        <v>4521</v>
      </c>
    </row>
    <row r="157" spans="1:13" ht="13.2" customHeight="1">
      <c r="A157" s="822" t="s">
        <v>612</v>
      </c>
      <c r="B157" s="823">
        <v>18625</v>
      </c>
      <c r="C157" s="825">
        <v>16892463.030000001</v>
      </c>
      <c r="D157" s="825"/>
      <c r="E157" s="850">
        <v>5497</v>
      </c>
      <c r="F157" s="825">
        <v>2724</v>
      </c>
      <c r="G157" s="825">
        <v>64364636.5</v>
      </c>
      <c r="H157" s="825">
        <v>8221</v>
      </c>
      <c r="I157" s="851"/>
      <c r="J157" s="825">
        <v>4938</v>
      </c>
      <c r="K157" s="823">
        <v>3076</v>
      </c>
      <c r="L157" s="830">
        <v>207</v>
      </c>
    </row>
    <row r="158" spans="1:13" ht="13.2" customHeight="1">
      <c r="A158" s="822" t="s">
        <v>615</v>
      </c>
      <c r="B158" s="823">
        <v>6094</v>
      </c>
      <c r="C158" s="825">
        <v>5564641.0699999994</v>
      </c>
      <c r="D158" s="825"/>
      <c r="E158" s="850">
        <v>2355</v>
      </c>
      <c r="F158" s="825">
        <v>389</v>
      </c>
      <c r="G158" s="825">
        <v>14438658.299999999</v>
      </c>
      <c r="H158" s="825">
        <v>2744</v>
      </c>
      <c r="I158" s="851"/>
      <c r="J158" s="825">
        <v>1624</v>
      </c>
      <c r="K158" s="823">
        <v>1038</v>
      </c>
      <c r="L158" s="830">
        <v>82</v>
      </c>
    </row>
    <row r="159" spans="1:13" ht="13.2" customHeight="1">
      <c r="A159" s="822" t="s">
        <v>618</v>
      </c>
      <c r="B159" s="823">
        <v>44295</v>
      </c>
      <c r="C159" s="825">
        <v>40462810.580000013</v>
      </c>
      <c r="D159" s="825"/>
      <c r="E159" s="850">
        <v>15438</v>
      </c>
      <c r="F159" s="825">
        <v>4383</v>
      </c>
      <c r="G159" s="825">
        <v>157508701.11000001</v>
      </c>
      <c r="H159" s="825">
        <v>19821</v>
      </c>
      <c r="I159" s="851"/>
      <c r="J159" s="825">
        <v>12994</v>
      </c>
      <c r="K159" s="823">
        <v>5837</v>
      </c>
      <c r="L159" s="830">
        <v>990</v>
      </c>
    </row>
    <row r="160" spans="1:13" ht="13.2" customHeight="1">
      <c r="A160" s="822" t="s">
        <v>621</v>
      </c>
      <c r="B160" s="823">
        <v>6183</v>
      </c>
      <c r="C160" s="825">
        <v>5676821.3799999999</v>
      </c>
      <c r="D160" s="825"/>
      <c r="E160" s="850">
        <v>2054</v>
      </c>
      <c r="F160" s="825">
        <v>582</v>
      </c>
      <c r="G160" s="825">
        <v>22961442.300000001</v>
      </c>
      <c r="H160" s="825">
        <v>2636</v>
      </c>
      <c r="I160" s="851"/>
      <c r="J160" s="825">
        <v>1890</v>
      </c>
      <c r="K160" s="823">
        <v>588</v>
      </c>
      <c r="L160" s="830">
        <v>158</v>
      </c>
    </row>
    <row r="161" spans="1:13" ht="10.65" customHeight="1">
      <c r="A161" s="822"/>
      <c r="B161" s="823"/>
      <c r="C161" s="825"/>
      <c r="D161" s="825"/>
      <c r="E161" s="850"/>
      <c r="F161" s="825"/>
      <c r="G161" s="825"/>
      <c r="H161" s="825"/>
      <c r="I161" s="851"/>
      <c r="J161" s="825"/>
      <c r="K161" s="823"/>
      <c r="L161" s="830"/>
    </row>
    <row r="162" spans="1:13" ht="13.2" customHeight="1">
      <c r="A162" s="822" t="s">
        <v>616</v>
      </c>
      <c r="B162" s="823">
        <v>31884</v>
      </c>
      <c r="C162" s="825">
        <v>28934795.400000002</v>
      </c>
      <c r="D162" s="825"/>
      <c r="E162" s="850">
        <v>7746</v>
      </c>
      <c r="F162" s="825">
        <v>7298</v>
      </c>
      <c r="G162" s="825">
        <v>207202138.91</v>
      </c>
      <c r="H162" s="825">
        <v>15044</v>
      </c>
      <c r="I162" s="851"/>
      <c r="J162" s="825">
        <v>8763</v>
      </c>
      <c r="K162" s="823">
        <v>5680</v>
      </c>
      <c r="L162" s="830">
        <v>601</v>
      </c>
    </row>
    <row r="163" spans="1:13" ht="13.2" customHeight="1">
      <c r="A163" s="822" t="s">
        <v>626</v>
      </c>
      <c r="B163" s="823">
        <v>16321</v>
      </c>
      <c r="C163" s="825">
        <v>14758799.840000002</v>
      </c>
      <c r="D163" s="825"/>
      <c r="E163" s="850">
        <v>3452</v>
      </c>
      <c r="F163" s="825">
        <v>3975</v>
      </c>
      <c r="G163" s="825">
        <v>122617352.59999999</v>
      </c>
      <c r="H163" s="825">
        <v>7427</v>
      </c>
      <c r="I163" s="851"/>
      <c r="J163" s="825">
        <v>4139</v>
      </c>
      <c r="K163" s="823">
        <v>2956</v>
      </c>
      <c r="L163" s="830">
        <v>332</v>
      </c>
    </row>
    <row r="164" spans="1:13" ht="13.2" customHeight="1">
      <c r="A164" s="822" t="s">
        <v>36</v>
      </c>
      <c r="B164" s="823">
        <v>8137</v>
      </c>
      <c r="C164" s="825">
        <v>7423524.1699999999</v>
      </c>
      <c r="D164" s="825"/>
      <c r="E164" s="850">
        <v>2574</v>
      </c>
      <c r="F164" s="825">
        <v>987</v>
      </c>
      <c r="G164" s="825">
        <v>26130618</v>
      </c>
      <c r="H164" s="825">
        <v>3561</v>
      </c>
      <c r="I164" s="851"/>
      <c r="J164" s="825">
        <v>2349</v>
      </c>
      <c r="K164" s="823">
        <v>1059</v>
      </c>
      <c r="L164" s="830">
        <v>153</v>
      </c>
    </row>
    <row r="165" spans="1:13" ht="13.2" customHeight="1">
      <c r="A165" s="822" t="s">
        <v>631</v>
      </c>
      <c r="B165" s="823">
        <v>26267</v>
      </c>
      <c r="C165" s="825">
        <v>23888318.950000003</v>
      </c>
      <c r="D165" s="825"/>
      <c r="E165" s="850">
        <v>8372</v>
      </c>
      <c r="F165" s="825">
        <v>4097</v>
      </c>
      <c r="G165" s="825">
        <v>122614460.8</v>
      </c>
      <c r="H165" s="825">
        <v>12469</v>
      </c>
      <c r="I165" s="851"/>
      <c r="J165" s="825">
        <v>8291</v>
      </c>
      <c r="K165" s="823">
        <v>3679</v>
      </c>
      <c r="L165" s="830">
        <v>499</v>
      </c>
    </row>
    <row r="166" spans="1:13" ht="13.2" customHeight="1">
      <c r="A166" s="822" t="s">
        <v>634</v>
      </c>
      <c r="B166" s="823">
        <v>7744</v>
      </c>
      <c r="C166" s="825">
        <v>7083551.75</v>
      </c>
      <c r="D166" s="825"/>
      <c r="E166" s="850">
        <v>2605</v>
      </c>
      <c r="F166" s="825">
        <v>575</v>
      </c>
      <c r="G166" s="825">
        <v>20868927</v>
      </c>
      <c r="H166" s="825">
        <v>3180</v>
      </c>
      <c r="I166" s="851"/>
      <c r="J166" s="825">
        <v>1845</v>
      </c>
      <c r="K166" s="823">
        <v>1229</v>
      </c>
      <c r="L166" s="830">
        <v>106</v>
      </c>
    </row>
    <row r="167" spans="1:13" ht="10.65" customHeight="1">
      <c r="A167" s="822"/>
      <c r="B167" s="823"/>
      <c r="C167" s="825"/>
      <c r="D167" s="825"/>
      <c r="E167" s="850"/>
      <c r="F167" s="825"/>
      <c r="G167" s="825"/>
      <c r="H167" s="825"/>
      <c r="I167" s="851"/>
      <c r="J167" s="825"/>
      <c r="K167" s="823"/>
      <c r="L167" s="830"/>
    </row>
    <row r="168" spans="1:13" ht="13.2" customHeight="1">
      <c r="A168" s="822" t="s">
        <v>636</v>
      </c>
      <c r="B168" s="823">
        <v>117157</v>
      </c>
      <c r="C168" s="825">
        <v>106734498.25000001</v>
      </c>
      <c r="D168" s="825"/>
      <c r="E168" s="850">
        <v>35256</v>
      </c>
      <c r="F168" s="825">
        <v>19083</v>
      </c>
      <c r="G168" s="825">
        <v>446836708.51999998</v>
      </c>
      <c r="H168" s="825">
        <v>54339</v>
      </c>
      <c r="I168" s="851"/>
      <c r="J168" s="825">
        <v>34361</v>
      </c>
      <c r="K168" s="823">
        <v>17528</v>
      </c>
      <c r="L168" s="830">
        <v>2450</v>
      </c>
    </row>
    <row r="169" spans="1:13" ht="13.2" customHeight="1">
      <c r="A169" s="822" t="s">
        <v>638</v>
      </c>
      <c r="B169" s="823">
        <v>32618</v>
      </c>
      <c r="C169" s="825">
        <v>29663316.379999995</v>
      </c>
      <c r="D169" s="825"/>
      <c r="E169" s="850">
        <v>11043</v>
      </c>
      <c r="F169" s="825">
        <v>4259</v>
      </c>
      <c r="G169" s="825">
        <v>110015311.8</v>
      </c>
      <c r="H169" s="825">
        <v>15302</v>
      </c>
      <c r="I169" s="851"/>
      <c r="J169" s="825">
        <v>10328</v>
      </c>
      <c r="K169" s="823">
        <v>4668</v>
      </c>
      <c r="L169" s="830">
        <v>306</v>
      </c>
    </row>
    <row r="170" spans="1:13" ht="13.2" customHeight="1">
      <c r="A170" s="822" t="s">
        <v>641</v>
      </c>
      <c r="B170" s="823">
        <v>20805</v>
      </c>
      <c r="C170" s="825">
        <v>19013559.500000004</v>
      </c>
      <c r="D170" s="825"/>
      <c r="E170" s="850">
        <v>6919</v>
      </c>
      <c r="F170" s="825">
        <v>2332</v>
      </c>
      <c r="G170" s="825">
        <v>58431310.600000001</v>
      </c>
      <c r="H170" s="825">
        <v>9251</v>
      </c>
      <c r="I170" s="851"/>
      <c r="J170" s="825">
        <v>6289</v>
      </c>
      <c r="K170" s="823">
        <v>2686</v>
      </c>
      <c r="L170" s="830">
        <v>276</v>
      </c>
    </row>
    <row r="171" spans="1:13" ht="13.2" customHeight="1">
      <c r="A171" s="820" t="s">
        <v>644</v>
      </c>
      <c r="B171" s="825">
        <v>5440</v>
      </c>
      <c r="C171" s="825">
        <v>4871694.9800000004</v>
      </c>
      <c r="D171" s="825"/>
      <c r="E171" s="850">
        <v>1565</v>
      </c>
      <c r="F171" s="825">
        <v>898</v>
      </c>
      <c r="G171" s="825">
        <v>24104103.899999999</v>
      </c>
      <c r="H171" s="825">
        <v>2463</v>
      </c>
      <c r="I171" s="851"/>
      <c r="J171" s="825">
        <v>1456</v>
      </c>
      <c r="K171" s="825">
        <v>937</v>
      </c>
      <c r="L171" s="831">
        <v>70</v>
      </c>
    </row>
    <row r="172" spans="1:13" ht="13.2" customHeight="1">
      <c r="A172" s="820" t="s">
        <v>647</v>
      </c>
      <c r="B172" s="825">
        <v>64295</v>
      </c>
      <c r="C172" s="825">
        <v>58376936.229999989</v>
      </c>
      <c r="D172" s="849"/>
      <c r="E172" s="850">
        <v>21547</v>
      </c>
      <c r="F172" s="825">
        <v>8165</v>
      </c>
      <c r="G172" s="825">
        <v>226912674.89999998</v>
      </c>
      <c r="H172" s="825">
        <v>29712</v>
      </c>
      <c r="I172" s="851"/>
      <c r="J172" s="825">
        <v>18827</v>
      </c>
      <c r="K172" s="825">
        <v>10137</v>
      </c>
      <c r="L172" s="831">
        <v>748</v>
      </c>
      <c r="M172" s="396"/>
    </row>
    <row r="173" spans="1:13" ht="17.399999999999999">
      <c r="A173" s="387" t="s">
        <v>833</v>
      </c>
      <c r="B173" s="831"/>
      <c r="C173" s="831"/>
      <c r="D173" s="831"/>
      <c r="E173" s="831"/>
      <c r="F173" s="831"/>
      <c r="G173" s="831"/>
      <c r="H173" s="831"/>
      <c r="I173" s="831"/>
      <c r="J173" s="831"/>
      <c r="K173" s="831"/>
      <c r="L173" s="831"/>
      <c r="M173" s="396"/>
    </row>
    <row r="174" spans="1:13" ht="15.6">
      <c r="A174" s="399" t="s">
        <v>829</v>
      </c>
      <c r="B174" s="831"/>
      <c r="C174" s="831"/>
      <c r="D174" s="831"/>
      <c r="E174" s="831"/>
      <c r="F174" s="831"/>
      <c r="G174" s="831"/>
      <c r="H174" s="831"/>
      <c r="I174" s="831"/>
      <c r="J174" s="831"/>
      <c r="K174" s="831"/>
      <c r="L174" s="831"/>
    </row>
    <row r="175" spans="1:13" ht="15.6">
      <c r="A175" s="395" t="str">
        <f>A132</f>
        <v>Taxable Year 2011</v>
      </c>
      <c r="B175" s="831"/>
      <c r="C175" s="831"/>
      <c r="D175" s="831"/>
      <c r="E175" s="831"/>
      <c r="F175" s="831"/>
      <c r="G175" s="831"/>
      <c r="H175" s="831"/>
      <c r="I175" s="831"/>
      <c r="J175" s="831"/>
      <c r="K175" s="831"/>
      <c r="L175" s="831"/>
    </row>
    <row r="176" spans="1:13" ht="13.2" customHeight="1" thickBot="1">
      <c r="A176" s="396"/>
      <c r="B176" s="400">
        <f>SUM(B150:B172)</f>
        <v>853470</v>
      </c>
      <c r="C176" s="400">
        <f t="shared" ref="C176:L176" si="4">SUM(C150:C172)</f>
        <v>776016581.77999997</v>
      </c>
      <c r="D176" s="400">
        <f t="shared" si="4"/>
        <v>0</v>
      </c>
      <c r="E176" s="400">
        <f t="shared" si="4"/>
        <v>250747</v>
      </c>
      <c r="F176" s="400">
        <f t="shared" si="4"/>
        <v>151255</v>
      </c>
      <c r="G176" s="400">
        <f t="shared" si="4"/>
        <v>4029918027.1200008</v>
      </c>
      <c r="H176" s="400">
        <f t="shared" si="4"/>
        <v>402002</v>
      </c>
      <c r="I176" s="400">
        <f t="shared" si="4"/>
        <v>0</v>
      </c>
      <c r="J176" s="400">
        <f t="shared" si="4"/>
        <v>250161</v>
      </c>
      <c r="K176" s="400">
        <f t="shared" si="4"/>
        <v>133997</v>
      </c>
      <c r="L176" s="400">
        <f t="shared" si="4"/>
        <v>17844</v>
      </c>
    </row>
    <row r="177" spans="1:13">
      <c r="A177" s="832"/>
      <c r="B177" s="1092" t="s">
        <v>503</v>
      </c>
      <c r="C177" s="1092"/>
      <c r="D177" s="852"/>
      <c r="E177" s="1093" t="s">
        <v>504</v>
      </c>
      <c r="F177" s="1094"/>
      <c r="G177" s="1094"/>
      <c r="H177" s="1094"/>
      <c r="I177" s="834"/>
      <c r="J177" s="835"/>
      <c r="K177" s="836" t="s">
        <v>830</v>
      </c>
      <c r="L177" s="837"/>
      <c r="M177" s="396"/>
    </row>
    <row r="178" spans="1:13" ht="13.2" customHeight="1">
      <c r="A178" s="853"/>
      <c r="B178" s="854"/>
      <c r="C178" s="854"/>
      <c r="D178" s="854"/>
      <c r="E178" s="855"/>
      <c r="F178" s="854"/>
      <c r="G178" s="854"/>
      <c r="H178" s="856" t="s">
        <v>25</v>
      </c>
      <c r="I178" s="857"/>
      <c r="J178" s="856"/>
      <c r="K178" s="856" t="s">
        <v>490</v>
      </c>
      <c r="L178" s="853" t="s">
        <v>490</v>
      </c>
    </row>
    <row r="179" spans="1:13" ht="13.2" customHeight="1">
      <c r="A179" s="819" t="s">
        <v>35</v>
      </c>
      <c r="B179" s="844" t="s">
        <v>831</v>
      </c>
      <c r="C179" s="844" t="s">
        <v>30</v>
      </c>
      <c r="D179" s="844"/>
      <c r="E179" s="845" t="s">
        <v>500</v>
      </c>
      <c r="F179" s="844" t="s">
        <v>499</v>
      </c>
      <c r="G179" s="819" t="s">
        <v>30</v>
      </c>
      <c r="H179" s="844" t="s">
        <v>495</v>
      </c>
      <c r="I179" s="846"/>
      <c r="J179" s="844" t="s">
        <v>832</v>
      </c>
      <c r="K179" s="844" t="s">
        <v>492</v>
      </c>
      <c r="L179" s="819" t="s">
        <v>493</v>
      </c>
    </row>
    <row r="180" spans="1:13" ht="10.65" customHeight="1">
      <c r="A180" s="820"/>
      <c r="B180" s="831"/>
      <c r="C180" s="831"/>
      <c r="D180" s="831"/>
      <c r="E180" s="847"/>
      <c r="F180" s="831"/>
      <c r="G180" s="831"/>
      <c r="H180" s="831"/>
      <c r="I180" s="848"/>
      <c r="J180" s="831"/>
      <c r="K180" s="831"/>
      <c r="L180" s="830"/>
    </row>
    <row r="181" spans="1:13" ht="13.2" customHeight="1">
      <c r="A181" s="822" t="s">
        <v>523</v>
      </c>
      <c r="B181" s="823">
        <v>41456</v>
      </c>
      <c r="C181" s="849">
        <v>38010725.93</v>
      </c>
      <c r="D181" s="825"/>
      <c r="E181" s="850">
        <v>10429</v>
      </c>
      <c r="F181" s="825">
        <v>7700</v>
      </c>
      <c r="G181" s="849">
        <v>192657679.64000002</v>
      </c>
      <c r="H181" s="825">
        <v>18129</v>
      </c>
      <c r="I181" s="851"/>
      <c r="J181" s="825">
        <v>11106</v>
      </c>
      <c r="K181" s="823">
        <v>6465</v>
      </c>
      <c r="L181" s="830">
        <v>558</v>
      </c>
    </row>
    <row r="182" spans="1:13" ht="13.2" customHeight="1">
      <c r="A182" s="822" t="s">
        <v>527</v>
      </c>
      <c r="B182" s="823">
        <v>15146</v>
      </c>
      <c r="C182" s="825">
        <v>13903519.650000002</v>
      </c>
      <c r="D182" s="825"/>
      <c r="E182" s="850">
        <v>3874</v>
      </c>
      <c r="F182" s="825">
        <v>2845</v>
      </c>
      <c r="G182" s="825">
        <v>64170221.700000003</v>
      </c>
      <c r="H182" s="825">
        <v>6719</v>
      </c>
      <c r="I182" s="851"/>
      <c r="J182" s="825">
        <v>4195</v>
      </c>
      <c r="K182" s="823">
        <v>2309</v>
      </c>
      <c r="L182" s="830">
        <v>215</v>
      </c>
    </row>
    <row r="183" spans="1:13" ht="13.2" customHeight="1">
      <c r="A183" s="822" t="s">
        <v>531</v>
      </c>
      <c r="B183" s="823">
        <v>14218</v>
      </c>
      <c r="C183" s="825">
        <v>12985462.810000001</v>
      </c>
      <c r="D183" s="825"/>
      <c r="E183" s="850">
        <v>4954</v>
      </c>
      <c r="F183" s="825">
        <v>1372</v>
      </c>
      <c r="G183" s="825">
        <v>44792320</v>
      </c>
      <c r="H183" s="825">
        <v>6326</v>
      </c>
      <c r="I183" s="851"/>
      <c r="J183" s="825">
        <v>4132</v>
      </c>
      <c r="K183" s="823">
        <v>1895</v>
      </c>
      <c r="L183" s="830">
        <v>299</v>
      </c>
    </row>
    <row r="184" spans="1:13" ht="13.2" customHeight="1">
      <c r="A184" s="822" t="s">
        <v>535</v>
      </c>
      <c r="B184" s="823">
        <v>157858</v>
      </c>
      <c r="C184" s="825">
        <v>144020338.35999998</v>
      </c>
      <c r="D184" s="825"/>
      <c r="E184" s="850">
        <v>49387</v>
      </c>
      <c r="F184" s="825">
        <v>23957</v>
      </c>
      <c r="G184" s="825">
        <v>582916014.82000005</v>
      </c>
      <c r="H184" s="825">
        <v>73344</v>
      </c>
      <c r="I184" s="851"/>
      <c r="J184" s="825">
        <v>47654</v>
      </c>
      <c r="K184" s="823">
        <v>22470</v>
      </c>
      <c r="L184" s="830">
        <v>3220</v>
      </c>
    </row>
    <row r="185" spans="1:13" ht="13.2" customHeight="1">
      <c r="A185" s="822" t="s">
        <v>539</v>
      </c>
      <c r="B185" s="823">
        <v>179145</v>
      </c>
      <c r="C185" s="825">
        <v>163454063</v>
      </c>
      <c r="D185" s="825"/>
      <c r="E185" s="850">
        <v>60190</v>
      </c>
      <c r="F185" s="825">
        <v>25956</v>
      </c>
      <c r="G185" s="825">
        <v>722679780.25</v>
      </c>
      <c r="H185" s="825">
        <v>86146</v>
      </c>
      <c r="I185" s="851"/>
      <c r="J185" s="825">
        <v>59380</v>
      </c>
      <c r="K185" s="823">
        <v>22729</v>
      </c>
      <c r="L185" s="830">
        <v>4037</v>
      </c>
    </row>
    <row r="186" spans="1:13" ht="10.65" customHeight="1">
      <c r="A186" s="822"/>
      <c r="B186" s="823"/>
      <c r="C186" s="825"/>
      <c r="D186" s="825"/>
      <c r="E186" s="850"/>
      <c r="F186" s="825"/>
      <c r="G186" s="825"/>
      <c r="H186" s="825"/>
      <c r="I186" s="851"/>
      <c r="J186" s="825"/>
      <c r="K186" s="823"/>
      <c r="L186" s="830"/>
    </row>
    <row r="187" spans="1:13" ht="13.2" customHeight="1">
      <c r="A187" s="822" t="s">
        <v>543</v>
      </c>
      <c r="B187" s="823">
        <v>5038</v>
      </c>
      <c r="C187" s="825">
        <v>4629288.1100000003</v>
      </c>
      <c r="D187" s="825"/>
      <c r="E187" s="850">
        <v>1957</v>
      </c>
      <c r="F187" s="825">
        <v>367</v>
      </c>
      <c r="G187" s="825">
        <v>13428786</v>
      </c>
      <c r="H187" s="825">
        <v>2324</v>
      </c>
      <c r="I187" s="851"/>
      <c r="J187" s="825">
        <v>1328</v>
      </c>
      <c r="K187" s="823">
        <v>904</v>
      </c>
      <c r="L187" s="830">
        <v>92</v>
      </c>
    </row>
    <row r="188" spans="1:13" ht="13.2" customHeight="1">
      <c r="A188" s="822" t="s">
        <v>547</v>
      </c>
      <c r="B188" s="823">
        <v>28822</v>
      </c>
      <c r="C188" s="825">
        <v>26364865.82</v>
      </c>
      <c r="D188" s="825"/>
      <c r="E188" s="850">
        <v>10542</v>
      </c>
      <c r="F188" s="825">
        <v>3346</v>
      </c>
      <c r="G188" s="825">
        <v>88729680.900000006</v>
      </c>
      <c r="H188" s="825">
        <v>13888</v>
      </c>
      <c r="I188" s="851"/>
      <c r="J188" s="825">
        <v>10891</v>
      </c>
      <c r="K188" s="823">
        <v>2529</v>
      </c>
      <c r="L188" s="830">
        <v>468</v>
      </c>
    </row>
    <row r="189" spans="1:13" ht="13.2" customHeight="1">
      <c r="A189" s="822" t="s">
        <v>551</v>
      </c>
      <c r="B189" s="823">
        <v>13063</v>
      </c>
      <c r="C189" s="825">
        <v>11839127.060000002</v>
      </c>
      <c r="D189" s="825"/>
      <c r="E189" s="850">
        <v>2768</v>
      </c>
      <c r="F189" s="825">
        <v>2596</v>
      </c>
      <c r="G189" s="825">
        <v>60870017.100000001</v>
      </c>
      <c r="H189" s="825">
        <v>5364</v>
      </c>
      <c r="I189" s="851"/>
      <c r="J189" s="825">
        <v>2520</v>
      </c>
      <c r="K189" s="823">
        <v>2712</v>
      </c>
      <c r="L189" s="830">
        <v>132</v>
      </c>
    </row>
    <row r="190" spans="1:13" ht="13.2" customHeight="1">
      <c r="A190" s="822" t="s">
        <v>555</v>
      </c>
      <c r="B190" s="823">
        <v>86977</v>
      </c>
      <c r="C190" s="825">
        <v>79470246.639999956</v>
      </c>
      <c r="D190" s="825"/>
      <c r="E190" s="850">
        <v>26878</v>
      </c>
      <c r="F190" s="825">
        <v>13515</v>
      </c>
      <c r="G190" s="825">
        <v>309428485.39999998</v>
      </c>
      <c r="H190" s="825">
        <v>40393</v>
      </c>
      <c r="I190" s="851"/>
      <c r="J190" s="825">
        <v>27542</v>
      </c>
      <c r="K190" s="823">
        <v>11200</v>
      </c>
      <c r="L190" s="830">
        <v>1651</v>
      </c>
    </row>
    <row r="191" spans="1:13" ht="13.2" customHeight="1">
      <c r="A191" s="822" t="s">
        <v>559</v>
      </c>
      <c r="B191" s="823">
        <v>9890</v>
      </c>
      <c r="C191" s="825">
        <v>8991833.9600000009</v>
      </c>
      <c r="D191" s="825"/>
      <c r="E191" s="850">
        <v>3524</v>
      </c>
      <c r="F191" s="825">
        <v>1233</v>
      </c>
      <c r="G191" s="825">
        <v>32137992.399999999</v>
      </c>
      <c r="H191" s="825">
        <v>4757</v>
      </c>
      <c r="I191" s="851"/>
      <c r="J191" s="825">
        <v>2942</v>
      </c>
      <c r="K191" s="823">
        <v>1703</v>
      </c>
      <c r="L191" s="830">
        <v>112</v>
      </c>
    </row>
    <row r="192" spans="1:13" ht="10.65" customHeight="1">
      <c r="A192" s="822"/>
      <c r="B192" s="823"/>
      <c r="C192" s="825"/>
      <c r="D192" s="825"/>
      <c r="E192" s="850"/>
      <c r="F192" s="825"/>
      <c r="G192" s="825"/>
      <c r="H192" s="825"/>
      <c r="I192" s="851"/>
      <c r="J192" s="825"/>
      <c r="K192" s="823"/>
      <c r="L192" s="830"/>
    </row>
    <row r="193" spans="1:13" ht="13.2" customHeight="1">
      <c r="A193" s="822" t="s">
        <v>563</v>
      </c>
      <c r="B193" s="823">
        <v>176713</v>
      </c>
      <c r="C193" s="825">
        <v>161301094.34999999</v>
      </c>
      <c r="D193" s="825"/>
      <c r="E193" s="850">
        <v>60360</v>
      </c>
      <c r="F193" s="825">
        <v>29281</v>
      </c>
      <c r="G193" s="825">
        <v>1344970647.6899998</v>
      </c>
      <c r="H193" s="825">
        <v>89641</v>
      </c>
      <c r="I193" s="851"/>
      <c r="J193" s="825">
        <v>66758</v>
      </c>
      <c r="K193" s="823">
        <v>19910</v>
      </c>
      <c r="L193" s="830">
        <v>2973</v>
      </c>
    </row>
    <row r="194" spans="1:13" ht="13.2" customHeight="1">
      <c r="A194" s="822" t="s">
        <v>37</v>
      </c>
      <c r="B194" s="823">
        <v>90461</v>
      </c>
      <c r="C194" s="825">
        <v>82500848.299999997</v>
      </c>
      <c r="D194" s="825"/>
      <c r="E194" s="850">
        <v>31228</v>
      </c>
      <c r="F194" s="825">
        <v>11611</v>
      </c>
      <c r="G194" s="825">
        <v>327574402.80000001</v>
      </c>
      <c r="H194" s="825">
        <v>42839</v>
      </c>
      <c r="I194" s="851"/>
      <c r="J194" s="825">
        <v>29143</v>
      </c>
      <c r="K194" s="823">
        <v>12532</v>
      </c>
      <c r="L194" s="830">
        <v>1164</v>
      </c>
    </row>
    <row r="195" spans="1:13" ht="13.2" customHeight="1">
      <c r="A195" s="822" t="s">
        <v>571</v>
      </c>
      <c r="B195" s="823">
        <v>25470</v>
      </c>
      <c r="C195" s="825">
        <v>23148743.590000004</v>
      </c>
      <c r="D195" s="825"/>
      <c r="E195" s="850">
        <v>7363</v>
      </c>
      <c r="F195" s="825">
        <v>3851</v>
      </c>
      <c r="G195" s="825">
        <v>92908000.210000008</v>
      </c>
      <c r="H195" s="825">
        <v>11214</v>
      </c>
      <c r="I195" s="851"/>
      <c r="J195" s="825">
        <v>6283</v>
      </c>
      <c r="K195" s="823">
        <v>4658</v>
      </c>
      <c r="L195" s="830">
        <v>273</v>
      </c>
    </row>
    <row r="196" spans="1:13" ht="13.2" customHeight="1">
      <c r="A196" s="822" t="s">
        <v>575</v>
      </c>
      <c r="B196" s="823">
        <v>23313</v>
      </c>
      <c r="C196" s="825">
        <v>21132617.880000006</v>
      </c>
      <c r="D196" s="825"/>
      <c r="E196" s="850">
        <v>7463</v>
      </c>
      <c r="F196" s="825">
        <v>3220</v>
      </c>
      <c r="G196" s="825">
        <v>80006767.600000009</v>
      </c>
      <c r="H196" s="825">
        <v>10683</v>
      </c>
      <c r="I196" s="851"/>
      <c r="J196" s="825">
        <v>6361</v>
      </c>
      <c r="K196" s="823">
        <v>4059</v>
      </c>
      <c r="L196" s="830">
        <v>263</v>
      </c>
    </row>
    <row r="197" spans="1:13" ht="13.2" customHeight="1">
      <c r="A197" s="822" t="s">
        <v>579</v>
      </c>
      <c r="B197" s="823">
        <v>79885</v>
      </c>
      <c r="C197" s="825">
        <v>72978637.340000018</v>
      </c>
      <c r="D197" s="825"/>
      <c r="E197" s="850">
        <v>19262</v>
      </c>
      <c r="F197" s="825">
        <v>15319</v>
      </c>
      <c r="G197" s="825">
        <v>376172327.67000002</v>
      </c>
      <c r="H197" s="825">
        <v>34581</v>
      </c>
      <c r="I197" s="851"/>
      <c r="J197" s="825">
        <v>18997</v>
      </c>
      <c r="K197" s="823">
        <v>13813</v>
      </c>
      <c r="L197" s="830">
        <v>1771</v>
      </c>
    </row>
    <row r="198" spans="1:13" ht="10.65" customHeight="1">
      <c r="A198" s="822"/>
      <c r="B198" s="823"/>
      <c r="C198" s="825"/>
      <c r="D198" s="825"/>
      <c r="E198" s="850"/>
      <c r="F198" s="825"/>
      <c r="G198" s="825"/>
      <c r="H198" s="825"/>
      <c r="I198" s="851"/>
      <c r="J198" s="825"/>
      <c r="K198" s="823"/>
      <c r="L198" s="830"/>
    </row>
    <row r="199" spans="1:13" ht="13.2" customHeight="1">
      <c r="A199" s="822" t="s">
        <v>38</v>
      </c>
      <c r="B199" s="823">
        <v>406961</v>
      </c>
      <c r="C199" s="825">
        <v>370154964.25999993</v>
      </c>
      <c r="D199" s="825"/>
      <c r="E199" s="850">
        <v>109599</v>
      </c>
      <c r="F199" s="825">
        <v>78097</v>
      </c>
      <c r="G199" s="825">
        <v>1943023370.8699999</v>
      </c>
      <c r="H199" s="825">
        <v>187696</v>
      </c>
      <c r="I199" s="851"/>
      <c r="J199" s="825">
        <v>108453</v>
      </c>
      <c r="K199" s="823">
        <v>70124</v>
      </c>
      <c r="L199" s="830">
        <v>9119</v>
      </c>
    </row>
    <row r="200" spans="1:13" ht="13.2" customHeight="1">
      <c r="A200" s="822" t="s">
        <v>584</v>
      </c>
      <c r="B200" s="823">
        <v>20822</v>
      </c>
      <c r="C200" s="825">
        <v>18963082.459999993</v>
      </c>
      <c r="D200" s="825"/>
      <c r="E200" s="850">
        <v>6593</v>
      </c>
      <c r="F200" s="825">
        <v>2535</v>
      </c>
      <c r="G200" s="825">
        <v>62499966</v>
      </c>
      <c r="H200" s="825">
        <v>9128</v>
      </c>
      <c r="I200" s="851"/>
      <c r="J200" s="825">
        <v>5472</v>
      </c>
      <c r="K200" s="823">
        <v>3455</v>
      </c>
      <c r="L200" s="830">
        <v>201</v>
      </c>
    </row>
    <row r="201" spans="1:13" ht="13.2" customHeight="1">
      <c r="A201" s="820" t="s">
        <v>587</v>
      </c>
      <c r="B201" s="825">
        <v>13170</v>
      </c>
      <c r="C201" s="825">
        <v>11812142.780000001</v>
      </c>
      <c r="D201" s="825"/>
      <c r="E201" s="850">
        <v>4128</v>
      </c>
      <c r="F201" s="825">
        <v>2193</v>
      </c>
      <c r="G201" s="825">
        <v>87645941.200000003</v>
      </c>
      <c r="H201" s="825">
        <v>6321</v>
      </c>
      <c r="I201" s="851"/>
      <c r="J201" s="825">
        <v>3888</v>
      </c>
      <c r="K201" s="825">
        <v>2145</v>
      </c>
      <c r="L201" s="831">
        <v>288</v>
      </c>
    </row>
    <row r="202" spans="1:13" ht="13.2" customHeight="1">
      <c r="A202" s="820" t="s">
        <v>590</v>
      </c>
      <c r="B202" s="825">
        <v>27316</v>
      </c>
      <c r="C202" s="825">
        <v>24782326.720000003</v>
      </c>
      <c r="D202" s="825"/>
      <c r="E202" s="850">
        <v>8798</v>
      </c>
      <c r="F202" s="825">
        <v>3697</v>
      </c>
      <c r="G202" s="825">
        <v>113580275.19999999</v>
      </c>
      <c r="H202" s="825">
        <v>12495</v>
      </c>
      <c r="I202" s="851"/>
      <c r="J202" s="825">
        <v>8172</v>
      </c>
      <c r="K202" s="825">
        <v>3998</v>
      </c>
      <c r="L202" s="831">
        <v>325</v>
      </c>
      <c r="M202" s="396"/>
    </row>
    <row r="203" spans="1:13" ht="10.65" customHeight="1">
      <c r="A203" s="870"/>
      <c r="B203" s="871"/>
      <c r="C203" s="871"/>
      <c r="D203" s="872"/>
      <c r="E203" s="873"/>
      <c r="F203" s="871"/>
      <c r="G203" s="871"/>
      <c r="H203" s="871"/>
      <c r="I203" s="872"/>
      <c r="J203" s="871"/>
      <c r="K203" s="871"/>
      <c r="L203" s="874"/>
      <c r="M203" s="396"/>
    </row>
    <row r="204" spans="1:13" ht="15" customHeight="1">
      <c r="A204" s="828" t="s">
        <v>39</v>
      </c>
      <c r="B204" s="875">
        <f>SUM(B181:B202)+B176</f>
        <v>2269194</v>
      </c>
      <c r="C204" s="827">
        <f t="shared" ref="C204:L204" si="5">SUM(C181:C202)+C176</f>
        <v>2066460510.8</v>
      </c>
      <c r="D204" s="876"/>
      <c r="E204" s="865">
        <f t="shared" si="5"/>
        <v>680044</v>
      </c>
      <c r="F204" s="863">
        <f t="shared" si="5"/>
        <v>383946</v>
      </c>
      <c r="G204" s="827">
        <f t="shared" si="5"/>
        <v>10570110704.57</v>
      </c>
      <c r="H204" s="863">
        <f t="shared" si="5"/>
        <v>1063990</v>
      </c>
      <c r="I204" s="866"/>
      <c r="J204" s="863">
        <f>SUM(J181:J202)+J176</f>
        <v>675378</v>
      </c>
      <c r="K204" s="863">
        <f t="shared" si="5"/>
        <v>343607</v>
      </c>
      <c r="L204" s="863">
        <f t="shared" si="5"/>
        <v>45005</v>
      </c>
    </row>
    <row r="205" spans="1:13" ht="15" customHeight="1">
      <c r="A205" s="826" t="s">
        <v>34</v>
      </c>
      <c r="B205" s="863">
        <f>B144</f>
        <v>5666682</v>
      </c>
      <c r="C205" s="877">
        <f>C144</f>
        <v>5160010142.1200008</v>
      </c>
      <c r="D205" s="864"/>
      <c r="E205" s="865">
        <f t="shared" ref="E205:L205" si="6">E144</f>
        <v>1397204</v>
      </c>
      <c r="F205" s="863">
        <f t="shared" si="6"/>
        <v>1059348</v>
      </c>
      <c r="G205" s="827">
        <f t="shared" si="6"/>
        <v>30781471463.869999</v>
      </c>
      <c r="H205" s="863">
        <f t="shared" si="6"/>
        <v>2456552</v>
      </c>
      <c r="I205" s="866"/>
      <c r="J205" s="863">
        <f t="shared" si="6"/>
        <v>1312454</v>
      </c>
      <c r="K205" s="863">
        <f t="shared" si="6"/>
        <v>1068723</v>
      </c>
      <c r="L205" s="863">
        <f t="shared" si="6"/>
        <v>75375</v>
      </c>
    </row>
    <row r="206" spans="1:13" ht="15" customHeight="1">
      <c r="A206" s="826" t="s">
        <v>826</v>
      </c>
      <c r="B206" s="863">
        <v>282074</v>
      </c>
      <c r="C206" s="877">
        <v>197385301.64000002</v>
      </c>
      <c r="D206" s="864"/>
      <c r="E206" s="865">
        <v>79124</v>
      </c>
      <c r="F206" s="863">
        <v>57008</v>
      </c>
      <c r="G206" s="827">
        <v>8567654346.5800056</v>
      </c>
      <c r="H206" s="863">
        <v>136132</v>
      </c>
      <c r="I206" s="866"/>
      <c r="J206" s="863">
        <v>72486</v>
      </c>
      <c r="K206" s="863">
        <v>44815</v>
      </c>
      <c r="L206" s="878">
        <v>18831</v>
      </c>
    </row>
    <row r="207" spans="1:13" ht="13.2" customHeight="1">
      <c r="A207" s="828"/>
      <c r="B207" s="875"/>
      <c r="C207" s="827"/>
      <c r="D207" s="876"/>
      <c r="E207" s="879"/>
      <c r="F207" s="875"/>
      <c r="G207" s="880"/>
      <c r="H207" s="863"/>
      <c r="I207" s="881"/>
      <c r="J207" s="875"/>
      <c r="K207" s="875"/>
      <c r="L207" s="831"/>
    </row>
    <row r="208" spans="1:13" ht="15" customHeight="1">
      <c r="A208" s="826" t="s">
        <v>40</v>
      </c>
      <c r="B208" s="863">
        <f>SUM(B204:B206)</f>
        <v>8217950</v>
      </c>
      <c r="C208" s="827">
        <f>SUM(C204:C206)</f>
        <v>7423855954.5600014</v>
      </c>
      <c r="D208" s="864"/>
      <c r="E208" s="863">
        <f>SUM(E204:E206)</f>
        <v>2156372</v>
      </c>
      <c r="F208" s="863">
        <f>SUM(F204:F206)</f>
        <v>1500302</v>
      </c>
      <c r="G208" s="827">
        <f>SUM(G204:G206)</f>
        <v>49919236515.020004</v>
      </c>
      <c r="H208" s="863">
        <f>SUM(H204:H206)</f>
        <v>3656674</v>
      </c>
      <c r="I208" s="866"/>
      <c r="J208" s="863">
        <f>SUM(J204:J206)</f>
        <v>2060318</v>
      </c>
      <c r="K208" s="863">
        <f>SUM(K204:K206)</f>
        <v>1457145</v>
      </c>
      <c r="L208" s="863">
        <f>SUM(L204:L206)</f>
        <v>139211</v>
      </c>
    </row>
    <row r="209" spans="1:12" ht="13.2" customHeight="1">
      <c r="A209" s="829"/>
      <c r="B209" s="831"/>
      <c r="C209" s="829"/>
      <c r="D209" s="829"/>
      <c r="E209" s="831"/>
      <c r="F209" s="831"/>
      <c r="G209" s="829"/>
      <c r="H209" s="831"/>
      <c r="I209" s="831"/>
      <c r="J209" s="831"/>
      <c r="K209" s="831"/>
      <c r="L209" s="829"/>
    </row>
    <row r="210" spans="1:12" ht="13.2" customHeight="1">
      <c r="A210" s="818" t="s">
        <v>2</v>
      </c>
      <c r="B210" s="830"/>
      <c r="C210" s="830"/>
      <c r="D210" s="830"/>
      <c r="E210" s="818"/>
      <c r="F210" s="818"/>
      <c r="G210" s="818"/>
      <c r="H210" s="818"/>
      <c r="I210" s="818"/>
      <c r="J210" s="818"/>
      <c r="K210" s="818"/>
      <c r="L210" s="818"/>
    </row>
    <row r="211" spans="1:12" ht="14.25" customHeight="1">
      <c r="A211" s="380" t="s">
        <v>834</v>
      </c>
      <c r="B211" s="409"/>
      <c r="C211" s="409"/>
      <c r="D211" s="409"/>
      <c r="E211" s="409"/>
      <c r="F211" s="409"/>
      <c r="G211" s="409"/>
      <c r="H211" s="409"/>
      <c r="I211" s="409"/>
      <c r="J211" s="409"/>
      <c r="K211" s="409"/>
      <c r="L211" s="409"/>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sheetPr codeName="Sheet11"/>
  <dimension ref="A1:H208"/>
  <sheetViews>
    <sheetView showOutlineSymbols="0" zoomScaleNormal="100" workbookViewId="0">
      <pane xSplit="1" topLeftCell="B1" activePane="topRight" state="frozen"/>
      <selection pane="topRight"/>
    </sheetView>
  </sheetViews>
  <sheetFormatPr defaultColWidth="10.6640625" defaultRowHeight="15"/>
  <cols>
    <col min="1" max="1" width="18.33203125" style="388" customWidth="1"/>
    <col min="2" max="2" width="19.109375" style="386" customWidth="1"/>
    <col min="3" max="3" width="18.33203125" style="388" bestFit="1" customWidth="1"/>
    <col min="4" max="4" width="17.6640625" style="388" bestFit="1" customWidth="1"/>
    <col min="5" max="5" width="19.109375" style="388" bestFit="1" customWidth="1"/>
    <col min="6" max="6" width="20" style="388" customWidth="1"/>
    <col min="7" max="7" width="17.88671875" style="388" customWidth="1"/>
    <col min="8" max="16384" width="10.6640625" style="388"/>
  </cols>
  <sheetData>
    <row r="1" spans="1:8" ht="17.399999999999999">
      <c r="A1" s="410" t="s">
        <v>835</v>
      </c>
      <c r="B1" s="393"/>
      <c r="C1" s="393"/>
      <c r="D1" s="393"/>
      <c r="E1" s="393"/>
      <c r="F1" s="393"/>
      <c r="G1" s="393"/>
    </row>
    <row r="2" spans="1:8" ht="15.6">
      <c r="A2" s="382" t="s">
        <v>836</v>
      </c>
      <c r="B2" s="393"/>
      <c r="C2" s="393"/>
      <c r="D2" s="393"/>
      <c r="E2" s="393"/>
      <c r="F2" s="393"/>
      <c r="G2" s="393"/>
    </row>
    <row r="3" spans="1:8" ht="15.6">
      <c r="A3" s="395" t="str">
        <f>'Table 1.2'!A3</f>
        <v>Taxable Year 2011</v>
      </c>
      <c r="B3" s="393"/>
      <c r="C3" s="393"/>
      <c r="D3" s="393"/>
      <c r="E3" s="393"/>
      <c r="F3" s="393"/>
      <c r="G3" s="393"/>
    </row>
    <row r="4" spans="1:8" ht="13.2" customHeight="1" thickBot="1">
      <c r="A4" s="396"/>
      <c r="B4" s="394"/>
      <c r="C4" s="394"/>
      <c r="D4" s="394"/>
      <c r="E4" s="394"/>
      <c r="F4" s="394"/>
      <c r="G4" s="394"/>
    </row>
    <row r="5" spans="1:8">
      <c r="A5" s="411"/>
      <c r="B5" s="411" t="s">
        <v>837</v>
      </c>
      <c r="C5" s="411" t="s">
        <v>838</v>
      </c>
      <c r="D5" s="411" t="s">
        <v>839</v>
      </c>
      <c r="E5" s="411" t="s">
        <v>839</v>
      </c>
      <c r="F5" s="411" t="s">
        <v>839</v>
      </c>
      <c r="G5" s="411" t="s">
        <v>840</v>
      </c>
      <c r="H5" s="396"/>
    </row>
    <row r="6" spans="1:8" ht="13.2" customHeight="1">
      <c r="A6" s="397" t="s">
        <v>33</v>
      </c>
      <c r="B6" s="397" t="s">
        <v>841</v>
      </c>
      <c r="C6" s="397" t="s">
        <v>842</v>
      </c>
      <c r="D6" s="397" t="s">
        <v>843</v>
      </c>
      <c r="E6" s="397" t="s">
        <v>844</v>
      </c>
      <c r="F6" s="397" t="s">
        <v>845</v>
      </c>
      <c r="G6" s="397" t="s">
        <v>846</v>
      </c>
    </row>
    <row r="7" spans="1:8" ht="10.65" customHeight="1">
      <c r="A7" s="394"/>
      <c r="B7" s="394"/>
      <c r="C7" s="394"/>
      <c r="D7" s="394"/>
      <c r="E7" s="394"/>
      <c r="F7" s="394"/>
      <c r="G7" s="394"/>
    </row>
    <row r="8" spans="1:8" ht="13.2" customHeight="1">
      <c r="A8" s="386" t="s">
        <v>520</v>
      </c>
      <c r="B8" s="384">
        <v>406294718.94000006</v>
      </c>
      <c r="C8" s="384">
        <v>32029958.620000001</v>
      </c>
      <c r="D8" s="384">
        <v>20805485.66</v>
      </c>
      <c r="E8" s="384">
        <v>107264727.33</v>
      </c>
      <c r="F8" s="384">
        <v>246194547.33000001</v>
      </c>
      <c r="G8" s="384">
        <v>20215637.299999997</v>
      </c>
    </row>
    <row r="9" spans="1:8" ht="13.2" customHeight="1">
      <c r="A9" s="386" t="s">
        <v>524</v>
      </c>
      <c r="B9" s="386">
        <v>2863072567.4699998</v>
      </c>
      <c r="C9" s="386">
        <v>95656026.989999995</v>
      </c>
      <c r="D9" s="386">
        <v>63247627.049999997</v>
      </c>
      <c r="E9" s="386">
        <v>353035757.22999996</v>
      </c>
      <c r="F9" s="386">
        <v>2351133156.1999998</v>
      </c>
      <c r="G9" s="386">
        <v>154021788.46000001</v>
      </c>
    </row>
    <row r="10" spans="1:8" ht="13.2" customHeight="1">
      <c r="A10" s="386" t="s">
        <v>528</v>
      </c>
      <c r="B10" s="386">
        <v>220049334.56</v>
      </c>
      <c r="C10" s="386">
        <v>13729568</v>
      </c>
      <c r="D10" s="386">
        <v>9052194</v>
      </c>
      <c r="E10" s="386">
        <v>49549411.469999999</v>
      </c>
      <c r="F10" s="386">
        <v>147718161.09</v>
      </c>
      <c r="G10" s="386">
        <v>11132288.809999999</v>
      </c>
    </row>
    <row r="11" spans="1:8" ht="13.2" customHeight="1">
      <c r="A11" s="386" t="s">
        <v>532</v>
      </c>
      <c r="B11" s="386">
        <v>175457703.98000002</v>
      </c>
      <c r="C11" s="386">
        <v>11950638.300000001</v>
      </c>
      <c r="D11" s="386">
        <v>7882676</v>
      </c>
      <c r="E11" s="386">
        <v>42957147.830000006</v>
      </c>
      <c r="F11" s="386">
        <v>112667241.85000001</v>
      </c>
      <c r="G11" s="386">
        <v>8799619.7200000025</v>
      </c>
    </row>
    <row r="12" spans="1:8" ht="13.2" customHeight="1">
      <c r="A12" s="386" t="s">
        <v>536</v>
      </c>
      <c r="B12" s="386">
        <v>402745988.21000004</v>
      </c>
      <c r="C12" s="386">
        <v>27612550.399999999</v>
      </c>
      <c r="D12" s="386">
        <v>18300188</v>
      </c>
      <c r="E12" s="386">
        <v>99607237.790000007</v>
      </c>
      <c r="F12" s="386">
        <v>257226012.02000001</v>
      </c>
      <c r="G12" s="386">
        <v>20118728.039999999</v>
      </c>
    </row>
    <row r="13" spans="1:8" ht="10.65" customHeight="1">
      <c r="A13" s="386"/>
      <c r="C13" s="386"/>
      <c r="D13" s="386"/>
      <c r="E13" s="386"/>
      <c r="F13" s="386"/>
      <c r="G13" s="386"/>
    </row>
    <row r="14" spans="1:8" ht="13.2" customHeight="1">
      <c r="A14" s="386" t="s">
        <v>540</v>
      </c>
      <c r="B14" s="386">
        <v>193513475.52000001</v>
      </c>
      <c r="C14" s="386">
        <v>12806705.609999999</v>
      </c>
      <c r="D14" s="386">
        <v>8471377</v>
      </c>
      <c r="E14" s="386">
        <v>46054019.25</v>
      </c>
      <c r="F14" s="386">
        <v>126181373.66000001</v>
      </c>
      <c r="G14" s="386">
        <v>9708789.9499999993</v>
      </c>
    </row>
    <row r="15" spans="1:8" ht="13.2" customHeight="1">
      <c r="A15" s="386" t="s">
        <v>544</v>
      </c>
      <c r="B15" s="386">
        <v>10254032740.299999</v>
      </c>
      <c r="C15" s="386">
        <v>313551667.39999998</v>
      </c>
      <c r="D15" s="386">
        <v>207210320.42000002</v>
      </c>
      <c r="E15" s="386">
        <v>1181567770.9199998</v>
      </c>
      <c r="F15" s="386">
        <v>8551702981.5599995</v>
      </c>
      <c r="G15" s="386">
        <v>557984809.20000005</v>
      </c>
    </row>
    <row r="16" spans="1:8" ht="13.2" customHeight="1">
      <c r="A16" s="386" t="s">
        <v>548</v>
      </c>
      <c r="B16" s="386">
        <v>1106353932.8999999</v>
      </c>
      <c r="C16" s="386">
        <v>67481244.049999997</v>
      </c>
      <c r="D16" s="386">
        <v>44700997.840000004</v>
      </c>
      <c r="E16" s="386">
        <v>248574531.91999999</v>
      </c>
      <c r="F16" s="386">
        <v>745597159.08999991</v>
      </c>
      <c r="G16" s="386">
        <v>55902786.609999999</v>
      </c>
    </row>
    <row r="17" spans="1:7" ht="13.2" customHeight="1">
      <c r="A17" s="386" t="s">
        <v>552</v>
      </c>
      <c r="B17" s="386">
        <v>71964805.88000001</v>
      </c>
      <c r="C17" s="386">
        <v>4624835</v>
      </c>
      <c r="D17" s="386">
        <v>3033260</v>
      </c>
      <c r="E17" s="386">
        <v>16434135.810000001</v>
      </c>
      <c r="F17" s="386">
        <v>47872575.070000008</v>
      </c>
      <c r="G17" s="386">
        <v>3641035.28</v>
      </c>
    </row>
    <row r="18" spans="1:7" ht="13.2" customHeight="1">
      <c r="A18" s="386" t="s">
        <v>556</v>
      </c>
      <c r="B18" s="386">
        <v>1267418271.9499998</v>
      </c>
      <c r="C18" s="386">
        <v>64042064.009999998</v>
      </c>
      <c r="D18" s="386">
        <v>42413878</v>
      </c>
      <c r="E18" s="386">
        <v>236086986.91999999</v>
      </c>
      <c r="F18" s="386">
        <v>924875343.01999998</v>
      </c>
      <c r="G18" s="386">
        <v>65518271.829999998</v>
      </c>
    </row>
    <row r="19" spans="1:7" ht="10.65" customHeight="1">
      <c r="A19" s="386"/>
      <c r="C19" s="386"/>
      <c r="D19" s="386"/>
      <c r="E19" s="386"/>
      <c r="F19" s="386"/>
      <c r="G19" s="386"/>
    </row>
    <row r="20" spans="1:7" ht="13.2" customHeight="1">
      <c r="A20" s="386" t="s">
        <v>560</v>
      </c>
      <c r="B20" s="386">
        <v>85243026.75999999</v>
      </c>
      <c r="C20" s="386">
        <v>5144755</v>
      </c>
      <c r="D20" s="386">
        <v>3405713</v>
      </c>
      <c r="E20" s="386">
        <v>19015194.559999999</v>
      </c>
      <c r="F20" s="386">
        <v>57677364.199999996</v>
      </c>
      <c r="G20" s="386">
        <v>4326656.5900000008</v>
      </c>
    </row>
    <row r="21" spans="1:7" ht="13.2" customHeight="1">
      <c r="A21" s="386" t="s">
        <v>564</v>
      </c>
      <c r="B21" s="386">
        <v>627047150.36000001</v>
      </c>
      <c r="C21" s="386">
        <v>30700153.199999999</v>
      </c>
      <c r="D21" s="386">
        <v>20363234</v>
      </c>
      <c r="E21" s="386">
        <v>114235261.09</v>
      </c>
      <c r="F21" s="386">
        <v>461748502.06999999</v>
      </c>
      <c r="G21" s="386">
        <v>32452044.409999996</v>
      </c>
    </row>
    <row r="22" spans="1:7" ht="13.2" customHeight="1">
      <c r="A22" s="386" t="s">
        <v>568</v>
      </c>
      <c r="B22" s="386">
        <v>152900235.27000001</v>
      </c>
      <c r="C22" s="386">
        <v>12868789</v>
      </c>
      <c r="D22" s="386">
        <v>8471697</v>
      </c>
      <c r="E22" s="386">
        <v>44440989.350000001</v>
      </c>
      <c r="F22" s="386">
        <v>87118759.920000002</v>
      </c>
      <c r="G22" s="386">
        <v>7513060.0999999996</v>
      </c>
    </row>
    <row r="23" spans="1:7" ht="13.2" customHeight="1">
      <c r="A23" s="386" t="s">
        <v>572</v>
      </c>
      <c r="B23" s="386">
        <v>275226761.91000003</v>
      </c>
      <c r="C23" s="386">
        <v>15906481.02</v>
      </c>
      <c r="D23" s="386">
        <v>10514615</v>
      </c>
      <c r="E23" s="386">
        <v>57874084.32</v>
      </c>
      <c r="F23" s="386">
        <v>190931581.57000002</v>
      </c>
      <c r="G23" s="386">
        <v>14153072.239999998</v>
      </c>
    </row>
    <row r="24" spans="1:7" ht="13.2" customHeight="1">
      <c r="A24" s="386" t="s">
        <v>576</v>
      </c>
      <c r="B24" s="386">
        <v>150078716.99000001</v>
      </c>
      <c r="C24" s="386">
        <v>11781638</v>
      </c>
      <c r="D24" s="386">
        <v>7788222</v>
      </c>
      <c r="E24" s="386">
        <v>42078644.5</v>
      </c>
      <c r="F24" s="386">
        <v>88430212.49000001</v>
      </c>
      <c r="G24" s="386">
        <v>7414478.4000000004</v>
      </c>
    </row>
    <row r="25" spans="1:7" ht="10.65" customHeight="1">
      <c r="A25" s="386"/>
      <c r="C25" s="386"/>
      <c r="D25" s="386"/>
      <c r="E25" s="386"/>
      <c r="F25" s="386"/>
      <c r="G25" s="386"/>
    </row>
    <row r="26" spans="1:7" ht="13.2" customHeight="1">
      <c r="A26" s="386" t="s">
        <v>580</v>
      </c>
      <c r="B26" s="386">
        <v>707646873.69000006</v>
      </c>
      <c r="C26" s="386">
        <v>46151038</v>
      </c>
      <c r="D26" s="386">
        <v>30644202</v>
      </c>
      <c r="E26" s="386">
        <v>167724885.33000001</v>
      </c>
      <c r="F26" s="386">
        <v>463126748.36000001</v>
      </c>
      <c r="G26" s="386">
        <v>35589441.25999999</v>
      </c>
    </row>
    <row r="27" spans="1:7" ht="13.2" customHeight="1">
      <c r="A27" s="386" t="s">
        <v>582</v>
      </c>
      <c r="B27" s="386">
        <v>431017151.48000002</v>
      </c>
      <c r="C27" s="386">
        <v>26964597</v>
      </c>
      <c r="D27" s="386">
        <v>17836374</v>
      </c>
      <c r="E27" s="386">
        <v>97458323.670000002</v>
      </c>
      <c r="F27" s="386">
        <v>288757856.81</v>
      </c>
      <c r="G27" s="386">
        <v>21906582.519999996</v>
      </c>
    </row>
    <row r="28" spans="1:7" ht="13.2" customHeight="1">
      <c r="A28" s="386" t="s">
        <v>585</v>
      </c>
      <c r="B28" s="386">
        <v>271828617.03999996</v>
      </c>
      <c r="C28" s="386">
        <v>21672908.509999998</v>
      </c>
      <c r="D28" s="386">
        <v>14302770.9</v>
      </c>
      <c r="E28" s="386">
        <v>76912155.390000001</v>
      </c>
      <c r="F28" s="386">
        <v>158940782.23999998</v>
      </c>
      <c r="G28" s="386">
        <v>13231926.15</v>
      </c>
    </row>
    <row r="29" spans="1:7" ht="13.2" customHeight="1">
      <c r="A29" s="386" t="s">
        <v>588</v>
      </c>
      <c r="B29" s="386">
        <v>109518685.16999999</v>
      </c>
      <c r="C29" s="386">
        <v>7214080</v>
      </c>
      <c r="D29" s="386">
        <v>4760924</v>
      </c>
      <c r="E29" s="386">
        <v>25827297.039999999</v>
      </c>
      <c r="F29" s="386">
        <v>71716384.129999995</v>
      </c>
      <c r="G29" s="386">
        <v>5541101.370000001</v>
      </c>
    </row>
    <row r="30" spans="1:7" ht="13.2" customHeight="1">
      <c r="A30" s="386" t="s">
        <v>591</v>
      </c>
      <c r="B30" s="386">
        <v>123660286.59</v>
      </c>
      <c r="C30" s="386">
        <v>9677747.6600000001</v>
      </c>
      <c r="D30" s="386">
        <v>6338817</v>
      </c>
      <c r="E30" s="386">
        <v>33205490.629999995</v>
      </c>
      <c r="F30" s="386">
        <v>74438231.300000012</v>
      </c>
      <c r="G30" s="386">
        <v>6104738.0099999998</v>
      </c>
    </row>
    <row r="31" spans="1:7" ht="10.65" customHeight="1">
      <c r="A31" s="386"/>
      <c r="C31" s="386"/>
      <c r="D31" s="386"/>
      <c r="E31" s="386"/>
      <c r="F31" s="386"/>
      <c r="G31" s="386"/>
    </row>
    <row r="32" spans="1:7" ht="13.2" customHeight="1">
      <c r="A32" s="386" t="s">
        <v>593</v>
      </c>
      <c r="B32" s="386">
        <v>7031884063.8500004</v>
      </c>
      <c r="C32" s="386">
        <v>321166738.83000004</v>
      </c>
      <c r="D32" s="386">
        <v>212654075.83000004</v>
      </c>
      <c r="E32" s="386">
        <v>1183774009.49</v>
      </c>
      <c r="F32" s="386">
        <v>5314289239.6999998</v>
      </c>
      <c r="G32" s="386">
        <v>368626089.38</v>
      </c>
    </row>
    <row r="33" spans="1:8" ht="13.2" customHeight="1">
      <c r="A33" s="386" t="s">
        <v>596</v>
      </c>
      <c r="B33" s="386">
        <v>351912704.65000004</v>
      </c>
      <c r="C33" s="386">
        <v>14125249.4</v>
      </c>
      <c r="D33" s="386">
        <v>9331908.1699999999</v>
      </c>
      <c r="E33" s="386">
        <v>52086129.199999996</v>
      </c>
      <c r="F33" s="386">
        <v>276369417.88000005</v>
      </c>
      <c r="G33" s="386">
        <v>18661272.579999998</v>
      </c>
    </row>
    <row r="34" spans="1:8" ht="13.2" customHeight="1">
      <c r="A34" s="386" t="s">
        <v>598</v>
      </c>
      <c r="B34" s="386">
        <v>64429384.239999995</v>
      </c>
      <c r="C34" s="386">
        <v>4272132</v>
      </c>
      <c r="D34" s="386">
        <v>2826257</v>
      </c>
      <c r="E34" s="386">
        <v>15630127.67</v>
      </c>
      <c r="F34" s="386">
        <v>41700867.569999993</v>
      </c>
      <c r="G34" s="386">
        <v>3222304.01</v>
      </c>
    </row>
    <row r="35" spans="1:8" ht="13.2" customHeight="1">
      <c r="A35" s="386" t="s">
        <v>601</v>
      </c>
      <c r="B35" s="386">
        <v>797371265.6400001</v>
      </c>
      <c r="C35" s="386">
        <v>43720847.900000006</v>
      </c>
      <c r="D35" s="386">
        <v>28927442.579999998</v>
      </c>
      <c r="E35" s="386">
        <v>158916527.31999999</v>
      </c>
      <c r="F35" s="386">
        <v>565806447.84000003</v>
      </c>
      <c r="G35" s="386">
        <v>41081675.989999995</v>
      </c>
    </row>
    <row r="36" spans="1:8" ht="13.2" customHeight="1">
      <c r="A36" s="386" t="s">
        <v>604</v>
      </c>
      <c r="B36" s="386">
        <v>97686177.260000005</v>
      </c>
      <c r="C36" s="386">
        <v>7599737</v>
      </c>
      <c r="D36" s="386">
        <v>5021428</v>
      </c>
      <c r="E36" s="386">
        <v>26927275.240000002</v>
      </c>
      <c r="F36" s="386">
        <v>58137737.020000003</v>
      </c>
      <c r="G36" s="386">
        <v>4825718.04</v>
      </c>
    </row>
    <row r="37" spans="1:8" ht="10.65" customHeight="1">
      <c r="A37" s="386"/>
      <c r="C37" s="386"/>
      <c r="D37" s="386"/>
      <c r="E37" s="386"/>
      <c r="F37" s="386"/>
      <c r="G37" s="386"/>
    </row>
    <row r="38" spans="1:8" ht="13.2" customHeight="1">
      <c r="A38" s="386" t="s">
        <v>607</v>
      </c>
      <c r="B38" s="386">
        <v>153828093.09</v>
      </c>
      <c r="C38" s="386">
        <v>9828728</v>
      </c>
      <c r="D38" s="386">
        <v>6528760.8799999999</v>
      </c>
      <c r="E38" s="386">
        <v>36231026.060000002</v>
      </c>
      <c r="F38" s="386">
        <v>101239578.15000001</v>
      </c>
      <c r="G38" s="386">
        <v>7769426.5899999999</v>
      </c>
    </row>
    <row r="39" spans="1:8" ht="13.2" customHeight="1">
      <c r="A39" s="386" t="s">
        <v>610</v>
      </c>
      <c r="B39" s="386">
        <v>381853828.30999994</v>
      </c>
      <c r="C39" s="386">
        <v>25092825</v>
      </c>
      <c r="D39" s="386">
        <v>16628785</v>
      </c>
      <c r="E39" s="386">
        <v>90950694.590000004</v>
      </c>
      <c r="F39" s="386">
        <v>249181523.71999997</v>
      </c>
      <c r="G39" s="386">
        <v>19282362.499999996</v>
      </c>
    </row>
    <row r="40" spans="1:8" ht="13.2" customHeight="1">
      <c r="A40" s="386" t="s">
        <v>613</v>
      </c>
      <c r="B40" s="386">
        <v>148124997.25999999</v>
      </c>
      <c r="C40" s="386">
        <v>10192451.210000001</v>
      </c>
      <c r="D40" s="386">
        <v>6738080</v>
      </c>
      <c r="E40" s="386">
        <v>35788704.289999999</v>
      </c>
      <c r="F40" s="386">
        <v>95405761.75999999</v>
      </c>
      <c r="G40" s="386">
        <v>7478688.9100000011</v>
      </c>
    </row>
    <row r="41" spans="1:8" ht="13.2" customHeight="1">
      <c r="A41" s="389" t="s">
        <v>616</v>
      </c>
      <c r="B41" s="389">
        <v>43021091832.759995</v>
      </c>
      <c r="C41" s="389">
        <v>1224241548.9800003</v>
      </c>
      <c r="D41" s="389">
        <v>809515300.78999996</v>
      </c>
      <c r="E41" s="389">
        <v>4563870863.8899994</v>
      </c>
      <c r="F41" s="389">
        <v>36423464119.099998</v>
      </c>
      <c r="G41" s="389">
        <v>2339056855.04</v>
      </c>
    </row>
    <row r="42" spans="1:8" ht="13.2" customHeight="1">
      <c r="A42" s="389" t="s">
        <v>619</v>
      </c>
      <c r="B42" s="389">
        <v>1976609659.4099998</v>
      </c>
      <c r="C42" s="389">
        <v>69899496.420000002</v>
      </c>
      <c r="D42" s="389">
        <v>46311289.310000002</v>
      </c>
      <c r="E42" s="389">
        <v>260598177</v>
      </c>
      <c r="F42" s="389">
        <v>1599800696.6799998</v>
      </c>
      <c r="G42" s="389">
        <v>105786570.94000003</v>
      </c>
      <c r="H42" s="396"/>
    </row>
    <row r="43" spans="1:8" ht="17.399999999999999">
      <c r="A43" s="412" t="s">
        <v>847</v>
      </c>
      <c r="B43" s="394"/>
      <c r="C43" s="394"/>
      <c r="D43" s="394"/>
      <c r="E43" s="394"/>
      <c r="F43" s="394"/>
      <c r="G43" s="394"/>
      <c r="H43" s="396"/>
    </row>
    <row r="44" spans="1:8" ht="15.6">
      <c r="A44" s="395" t="s">
        <v>836</v>
      </c>
      <c r="B44" s="394"/>
      <c r="C44" s="394"/>
      <c r="D44" s="394"/>
      <c r="E44" s="394"/>
      <c r="F44" s="394"/>
      <c r="G44" s="394"/>
    </row>
    <row r="45" spans="1:8" ht="15.6">
      <c r="A45" s="395" t="str">
        <f>A3</f>
        <v>Taxable Year 2011</v>
      </c>
      <c r="B45" s="393"/>
      <c r="C45" s="393"/>
      <c r="D45" s="393"/>
      <c r="E45" s="393"/>
      <c r="F45" s="393"/>
      <c r="G45" s="393"/>
    </row>
    <row r="46" spans="1:8" ht="13.2" customHeight="1" thickBot="1">
      <c r="A46" s="396"/>
      <c r="B46" s="394"/>
      <c r="C46" s="394"/>
      <c r="D46" s="394"/>
      <c r="E46" s="394"/>
      <c r="F46" s="394"/>
      <c r="G46" s="394"/>
    </row>
    <row r="47" spans="1:8">
      <c r="A47" s="411"/>
      <c r="B47" s="411" t="s">
        <v>837</v>
      </c>
      <c r="C47" s="411" t="s">
        <v>838</v>
      </c>
      <c r="D47" s="411" t="s">
        <v>839</v>
      </c>
      <c r="E47" s="411" t="s">
        <v>839</v>
      </c>
      <c r="F47" s="411" t="s">
        <v>839</v>
      </c>
      <c r="G47" s="411" t="s">
        <v>840</v>
      </c>
      <c r="H47" s="396"/>
    </row>
    <row r="48" spans="1:8" ht="13.2" customHeight="1">
      <c r="A48" s="397" t="s">
        <v>33</v>
      </c>
      <c r="B48" s="397" t="s">
        <v>841</v>
      </c>
      <c r="C48" s="397" t="s">
        <v>842</v>
      </c>
      <c r="D48" s="397" t="s">
        <v>843</v>
      </c>
      <c r="E48" s="397" t="s">
        <v>844</v>
      </c>
      <c r="F48" s="397" t="s">
        <v>845</v>
      </c>
      <c r="G48" s="397" t="s">
        <v>846</v>
      </c>
    </row>
    <row r="49" spans="1:7" ht="10.65" customHeight="1">
      <c r="A49" s="389"/>
      <c r="B49" s="394"/>
      <c r="C49" s="394"/>
      <c r="D49" s="394"/>
      <c r="E49" s="394"/>
      <c r="F49" s="394"/>
      <c r="G49" s="394"/>
    </row>
    <row r="50" spans="1:7" ht="13.2" customHeight="1">
      <c r="A50" s="386" t="s">
        <v>622</v>
      </c>
      <c r="B50" s="384">
        <v>187376174.23000002</v>
      </c>
      <c r="C50" s="384">
        <v>12262472</v>
      </c>
      <c r="D50" s="384">
        <v>8135648</v>
      </c>
      <c r="E50" s="384">
        <v>44654074.810000002</v>
      </c>
      <c r="F50" s="384">
        <v>122323979.42</v>
      </c>
      <c r="G50" s="384">
        <v>9384788</v>
      </c>
    </row>
    <row r="51" spans="1:7" ht="13.2" customHeight="1">
      <c r="A51" s="386" t="s">
        <v>624</v>
      </c>
      <c r="B51" s="386">
        <v>424565348.41000009</v>
      </c>
      <c r="C51" s="386">
        <v>23465047.34</v>
      </c>
      <c r="D51" s="386">
        <v>15541943.380000001</v>
      </c>
      <c r="E51" s="386">
        <v>87158884.900000006</v>
      </c>
      <c r="F51" s="386">
        <v>298399472.79000008</v>
      </c>
      <c r="G51" s="386">
        <v>21738830</v>
      </c>
    </row>
    <row r="52" spans="1:7" ht="13.2" customHeight="1">
      <c r="A52" s="386" t="s">
        <v>627</v>
      </c>
      <c r="B52" s="386">
        <v>725071162.36000001</v>
      </c>
      <c r="C52" s="386">
        <v>44641208.590000004</v>
      </c>
      <c r="D52" s="386">
        <v>29558224</v>
      </c>
      <c r="E52" s="386">
        <v>161334965.43000001</v>
      </c>
      <c r="F52" s="386">
        <v>489536764.34000003</v>
      </c>
      <c r="G52" s="386">
        <v>36760443</v>
      </c>
    </row>
    <row r="53" spans="1:7" ht="13.2" customHeight="1">
      <c r="A53" s="386" t="s">
        <v>629</v>
      </c>
      <c r="B53" s="386">
        <v>1495641599.9099998</v>
      </c>
      <c r="C53" s="386">
        <v>77577539.430000007</v>
      </c>
      <c r="D53" s="386">
        <v>51318466.479999997</v>
      </c>
      <c r="E53" s="386">
        <v>285262072.75</v>
      </c>
      <c r="F53" s="386">
        <v>1081483521.25</v>
      </c>
      <c r="G53" s="386">
        <v>77361908</v>
      </c>
    </row>
    <row r="54" spans="1:7" ht="13.2" customHeight="1">
      <c r="A54" s="386" t="s">
        <v>632</v>
      </c>
      <c r="B54" s="386">
        <v>219156477.97</v>
      </c>
      <c r="C54" s="386">
        <v>14480811.85</v>
      </c>
      <c r="D54" s="386">
        <v>9592215</v>
      </c>
      <c r="E54" s="386">
        <v>53002008.620000005</v>
      </c>
      <c r="F54" s="386">
        <v>142081442.5</v>
      </c>
      <c r="G54" s="386">
        <v>10989721</v>
      </c>
    </row>
    <row r="55" spans="1:7" ht="10.65" customHeight="1">
      <c r="A55" s="386"/>
      <c r="C55" s="386"/>
      <c r="D55" s="386"/>
      <c r="E55" s="386"/>
      <c r="F55" s="386"/>
      <c r="G55" s="386"/>
    </row>
    <row r="56" spans="1:7" ht="13.2" customHeight="1">
      <c r="A56" s="386" t="s">
        <v>635</v>
      </c>
      <c r="B56" s="386">
        <v>606900857.39999998</v>
      </c>
      <c r="C56" s="386">
        <v>35429769.650000006</v>
      </c>
      <c r="D56" s="386">
        <v>23449620</v>
      </c>
      <c r="E56" s="386">
        <v>129167375.22</v>
      </c>
      <c r="F56" s="386">
        <v>418854092.52999997</v>
      </c>
      <c r="G56" s="386">
        <v>30952529</v>
      </c>
    </row>
    <row r="57" spans="1:7" ht="13.2" customHeight="1">
      <c r="A57" s="386" t="s">
        <v>637</v>
      </c>
      <c r="B57" s="386">
        <v>913891806.98000002</v>
      </c>
      <c r="C57" s="386">
        <v>21266347.93</v>
      </c>
      <c r="D57" s="386">
        <v>14092319.220000001</v>
      </c>
      <c r="E57" s="386">
        <v>79468615.420000017</v>
      </c>
      <c r="F57" s="386">
        <v>799064524.40999997</v>
      </c>
      <c r="G57" s="386">
        <v>50047436</v>
      </c>
    </row>
    <row r="58" spans="1:7" ht="13.2" customHeight="1">
      <c r="A58" s="386" t="s">
        <v>639</v>
      </c>
      <c r="B58" s="386">
        <v>140168879.10999998</v>
      </c>
      <c r="C58" s="386">
        <v>11770129.220000001</v>
      </c>
      <c r="D58" s="386">
        <v>7759829</v>
      </c>
      <c r="E58" s="386">
        <v>41438936.909999996</v>
      </c>
      <c r="F58" s="386">
        <v>79199983.979999989</v>
      </c>
      <c r="G58" s="386">
        <v>6782185</v>
      </c>
    </row>
    <row r="59" spans="1:7" ht="13.2" customHeight="1">
      <c r="A59" s="386" t="s">
        <v>642</v>
      </c>
      <c r="B59" s="386">
        <v>291031420.31999999</v>
      </c>
      <c r="C59" s="386">
        <v>17205035.149999999</v>
      </c>
      <c r="D59" s="386">
        <v>11404877</v>
      </c>
      <c r="E59" s="386">
        <v>63145464.079999991</v>
      </c>
      <c r="F59" s="386">
        <v>199276044.09</v>
      </c>
      <c r="G59" s="386">
        <v>14806380</v>
      </c>
    </row>
    <row r="60" spans="1:7" ht="13.2" customHeight="1">
      <c r="A60" s="386" t="s">
        <v>645</v>
      </c>
      <c r="B60" s="386">
        <v>132951651.77000001</v>
      </c>
      <c r="C60" s="386">
        <v>10519991.060000001</v>
      </c>
      <c r="D60" s="386">
        <v>6893015</v>
      </c>
      <c r="E60" s="386">
        <v>35930357.109999999</v>
      </c>
      <c r="F60" s="386">
        <v>79608288.600000009</v>
      </c>
      <c r="G60" s="386">
        <v>6625711</v>
      </c>
    </row>
    <row r="61" spans="1:7" ht="10.65" customHeight="1">
      <c r="A61" s="386"/>
      <c r="C61" s="386"/>
      <c r="D61" s="386"/>
      <c r="E61" s="386"/>
      <c r="F61" s="386"/>
      <c r="G61" s="386"/>
    </row>
    <row r="62" spans="1:7" ht="13.2" customHeight="1">
      <c r="A62" s="386" t="s">
        <v>521</v>
      </c>
      <c r="B62" s="386">
        <v>381811282.51000005</v>
      </c>
      <c r="C62" s="386">
        <v>28566529.240000002</v>
      </c>
      <c r="D62" s="386">
        <v>18823913</v>
      </c>
      <c r="E62" s="386">
        <v>99924170.280000001</v>
      </c>
      <c r="F62" s="386">
        <v>234496669.99000004</v>
      </c>
      <c r="G62" s="386">
        <v>18991611</v>
      </c>
    </row>
    <row r="63" spans="1:7" ht="13.2" customHeight="1">
      <c r="A63" s="386" t="s">
        <v>525</v>
      </c>
      <c r="B63" s="386">
        <v>2348158102.5100002</v>
      </c>
      <c r="C63" s="386">
        <v>100779348.64</v>
      </c>
      <c r="D63" s="386">
        <v>66785262.560000002</v>
      </c>
      <c r="E63" s="386">
        <v>374374009.77000004</v>
      </c>
      <c r="F63" s="386">
        <v>1806219481.5400002</v>
      </c>
      <c r="G63" s="386">
        <v>123214253</v>
      </c>
    </row>
    <row r="64" spans="1:7" ht="13.2" customHeight="1">
      <c r="A64" s="386" t="s">
        <v>529</v>
      </c>
      <c r="B64" s="386">
        <v>6994050817.2799997</v>
      </c>
      <c r="C64" s="386">
        <v>318780090</v>
      </c>
      <c r="D64" s="386">
        <v>211019538.50999996</v>
      </c>
      <c r="E64" s="386">
        <v>1164605446.8499999</v>
      </c>
      <c r="F64" s="386">
        <v>5299645741.9200001</v>
      </c>
      <c r="G64" s="386">
        <v>368273969</v>
      </c>
    </row>
    <row r="65" spans="1:7" ht="13.2" customHeight="1">
      <c r="A65" s="386" t="s">
        <v>533</v>
      </c>
      <c r="B65" s="386">
        <v>533530033.05000007</v>
      </c>
      <c r="C65" s="386">
        <v>42543649.300000004</v>
      </c>
      <c r="D65" s="386">
        <v>28101384.289999999</v>
      </c>
      <c r="E65" s="386">
        <v>146270182.38999999</v>
      </c>
      <c r="F65" s="386">
        <v>316614817.07000005</v>
      </c>
      <c r="G65" s="386">
        <v>26259787</v>
      </c>
    </row>
    <row r="66" spans="1:7" ht="13.2" customHeight="1">
      <c r="A66" s="386" t="s">
        <v>537</v>
      </c>
      <c r="B66" s="386">
        <v>28901735.560000002</v>
      </c>
      <c r="C66" s="386">
        <v>1824771.2</v>
      </c>
      <c r="D66" s="386">
        <v>1200018</v>
      </c>
      <c r="E66" s="386">
        <v>6577088.1899999995</v>
      </c>
      <c r="F66" s="386">
        <v>19299858.170000002</v>
      </c>
      <c r="G66" s="386">
        <v>1463068</v>
      </c>
    </row>
    <row r="67" spans="1:7" ht="10.65" customHeight="1">
      <c r="A67" s="386"/>
      <c r="C67" s="386"/>
      <c r="D67" s="386"/>
      <c r="E67" s="386"/>
      <c r="F67" s="386"/>
      <c r="G67" s="386"/>
    </row>
    <row r="68" spans="1:7" ht="13.2" customHeight="1">
      <c r="A68" s="386" t="s">
        <v>541</v>
      </c>
      <c r="B68" s="386">
        <v>710803322.70000005</v>
      </c>
      <c r="C68" s="386">
        <v>34832103.780000001</v>
      </c>
      <c r="D68" s="386">
        <v>23048980</v>
      </c>
      <c r="E68" s="386">
        <v>127546889</v>
      </c>
      <c r="F68" s="386">
        <v>525375349.92000002</v>
      </c>
      <c r="G68" s="386">
        <v>36994787</v>
      </c>
    </row>
    <row r="69" spans="1:7" ht="13.2" customHeight="1">
      <c r="A69" s="386" t="s">
        <v>545</v>
      </c>
      <c r="B69" s="386">
        <v>1743900790.2300003</v>
      </c>
      <c r="C69" s="386">
        <v>68689458.219999999</v>
      </c>
      <c r="D69" s="386">
        <v>45412952.560000002</v>
      </c>
      <c r="E69" s="386">
        <v>251007160.65000001</v>
      </c>
      <c r="F69" s="386">
        <v>1378791218.8000002</v>
      </c>
      <c r="G69" s="386">
        <v>92549969</v>
      </c>
    </row>
    <row r="70" spans="1:7" ht="13.2" customHeight="1">
      <c r="A70" s="386" t="s">
        <v>549</v>
      </c>
      <c r="B70" s="386">
        <v>97344453.680000007</v>
      </c>
      <c r="C70" s="386">
        <v>6382802</v>
      </c>
      <c r="D70" s="386">
        <v>4214924</v>
      </c>
      <c r="E70" s="386">
        <v>22913951</v>
      </c>
      <c r="F70" s="386">
        <v>63832776.68</v>
      </c>
      <c r="G70" s="386">
        <v>4918131</v>
      </c>
    </row>
    <row r="71" spans="1:7" ht="13.2" customHeight="1">
      <c r="A71" s="386" t="s">
        <v>553</v>
      </c>
      <c r="B71" s="386">
        <v>508770968.25999999</v>
      </c>
      <c r="C71" s="386">
        <v>22849733</v>
      </c>
      <c r="D71" s="386">
        <v>15148800</v>
      </c>
      <c r="E71" s="386">
        <v>84958968.88000001</v>
      </c>
      <c r="F71" s="386">
        <v>385813466.38</v>
      </c>
      <c r="G71" s="386">
        <v>26694747</v>
      </c>
    </row>
    <row r="72" spans="1:7" ht="13.2" customHeight="1">
      <c r="A72" s="386" t="s">
        <v>557</v>
      </c>
      <c r="B72" s="386">
        <v>264612467.83000001</v>
      </c>
      <c r="C72" s="386">
        <v>16184652</v>
      </c>
      <c r="D72" s="386">
        <v>10714725</v>
      </c>
      <c r="E72" s="386">
        <v>59381750.189999998</v>
      </c>
      <c r="F72" s="386">
        <v>178331340.64000002</v>
      </c>
      <c r="G72" s="386">
        <v>13382883</v>
      </c>
    </row>
    <row r="73" spans="1:7" ht="10.65" customHeight="1">
      <c r="A73" s="393"/>
      <c r="C73" s="386"/>
      <c r="D73" s="386"/>
      <c r="E73" s="386"/>
      <c r="F73" s="386"/>
      <c r="G73" s="386"/>
    </row>
    <row r="74" spans="1:7" ht="13.2" customHeight="1">
      <c r="A74" s="386" t="s">
        <v>561</v>
      </c>
      <c r="B74" s="386">
        <v>194999192.31</v>
      </c>
      <c r="C74" s="386">
        <v>10582131.65</v>
      </c>
      <c r="D74" s="386">
        <v>6951777</v>
      </c>
      <c r="E74" s="386">
        <v>36801907.719999999</v>
      </c>
      <c r="F74" s="386">
        <v>140663375.94</v>
      </c>
      <c r="G74" s="386">
        <v>10104870</v>
      </c>
    </row>
    <row r="75" spans="1:7" ht="13.2" customHeight="1">
      <c r="A75" s="386" t="s">
        <v>565</v>
      </c>
      <c r="B75" s="386">
        <v>218791094.08000001</v>
      </c>
      <c r="C75" s="386">
        <v>15238463.190000001</v>
      </c>
      <c r="D75" s="386">
        <v>10070159.16</v>
      </c>
      <c r="E75" s="386">
        <v>54167986.870000005</v>
      </c>
      <c r="F75" s="386">
        <v>139314484.86000001</v>
      </c>
      <c r="G75" s="386">
        <v>10939156</v>
      </c>
    </row>
    <row r="76" spans="1:7" ht="13.2" customHeight="1">
      <c r="A76" s="386" t="s">
        <v>569</v>
      </c>
      <c r="B76" s="386">
        <v>11840044328.350002</v>
      </c>
      <c r="C76" s="386">
        <v>352195092.56999999</v>
      </c>
      <c r="D76" s="386">
        <v>233363421.52999997</v>
      </c>
      <c r="E76" s="386">
        <v>1331549881.4699998</v>
      </c>
      <c r="F76" s="386">
        <v>9922935932.7800026</v>
      </c>
      <c r="G76" s="386">
        <v>640171364</v>
      </c>
    </row>
    <row r="77" spans="1:7" ht="13.2" customHeight="1">
      <c r="A77" s="386" t="s">
        <v>573</v>
      </c>
      <c r="B77" s="386">
        <v>519681305.41999996</v>
      </c>
      <c r="C77" s="386">
        <v>30506760.740000002</v>
      </c>
      <c r="D77" s="386">
        <v>20195097.719999999</v>
      </c>
      <c r="E77" s="386">
        <v>111487318.39</v>
      </c>
      <c r="F77" s="386">
        <v>357492128.56999999</v>
      </c>
      <c r="G77" s="386">
        <v>26518932</v>
      </c>
    </row>
    <row r="78" spans="1:7" ht="13.2" customHeight="1">
      <c r="A78" s="386" t="s">
        <v>577</v>
      </c>
      <c r="B78" s="386">
        <v>111626538.94</v>
      </c>
      <c r="C78" s="386">
        <v>8777718</v>
      </c>
      <c r="D78" s="386">
        <v>5800508</v>
      </c>
      <c r="E78" s="386">
        <v>30774264.800000001</v>
      </c>
      <c r="F78" s="386">
        <v>66274048.139999993</v>
      </c>
      <c r="G78" s="386">
        <v>5510756</v>
      </c>
    </row>
    <row r="79" spans="1:7" ht="10.65" customHeight="1">
      <c r="A79" s="386"/>
      <c r="C79" s="386"/>
      <c r="D79" s="386"/>
      <c r="E79" s="386"/>
      <c r="F79" s="386"/>
      <c r="G79" s="386"/>
    </row>
    <row r="80" spans="1:7" ht="13.2" customHeight="1">
      <c r="A80" s="386" t="s">
        <v>581</v>
      </c>
      <c r="B80" s="386">
        <v>200519431.71000001</v>
      </c>
      <c r="C80" s="386">
        <v>11254602.34</v>
      </c>
      <c r="D80" s="386">
        <v>7447727</v>
      </c>
      <c r="E80" s="386">
        <v>41296084.629999995</v>
      </c>
      <c r="F80" s="386">
        <v>140521017.74000001</v>
      </c>
      <c r="G80" s="386">
        <v>10258704</v>
      </c>
    </row>
    <row r="81" spans="1:8" ht="13.2" customHeight="1">
      <c r="A81" s="386" t="s">
        <v>583</v>
      </c>
      <c r="B81" s="386">
        <v>144036746.69999999</v>
      </c>
      <c r="C81" s="386">
        <v>7856681</v>
      </c>
      <c r="D81" s="386">
        <v>5192672</v>
      </c>
      <c r="E81" s="386">
        <v>28532145.23</v>
      </c>
      <c r="F81" s="386">
        <v>102455248.47</v>
      </c>
      <c r="G81" s="386">
        <v>7408169</v>
      </c>
    </row>
    <row r="82" spans="1:8" ht="13.2" customHeight="1">
      <c r="A82" s="386" t="s">
        <v>586</v>
      </c>
      <c r="B82" s="386">
        <v>345900712.22000003</v>
      </c>
      <c r="C82" s="386">
        <v>25531174.439999998</v>
      </c>
      <c r="D82" s="386">
        <v>16791997.060000002</v>
      </c>
      <c r="E82" s="386">
        <v>87822531.660000011</v>
      </c>
      <c r="F82" s="386">
        <v>215755009.06</v>
      </c>
      <c r="G82" s="386">
        <v>17269300</v>
      </c>
    </row>
    <row r="83" spans="1:8" ht="13.2" customHeight="1">
      <c r="A83" s="389" t="s">
        <v>589</v>
      </c>
      <c r="B83" s="389">
        <v>172069451.00999999</v>
      </c>
      <c r="C83" s="389">
        <v>9357597</v>
      </c>
      <c r="D83" s="389">
        <v>6180410</v>
      </c>
      <c r="E83" s="389">
        <v>33527946.380000003</v>
      </c>
      <c r="F83" s="389">
        <v>123003497.63</v>
      </c>
      <c r="G83" s="389">
        <v>8873566</v>
      </c>
    </row>
    <row r="84" spans="1:8" ht="13.2" customHeight="1">
      <c r="A84" s="389" t="s">
        <v>592</v>
      </c>
      <c r="B84" s="389">
        <v>1313193741.1399999</v>
      </c>
      <c r="C84" s="389">
        <v>72407763.700000003</v>
      </c>
      <c r="D84" s="389">
        <v>47829198.530000001</v>
      </c>
      <c r="E84" s="389">
        <v>261288155.40000001</v>
      </c>
      <c r="F84" s="389">
        <v>931668623.50999999</v>
      </c>
      <c r="G84" s="389">
        <v>67632140</v>
      </c>
      <c r="H84" s="396"/>
    </row>
    <row r="85" spans="1:8" s="415" customFormat="1" ht="17.399999999999999">
      <c r="A85" s="412" t="s">
        <v>847</v>
      </c>
      <c r="B85" s="413"/>
      <c r="C85" s="413"/>
      <c r="D85" s="413"/>
      <c r="E85" s="413"/>
      <c r="F85" s="413"/>
      <c r="G85" s="413"/>
      <c r="H85" s="414"/>
    </row>
    <row r="86" spans="1:8" ht="15.6">
      <c r="A86" s="395" t="s">
        <v>836</v>
      </c>
      <c r="B86" s="394"/>
      <c r="C86" s="394"/>
      <c r="D86" s="394"/>
      <c r="E86" s="394"/>
      <c r="F86" s="394"/>
      <c r="G86" s="394"/>
    </row>
    <row r="87" spans="1:8" ht="15.6">
      <c r="A87" s="395" t="str">
        <f>A3</f>
        <v>Taxable Year 2011</v>
      </c>
      <c r="B87" s="393"/>
      <c r="C87" s="393"/>
      <c r="D87" s="393"/>
      <c r="E87" s="393"/>
      <c r="F87" s="393"/>
      <c r="G87" s="393"/>
    </row>
    <row r="88" spans="1:8" ht="13.2" customHeight="1" thickBot="1">
      <c r="A88" s="396"/>
      <c r="B88" s="394"/>
      <c r="C88" s="394"/>
      <c r="D88" s="394"/>
      <c r="E88" s="394"/>
      <c r="F88" s="394"/>
      <c r="G88" s="394"/>
    </row>
    <row r="89" spans="1:8">
      <c r="A89" s="411"/>
      <c r="B89" s="411" t="s">
        <v>837</v>
      </c>
      <c r="C89" s="411" t="s">
        <v>838</v>
      </c>
      <c r="D89" s="411" t="s">
        <v>839</v>
      </c>
      <c r="E89" s="411" t="s">
        <v>839</v>
      </c>
      <c r="F89" s="411" t="s">
        <v>839</v>
      </c>
      <c r="G89" s="411" t="s">
        <v>840</v>
      </c>
      <c r="H89" s="396"/>
    </row>
    <row r="90" spans="1:8" ht="13.2" customHeight="1">
      <c r="A90" s="397" t="s">
        <v>33</v>
      </c>
      <c r="B90" s="397" t="s">
        <v>841</v>
      </c>
      <c r="C90" s="397" t="s">
        <v>842</v>
      </c>
      <c r="D90" s="397" t="s">
        <v>843</v>
      </c>
      <c r="E90" s="397" t="s">
        <v>844</v>
      </c>
      <c r="F90" s="397" t="s">
        <v>845</v>
      </c>
      <c r="G90" s="397" t="s">
        <v>846</v>
      </c>
    </row>
    <row r="91" spans="1:8" ht="10.65" customHeight="1">
      <c r="A91" s="389"/>
      <c r="B91" s="394"/>
      <c r="C91" s="394"/>
      <c r="D91" s="394"/>
      <c r="E91" s="394"/>
      <c r="F91" s="394"/>
      <c r="G91" s="394"/>
    </row>
    <row r="92" spans="1:8" ht="13.2" customHeight="1">
      <c r="A92" s="386" t="s">
        <v>594</v>
      </c>
      <c r="B92" s="416">
        <v>232015274.02000004</v>
      </c>
      <c r="C92" s="416">
        <v>13926135</v>
      </c>
      <c r="D92" s="416">
        <v>9219896</v>
      </c>
      <c r="E92" s="416">
        <v>50623835.379999995</v>
      </c>
      <c r="F92" s="416">
        <v>158245407.64000005</v>
      </c>
      <c r="G92" s="416">
        <v>11809460</v>
      </c>
    </row>
    <row r="93" spans="1:8" ht="13.2" customHeight="1">
      <c r="A93" s="386" t="s">
        <v>597</v>
      </c>
      <c r="B93" s="417">
        <v>405478123.94999993</v>
      </c>
      <c r="C93" s="417">
        <v>19265792</v>
      </c>
      <c r="D93" s="417">
        <v>12764742</v>
      </c>
      <c r="E93" s="417">
        <v>71438857.479999989</v>
      </c>
      <c r="F93" s="417">
        <v>302008732.46999997</v>
      </c>
      <c r="G93" s="417">
        <v>21047163</v>
      </c>
    </row>
    <row r="94" spans="1:8" ht="13.2" customHeight="1">
      <c r="A94" s="386" t="s">
        <v>599</v>
      </c>
      <c r="B94" s="417">
        <v>157076921.08999997</v>
      </c>
      <c r="C94" s="417">
        <v>10582448.34</v>
      </c>
      <c r="D94" s="417">
        <v>6943562</v>
      </c>
      <c r="E94" s="417">
        <v>35790976.460000001</v>
      </c>
      <c r="F94" s="417">
        <v>103759934.28999999</v>
      </c>
      <c r="G94" s="417">
        <v>7976151</v>
      </c>
    </row>
    <row r="95" spans="1:8" ht="13.2" customHeight="1">
      <c r="A95" s="386" t="s">
        <v>602</v>
      </c>
      <c r="B95" s="417">
        <v>188771341.65000001</v>
      </c>
      <c r="C95" s="417">
        <v>11069129</v>
      </c>
      <c r="D95" s="417">
        <v>7305061.54</v>
      </c>
      <c r="E95" s="417">
        <v>39128010.969999999</v>
      </c>
      <c r="F95" s="417">
        <v>131269140.14</v>
      </c>
      <c r="G95" s="417">
        <v>9675906</v>
      </c>
    </row>
    <row r="96" spans="1:8" ht="13.2" customHeight="1">
      <c r="A96" s="386" t="s">
        <v>605</v>
      </c>
      <c r="B96" s="417">
        <v>158305075.86999997</v>
      </c>
      <c r="C96" s="417">
        <v>11833175.720000001</v>
      </c>
      <c r="D96" s="417">
        <v>7845879</v>
      </c>
      <c r="E96" s="417">
        <v>41489286.630000003</v>
      </c>
      <c r="F96" s="417">
        <v>97136734.519999981</v>
      </c>
      <c r="G96" s="417">
        <v>7892549</v>
      </c>
    </row>
    <row r="97" spans="1:7" ht="10.65" customHeight="1">
      <c r="A97" s="386"/>
      <c r="C97" s="386"/>
      <c r="D97" s="386"/>
      <c r="E97" s="386"/>
      <c r="F97" s="386"/>
      <c r="G97" s="386"/>
    </row>
    <row r="98" spans="1:7" ht="13.2" customHeight="1">
      <c r="A98" s="386" t="s">
        <v>608</v>
      </c>
      <c r="B98" s="417">
        <v>579199848.20000005</v>
      </c>
      <c r="C98" s="417">
        <v>32336036</v>
      </c>
      <c r="D98" s="417">
        <v>21362528.5</v>
      </c>
      <c r="E98" s="417">
        <v>118144699.57000001</v>
      </c>
      <c r="F98" s="417">
        <v>407356584.13</v>
      </c>
      <c r="G98" s="417">
        <v>29783750</v>
      </c>
    </row>
    <row r="99" spans="1:7" ht="13.2" customHeight="1">
      <c r="A99" s="386" t="s">
        <v>611</v>
      </c>
      <c r="B99" s="417">
        <v>277271590.34000003</v>
      </c>
      <c r="C99" s="417">
        <v>20160453.77</v>
      </c>
      <c r="D99" s="417">
        <v>13352162.189999999</v>
      </c>
      <c r="E99" s="417">
        <v>72589311.50999999</v>
      </c>
      <c r="F99" s="417">
        <v>171169662.87</v>
      </c>
      <c r="G99" s="417">
        <v>13759452</v>
      </c>
    </row>
    <row r="100" spans="1:7" ht="13.2" customHeight="1">
      <c r="A100" s="386" t="s">
        <v>614</v>
      </c>
      <c r="B100" s="417">
        <v>163735246.79000002</v>
      </c>
      <c r="C100" s="417">
        <v>12715181.570000002</v>
      </c>
      <c r="D100" s="417">
        <v>8383471.2800000003</v>
      </c>
      <c r="E100" s="417">
        <v>44725400.859999999</v>
      </c>
      <c r="F100" s="417">
        <v>97911193.080000013</v>
      </c>
      <c r="G100" s="417">
        <v>8036473</v>
      </c>
    </row>
    <row r="101" spans="1:7" ht="13.2" customHeight="1">
      <c r="A101" s="386" t="s">
        <v>617</v>
      </c>
      <c r="B101" s="417">
        <v>760636310.32000005</v>
      </c>
      <c r="C101" s="417">
        <v>52529934.159999996</v>
      </c>
      <c r="D101" s="417">
        <v>34790527</v>
      </c>
      <c r="E101" s="417">
        <v>188337590.06999999</v>
      </c>
      <c r="F101" s="417">
        <v>484978259.09000003</v>
      </c>
      <c r="G101" s="417">
        <v>38048459</v>
      </c>
    </row>
    <row r="102" spans="1:7" ht="13.2" customHeight="1">
      <c r="A102" s="386" t="s">
        <v>620</v>
      </c>
      <c r="B102" s="417">
        <v>580108478.01999998</v>
      </c>
      <c r="C102" s="417">
        <v>25723002</v>
      </c>
      <c r="D102" s="417">
        <v>17056827.52</v>
      </c>
      <c r="E102" s="417">
        <v>96059950.140000001</v>
      </c>
      <c r="F102" s="417">
        <v>441268698.36000001</v>
      </c>
      <c r="G102" s="417">
        <v>30324766.259999998</v>
      </c>
    </row>
    <row r="103" spans="1:7" ht="10.65" customHeight="1">
      <c r="A103" s="386"/>
      <c r="C103" s="386"/>
      <c r="D103" s="386"/>
      <c r="E103" s="386"/>
      <c r="F103" s="386"/>
      <c r="G103" s="386"/>
    </row>
    <row r="104" spans="1:7" ht="13.2" customHeight="1">
      <c r="A104" s="386" t="s">
        <v>623</v>
      </c>
      <c r="B104" s="417">
        <v>201667533.99000001</v>
      </c>
      <c r="C104" s="417">
        <v>14900745</v>
      </c>
      <c r="D104" s="417">
        <v>9831947</v>
      </c>
      <c r="E104" s="417">
        <v>52106924.709999993</v>
      </c>
      <c r="F104" s="417">
        <v>124827917.28</v>
      </c>
      <c r="G104" s="417">
        <v>10067143.09</v>
      </c>
    </row>
    <row r="105" spans="1:7" ht="13.2" customHeight="1">
      <c r="A105" s="386" t="s">
        <v>625</v>
      </c>
      <c r="B105" s="417">
        <v>502370745.74000001</v>
      </c>
      <c r="C105" s="417">
        <v>27982828.149999999</v>
      </c>
      <c r="D105" s="417">
        <v>18455663</v>
      </c>
      <c r="E105" s="417">
        <v>101622503.66</v>
      </c>
      <c r="F105" s="417">
        <v>354309750.93000001</v>
      </c>
      <c r="G105" s="417">
        <v>25793316.34</v>
      </c>
    </row>
    <row r="106" spans="1:7" ht="13.2" customHeight="1">
      <c r="A106" s="386" t="s">
        <v>628</v>
      </c>
      <c r="B106" s="417">
        <v>10081353284.480001</v>
      </c>
      <c r="C106" s="417">
        <v>440898817.78999996</v>
      </c>
      <c r="D106" s="417">
        <v>291941192.25999993</v>
      </c>
      <c r="E106" s="417">
        <v>1626130004.2</v>
      </c>
      <c r="F106" s="417">
        <v>7722383270.2300014</v>
      </c>
      <c r="G106" s="417">
        <v>531962099.98000002</v>
      </c>
    </row>
    <row r="107" spans="1:7" ht="13.2" customHeight="1">
      <c r="A107" s="386" t="s">
        <v>630</v>
      </c>
      <c r="B107" s="417">
        <v>423277322.38</v>
      </c>
      <c r="C107" s="417">
        <v>28286692.890000001</v>
      </c>
      <c r="D107" s="417">
        <v>18750546</v>
      </c>
      <c r="E107" s="417">
        <v>102234654.84999999</v>
      </c>
      <c r="F107" s="417">
        <v>274005428.63999999</v>
      </c>
      <c r="G107" s="417">
        <v>21228082.550000001</v>
      </c>
    </row>
    <row r="108" spans="1:7" ht="13.2" customHeight="1">
      <c r="A108" s="386" t="s">
        <v>633</v>
      </c>
      <c r="B108" s="417">
        <v>169037722.67000002</v>
      </c>
      <c r="C108" s="417">
        <v>7275405</v>
      </c>
      <c r="D108" s="417">
        <v>4812107</v>
      </c>
      <c r="E108" s="417">
        <v>26733702.149999999</v>
      </c>
      <c r="F108" s="417">
        <v>130216508.52000001</v>
      </c>
      <c r="G108" s="417">
        <v>8923984.2400000021</v>
      </c>
    </row>
    <row r="109" spans="1:7" ht="10.65" customHeight="1">
      <c r="A109" s="386"/>
      <c r="C109" s="386"/>
      <c r="D109" s="386"/>
      <c r="E109" s="386"/>
      <c r="F109" s="386"/>
      <c r="G109" s="386"/>
    </row>
    <row r="110" spans="1:7" ht="13.2" customHeight="1">
      <c r="A110" s="386" t="s">
        <v>563</v>
      </c>
      <c r="B110" s="417">
        <v>156257036.16999999</v>
      </c>
      <c r="C110" s="417">
        <v>10960666.810000001</v>
      </c>
      <c r="D110" s="417">
        <v>6767039.4299999997</v>
      </c>
      <c r="E110" s="417">
        <v>33386570.829999998</v>
      </c>
      <c r="F110" s="417">
        <v>105142759.09999999</v>
      </c>
      <c r="G110" s="417">
        <v>7977872.4099999992</v>
      </c>
    </row>
    <row r="111" spans="1:7" ht="13.2" customHeight="1">
      <c r="A111" s="386" t="s">
        <v>567</v>
      </c>
      <c r="B111" s="417">
        <v>1914233575.8700001</v>
      </c>
      <c r="C111" s="417">
        <v>91371492.780000001</v>
      </c>
      <c r="D111" s="417">
        <v>60350595.460000001</v>
      </c>
      <c r="E111" s="417">
        <v>335171974.33999997</v>
      </c>
      <c r="F111" s="417">
        <v>1427339513.2900002</v>
      </c>
      <c r="G111" s="417">
        <v>99659831.809999987</v>
      </c>
    </row>
    <row r="112" spans="1:7" ht="13.2" customHeight="1">
      <c r="A112" s="386" t="s">
        <v>640</v>
      </c>
      <c r="B112" s="417">
        <v>300568647.75</v>
      </c>
      <c r="C112" s="417">
        <v>18661570.48</v>
      </c>
      <c r="D112" s="417">
        <v>12340649</v>
      </c>
      <c r="E112" s="417">
        <v>67395873.870000005</v>
      </c>
      <c r="F112" s="417">
        <v>202170554.40000001</v>
      </c>
      <c r="G112" s="417">
        <v>15224453.889999999</v>
      </c>
    </row>
    <row r="113" spans="1:8" ht="13.2" customHeight="1">
      <c r="A113" s="386" t="s">
        <v>643</v>
      </c>
      <c r="B113" s="417">
        <v>1227855561.1499999</v>
      </c>
      <c r="C113" s="417">
        <v>73669426.960000008</v>
      </c>
      <c r="D113" s="417">
        <v>48807853.380000003</v>
      </c>
      <c r="E113" s="417">
        <v>268812673.54000002</v>
      </c>
      <c r="F113" s="417">
        <v>836565607.26999986</v>
      </c>
      <c r="G113" s="417">
        <v>62324827.13000001</v>
      </c>
    </row>
    <row r="114" spans="1:8" ht="13.2" customHeight="1">
      <c r="A114" s="386" t="s">
        <v>646</v>
      </c>
      <c r="B114" s="417">
        <v>344726695.88</v>
      </c>
      <c r="C114" s="417">
        <v>20763835.789999999</v>
      </c>
      <c r="D114" s="417">
        <v>13753915.48</v>
      </c>
      <c r="E114" s="417">
        <v>76049139.100000009</v>
      </c>
      <c r="F114" s="417">
        <v>234159805.50999999</v>
      </c>
      <c r="G114" s="417">
        <v>17545787.93</v>
      </c>
    </row>
    <row r="115" spans="1:8" ht="10.65" customHeight="1">
      <c r="A115" s="386"/>
      <c r="B115" s="403"/>
      <c r="C115" s="403"/>
      <c r="D115" s="403"/>
      <c r="E115" s="403"/>
      <c r="F115" s="403"/>
      <c r="G115" s="403"/>
    </row>
    <row r="116" spans="1:8" ht="13.2" customHeight="1">
      <c r="A116" s="386" t="s">
        <v>522</v>
      </c>
      <c r="B116" s="386">
        <v>239641060.20000005</v>
      </c>
      <c r="C116" s="386">
        <v>17155408.120000001</v>
      </c>
      <c r="D116" s="386">
        <v>11261112.800000001</v>
      </c>
      <c r="E116" s="386">
        <v>61013413.789999999</v>
      </c>
      <c r="F116" s="386">
        <v>150211125.49000004</v>
      </c>
      <c r="G116" s="386">
        <v>11929598.239999998</v>
      </c>
    </row>
    <row r="117" spans="1:8" ht="13.2" customHeight="1">
      <c r="A117" s="386" t="s">
        <v>526</v>
      </c>
      <c r="B117" s="386">
        <v>616512236.59000003</v>
      </c>
      <c r="C117" s="386">
        <v>39391354.810000002</v>
      </c>
      <c r="D117" s="386">
        <v>26087529</v>
      </c>
      <c r="E117" s="386">
        <v>142876618.41000003</v>
      </c>
      <c r="F117" s="386">
        <v>408156734.37</v>
      </c>
      <c r="G117" s="386">
        <v>31148394.109999999</v>
      </c>
    </row>
    <row r="118" spans="1:8" ht="13.2" customHeight="1">
      <c r="A118" s="386" t="s">
        <v>530</v>
      </c>
      <c r="B118" s="386">
        <v>333197458.81000006</v>
      </c>
      <c r="C118" s="386">
        <v>25012683.25</v>
      </c>
      <c r="D118" s="386">
        <v>16588055</v>
      </c>
      <c r="E118" s="386">
        <v>89778433.210000008</v>
      </c>
      <c r="F118" s="386">
        <v>201818287.35000002</v>
      </c>
      <c r="G118" s="386">
        <v>16438162.700000003</v>
      </c>
    </row>
    <row r="119" spans="1:8" ht="13.2" customHeight="1">
      <c r="A119" s="386" t="s">
        <v>534</v>
      </c>
      <c r="B119" s="386">
        <v>226447201.17000002</v>
      </c>
      <c r="C119" s="386">
        <v>15959263.17</v>
      </c>
      <c r="D119" s="386">
        <v>10527329</v>
      </c>
      <c r="E119" s="386">
        <v>56825194.189999998</v>
      </c>
      <c r="F119" s="386">
        <v>143135414.81</v>
      </c>
      <c r="G119" s="386">
        <v>11305785.75</v>
      </c>
    </row>
    <row r="120" spans="1:8" ht="13.2" customHeight="1">
      <c r="A120" s="386" t="s">
        <v>538</v>
      </c>
      <c r="B120" s="386">
        <v>2560777699.8400002</v>
      </c>
      <c r="C120" s="386">
        <v>119484078.56999999</v>
      </c>
      <c r="D120" s="386">
        <v>79171564.530000001</v>
      </c>
      <c r="E120" s="386">
        <v>440385704.04999995</v>
      </c>
      <c r="F120" s="386">
        <v>1921736352.6900001</v>
      </c>
      <c r="G120" s="386">
        <v>134065515.77999999</v>
      </c>
    </row>
    <row r="121" spans="1:8" ht="10.65" customHeight="1">
      <c r="A121" s="386"/>
      <c r="C121" s="386"/>
      <c r="D121" s="386"/>
      <c r="E121" s="386"/>
      <c r="F121" s="386"/>
      <c r="G121" s="386"/>
    </row>
    <row r="122" spans="1:8" ht="13.2" customHeight="1">
      <c r="A122" s="386" t="s">
        <v>542</v>
      </c>
      <c r="B122" s="386">
        <v>3028777984.6399999</v>
      </c>
      <c r="C122" s="386">
        <v>121369206.54000001</v>
      </c>
      <c r="D122" s="386">
        <v>80362265.629999995</v>
      </c>
      <c r="E122" s="386">
        <v>451271210.48999995</v>
      </c>
      <c r="F122" s="386">
        <v>2375775301.98</v>
      </c>
      <c r="G122" s="386">
        <v>160564414.31999999</v>
      </c>
    </row>
    <row r="123" spans="1:8" ht="13.2" customHeight="1">
      <c r="A123" s="386" t="s">
        <v>546</v>
      </c>
      <c r="B123" s="386">
        <v>97967264.169999987</v>
      </c>
      <c r="C123" s="386">
        <v>6950117</v>
      </c>
      <c r="D123" s="386">
        <v>4533254.79</v>
      </c>
      <c r="E123" s="386">
        <v>23829700.299999997</v>
      </c>
      <c r="F123" s="386">
        <v>62654192.079999998</v>
      </c>
      <c r="G123" s="386">
        <v>4924499.3199999994</v>
      </c>
    </row>
    <row r="124" spans="1:8" ht="13.2" customHeight="1">
      <c r="A124" s="386" t="s">
        <v>550</v>
      </c>
      <c r="B124" s="386">
        <v>108826022.53999999</v>
      </c>
      <c r="C124" s="386">
        <v>8428333</v>
      </c>
      <c r="D124" s="386">
        <v>5565620</v>
      </c>
      <c r="E124" s="386">
        <v>29572758.199999999</v>
      </c>
      <c r="F124" s="386">
        <v>65259311.339999996</v>
      </c>
      <c r="G124" s="386">
        <v>5412455.96</v>
      </c>
    </row>
    <row r="125" spans="1:8" ht="13.2" customHeight="1">
      <c r="A125" s="389" t="s">
        <v>554</v>
      </c>
      <c r="B125" s="389">
        <v>631423975.00999999</v>
      </c>
      <c r="C125" s="389">
        <v>34057168.340000004</v>
      </c>
      <c r="D125" s="389">
        <v>22556645</v>
      </c>
      <c r="E125" s="389">
        <v>123550113.77999999</v>
      </c>
      <c r="F125" s="389">
        <v>451260047.88999999</v>
      </c>
      <c r="G125" s="389">
        <v>32593102.640000001</v>
      </c>
    </row>
    <row r="126" spans="1:8" ht="13.2" customHeight="1">
      <c r="A126" s="389" t="s">
        <v>558</v>
      </c>
      <c r="B126" s="389">
        <v>650963943.12999988</v>
      </c>
      <c r="C126" s="389">
        <v>35816488</v>
      </c>
      <c r="D126" s="389">
        <v>23750717.579999998</v>
      </c>
      <c r="E126" s="389">
        <v>130913180.47000001</v>
      </c>
      <c r="F126" s="389">
        <v>460483557.07999992</v>
      </c>
      <c r="G126" s="389">
        <v>33574161.07</v>
      </c>
      <c r="H126" s="396"/>
    </row>
    <row r="127" spans="1:8" ht="17.399999999999999">
      <c r="A127" s="412" t="s">
        <v>847</v>
      </c>
      <c r="B127" s="394"/>
      <c r="C127" s="394"/>
      <c r="D127" s="394"/>
      <c r="E127" s="394"/>
      <c r="F127" s="394"/>
      <c r="G127" s="394"/>
      <c r="H127" s="396"/>
    </row>
    <row r="128" spans="1:8" ht="15.6">
      <c r="A128" s="395" t="s">
        <v>836</v>
      </c>
      <c r="B128" s="394"/>
      <c r="C128" s="394"/>
      <c r="D128" s="394"/>
      <c r="E128" s="394"/>
      <c r="F128" s="394"/>
      <c r="G128" s="394"/>
    </row>
    <row r="129" spans="1:8" ht="15.6">
      <c r="A129" s="395" t="str">
        <f>A3</f>
        <v>Taxable Year 2011</v>
      </c>
      <c r="B129" s="393"/>
      <c r="C129" s="393"/>
      <c r="D129" s="393"/>
      <c r="E129" s="393"/>
      <c r="F129" s="393"/>
      <c r="G129" s="393"/>
    </row>
    <row r="130" spans="1:8" ht="13.2" customHeight="1" thickBot="1">
      <c r="A130" s="396"/>
      <c r="B130" s="394"/>
      <c r="C130" s="394"/>
      <c r="D130" s="394"/>
      <c r="E130" s="394"/>
      <c r="F130" s="394"/>
      <c r="G130" s="394"/>
    </row>
    <row r="131" spans="1:8">
      <c r="A131" s="411"/>
      <c r="B131" s="411" t="s">
        <v>837</v>
      </c>
      <c r="C131" s="411" t="s">
        <v>838</v>
      </c>
      <c r="D131" s="411" t="s">
        <v>839</v>
      </c>
      <c r="E131" s="411" t="s">
        <v>839</v>
      </c>
      <c r="F131" s="411" t="s">
        <v>839</v>
      </c>
      <c r="G131" s="411" t="s">
        <v>840</v>
      </c>
      <c r="H131" s="396"/>
    </row>
    <row r="132" spans="1:8" ht="13.2" customHeight="1">
      <c r="A132" s="397" t="s">
        <v>33</v>
      </c>
      <c r="B132" s="397" t="s">
        <v>841</v>
      </c>
      <c r="C132" s="397" t="s">
        <v>842</v>
      </c>
      <c r="D132" s="397" t="s">
        <v>843</v>
      </c>
      <c r="E132" s="397" t="s">
        <v>844</v>
      </c>
      <c r="F132" s="397" t="s">
        <v>845</v>
      </c>
      <c r="G132" s="397" t="s">
        <v>846</v>
      </c>
    </row>
    <row r="133" spans="1:8" ht="10.65" customHeight="1">
      <c r="A133" s="389"/>
      <c r="B133" s="394"/>
      <c r="C133" s="394"/>
      <c r="D133" s="394"/>
      <c r="E133" s="394"/>
      <c r="F133" s="394"/>
      <c r="G133" s="394"/>
    </row>
    <row r="134" spans="1:8" ht="13.2" customHeight="1">
      <c r="A134" s="386" t="s">
        <v>562</v>
      </c>
      <c r="B134" s="885">
        <v>1050040360.3200001</v>
      </c>
      <c r="C134" s="885">
        <v>50145159.009999998</v>
      </c>
      <c r="D134" s="885">
        <v>32881159.870000001</v>
      </c>
      <c r="E134" s="885">
        <v>178340959.43000004</v>
      </c>
      <c r="F134" s="885">
        <v>788673082.00999999</v>
      </c>
      <c r="G134" s="885">
        <v>55014421.080000006</v>
      </c>
    </row>
    <row r="135" spans="1:8" ht="13.2" customHeight="1">
      <c r="A135" s="386" t="s">
        <v>566</v>
      </c>
      <c r="B135" s="386">
        <v>238096853.65000001</v>
      </c>
      <c r="C135" s="386">
        <v>15269028</v>
      </c>
      <c r="D135" s="386">
        <v>10085316</v>
      </c>
      <c r="E135" s="386">
        <v>53427855.219999999</v>
      </c>
      <c r="F135" s="386">
        <v>159314654.43000001</v>
      </c>
      <c r="G135" s="386">
        <v>12120156.510000004</v>
      </c>
    </row>
    <row r="136" spans="1:8" ht="13.2" customHeight="1">
      <c r="A136" s="386" t="s">
        <v>570</v>
      </c>
      <c r="B136" s="386">
        <v>486152371.72000003</v>
      </c>
      <c r="C136" s="386">
        <v>29003152</v>
      </c>
      <c r="D136" s="386">
        <v>19194065.23</v>
      </c>
      <c r="E136" s="386">
        <v>104927428.75999999</v>
      </c>
      <c r="F136" s="386">
        <v>333027725.73000002</v>
      </c>
      <c r="G136" s="386">
        <v>24867373.799999997</v>
      </c>
    </row>
    <row r="137" spans="1:8" ht="13.2" customHeight="1">
      <c r="A137" s="386" t="s">
        <v>574</v>
      </c>
      <c r="B137" s="386">
        <v>342870409.19999993</v>
      </c>
      <c r="C137" s="386">
        <v>23920230.640000001</v>
      </c>
      <c r="D137" s="386">
        <v>15829321.9</v>
      </c>
      <c r="E137" s="386">
        <v>85881319.449999988</v>
      </c>
      <c r="F137" s="386">
        <v>217239537.20999998</v>
      </c>
      <c r="G137" s="386">
        <v>17079908.09</v>
      </c>
    </row>
    <row r="138" spans="1:8" ht="13.2" customHeight="1">
      <c r="A138" s="389" t="s">
        <v>578</v>
      </c>
      <c r="B138" s="386">
        <v>1427358306.0200002</v>
      </c>
      <c r="C138" s="386">
        <v>59373689.450000003</v>
      </c>
      <c r="D138" s="386">
        <v>39266843.969999999</v>
      </c>
      <c r="E138" s="386">
        <v>219108799.78</v>
      </c>
      <c r="F138" s="386">
        <v>1109608972.8200002</v>
      </c>
      <c r="G138" s="386">
        <v>75313675.939999998</v>
      </c>
    </row>
    <row r="139" spans="1:8" ht="10.65" customHeight="1">
      <c r="A139" s="389"/>
      <c r="C139" s="386"/>
      <c r="D139" s="386"/>
      <c r="E139" s="386"/>
      <c r="F139" s="386"/>
      <c r="G139" s="386"/>
    </row>
    <row r="140" spans="1:8" ht="13.2" customHeight="1">
      <c r="A140" s="407" t="s">
        <v>34</v>
      </c>
      <c r="B140" s="390">
        <f t="shared" ref="B140:G140" si="0">SUM(B8:B138)</f>
        <v>138592364428.72995</v>
      </c>
      <c r="C140" s="390">
        <f t="shared" si="0"/>
        <v>5561714803.8500004</v>
      </c>
      <c r="D140" s="390">
        <f t="shared" si="0"/>
        <v>3678564488.77</v>
      </c>
      <c r="E140" s="390">
        <f t="shared" si="0"/>
        <v>20459722811.949989</v>
      </c>
      <c r="F140" s="390">
        <f t="shared" si="0"/>
        <v>108892362324.15999</v>
      </c>
      <c r="G140" s="390">
        <f t="shared" si="0"/>
        <v>7359361067.1699991</v>
      </c>
    </row>
    <row r="141" spans="1:8" ht="13.2" customHeight="1">
      <c r="A141" s="401"/>
      <c r="B141" s="406"/>
      <c r="C141" s="406"/>
      <c r="D141" s="406"/>
      <c r="E141" s="406"/>
      <c r="F141" s="406"/>
      <c r="G141" s="406"/>
    </row>
    <row r="142" spans="1:8" ht="13.2" customHeight="1" thickBot="1">
      <c r="A142" s="401"/>
      <c r="B142" s="401"/>
      <c r="C142" s="401"/>
      <c r="D142" s="401"/>
      <c r="E142" s="401"/>
      <c r="F142" s="401"/>
      <c r="G142" s="401"/>
    </row>
    <row r="143" spans="1:8">
      <c r="A143" s="411"/>
      <c r="B143" s="411" t="s">
        <v>837</v>
      </c>
      <c r="C143" s="411" t="s">
        <v>838</v>
      </c>
      <c r="D143" s="411" t="s">
        <v>839</v>
      </c>
      <c r="E143" s="411" t="s">
        <v>839</v>
      </c>
      <c r="F143" s="411" t="s">
        <v>839</v>
      </c>
      <c r="G143" s="411" t="s">
        <v>840</v>
      </c>
      <c r="H143" s="396"/>
    </row>
    <row r="144" spans="1:8" ht="13.2" customHeight="1">
      <c r="A144" s="397" t="s">
        <v>35</v>
      </c>
      <c r="B144" s="397" t="s">
        <v>841</v>
      </c>
      <c r="C144" s="397" t="s">
        <v>842</v>
      </c>
      <c r="D144" s="397" t="s">
        <v>843</v>
      </c>
      <c r="E144" s="397" t="s">
        <v>844</v>
      </c>
      <c r="F144" s="397" t="s">
        <v>845</v>
      </c>
      <c r="G144" s="397" t="s">
        <v>846</v>
      </c>
    </row>
    <row r="145" spans="1:7" ht="10.65" customHeight="1">
      <c r="A145" s="402"/>
      <c r="B145" s="402"/>
      <c r="C145" s="402"/>
      <c r="D145" s="402"/>
      <c r="E145" s="402"/>
      <c r="F145" s="402"/>
      <c r="G145" s="402"/>
    </row>
    <row r="146" spans="1:7" ht="13.2" customHeight="1">
      <c r="A146" s="389" t="s">
        <v>595</v>
      </c>
      <c r="B146" s="384">
        <v>5778389719.5400019</v>
      </c>
      <c r="C146" s="384">
        <v>203180673.09999999</v>
      </c>
      <c r="D146" s="384">
        <v>133676669.92999999</v>
      </c>
      <c r="E146" s="384">
        <v>746503567.10000002</v>
      </c>
      <c r="F146" s="384">
        <v>4695028809.4100018</v>
      </c>
      <c r="G146" s="384">
        <v>312114736.46999997</v>
      </c>
    </row>
    <row r="147" spans="1:7" ht="13.2" customHeight="1">
      <c r="A147" s="386" t="s">
        <v>556</v>
      </c>
      <c r="B147" s="386">
        <v>70167133.409999996</v>
      </c>
      <c r="C147" s="386">
        <v>5440574.9500000002</v>
      </c>
      <c r="D147" s="386">
        <v>3571482</v>
      </c>
      <c r="E147" s="386">
        <v>18911739.370000001</v>
      </c>
      <c r="F147" s="386">
        <v>42243337.090000004</v>
      </c>
      <c r="G147" s="386">
        <v>3466610.94</v>
      </c>
    </row>
    <row r="148" spans="1:7" ht="13.2" customHeight="1">
      <c r="A148" s="386" t="s">
        <v>600</v>
      </c>
      <c r="B148" s="386">
        <v>286913397.36000001</v>
      </c>
      <c r="C148" s="386">
        <v>25366497.18</v>
      </c>
      <c r="D148" s="386">
        <v>16155997.5</v>
      </c>
      <c r="E148" s="386">
        <v>80536176.390000001</v>
      </c>
      <c r="F148" s="386">
        <v>164854726.29000002</v>
      </c>
      <c r="G148" s="386">
        <v>14203119.42</v>
      </c>
    </row>
    <row r="149" spans="1:7" ht="13.2" customHeight="1">
      <c r="A149" s="386" t="s">
        <v>603</v>
      </c>
      <c r="B149" s="386">
        <v>62489098.440000005</v>
      </c>
      <c r="C149" s="386">
        <v>5281910.21</v>
      </c>
      <c r="D149" s="386">
        <v>3492756</v>
      </c>
      <c r="E149" s="386">
        <v>18914794</v>
      </c>
      <c r="F149" s="386">
        <v>34799638.230000004</v>
      </c>
      <c r="G149" s="386">
        <v>3029953.39</v>
      </c>
    </row>
    <row r="150" spans="1:7" ht="13.2" customHeight="1">
      <c r="A150" s="386" t="s">
        <v>606</v>
      </c>
      <c r="B150" s="883">
        <v>1019981955.72</v>
      </c>
      <c r="C150" s="883">
        <v>41688426.659999996</v>
      </c>
      <c r="D150" s="883">
        <v>27132181.149999999</v>
      </c>
      <c r="E150" s="883">
        <v>146170078.17000002</v>
      </c>
      <c r="F150" s="883">
        <v>804991269.74000001</v>
      </c>
      <c r="G150" s="883">
        <v>54522971.159999996</v>
      </c>
    </row>
    <row r="151" spans="1:7" ht="10.65" customHeight="1">
      <c r="A151" s="386"/>
      <c r="C151" s="386"/>
      <c r="D151" s="386"/>
      <c r="E151" s="386"/>
      <c r="F151" s="386"/>
      <c r="G151" s="386"/>
    </row>
    <row r="152" spans="1:7" ht="13.2" customHeight="1">
      <c r="A152" s="386" t="s">
        <v>609</v>
      </c>
      <c r="B152" s="386">
        <v>3963622142.3199997</v>
      </c>
      <c r="C152" s="386">
        <v>213215035.98999998</v>
      </c>
      <c r="D152" s="386">
        <v>140636700.41</v>
      </c>
      <c r="E152" s="386">
        <v>765408102.52999997</v>
      </c>
      <c r="F152" s="386">
        <v>2844362303.3899999</v>
      </c>
      <c r="G152" s="386">
        <v>204944405.81</v>
      </c>
    </row>
    <row r="153" spans="1:7" ht="13.2" customHeight="1">
      <c r="A153" s="386" t="s">
        <v>612</v>
      </c>
      <c r="B153" s="386">
        <v>260231651.98999995</v>
      </c>
      <c r="C153" s="386">
        <v>17250430.960000001</v>
      </c>
      <c r="D153" s="386">
        <v>11398581</v>
      </c>
      <c r="E153" s="386">
        <v>61623734.049999997</v>
      </c>
      <c r="F153" s="386">
        <v>169958905.97999996</v>
      </c>
      <c r="G153" s="386">
        <v>13167891.569999998</v>
      </c>
    </row>
    <row r="154" spans="1:7" ht="13.2" customHeight="1">
      <c r="A154" s="386" t="s">
        <v>615</v>
      </c>
      <c r="B154" s="386">
        <v>66043162.420000002</v>
      </c>
      <c r="C154" s="386">
        <v>5331282.7699999996</v>
      </c>
      <c r="D154" s="386">
        <v>3485751</v>
      </c>
      <c r="E154" s="386">
        <v>18520532.670000002</v>
      </c>
      <c r="F154" s="386">
        <v>38705595.980000004</v>
      </c>
      <c r="G154" s="386">
        <v>3255425.68</v>
      </c>
    </row>
    <row r="155" spans="1:7" ht="13.2" customHeight="1">
      <c r="A155" s="386" t="s">
        <v>618</v>
      </c>
      <c r="B155" s="386">
        <v>529871039.80999994</v>
      </c>
      <c r="C155" s="386">
        <v>39205306.270000011</v>
      </c>
      <c r="D155" s="386">
        <v>25660580</v>
      </c>
      <c r="E155" s="386">
        <v>129019622</v>
      </c>
      <c r="F155" s="386">
        <v>335985531.53999996</v>
      </c>
      <c r="G155" s="386">
        <v>26781628.139999997</v>
      </c>
    </row>
    <row r="156" spans="1:7" ht="13.2" customHeight="1">
      <c r="A156" s="386" t="s">
        <v>621</v>
      </c>
      <c r="B156" s="386">
        <v>61778984.039999992</v>
      </c>
      <c r="C156" s="386">
        <v>5212860.3099999996</v>
      </c>
      <c r="D156" s="386">
        <v>3389595</v>
      </c>
      <c r="E156" s="386">
        <v>16796464.399999999</v>
      </c>
      <c r="F156" s="386">
        <v>36380064.329999998</v>
      </c>
      <c r="G156" s="386">
        <v>3090410.8899999997</v>
      </c>
    </row>
    <row r="157" spans="1:7" ht="10.65" customHeight="1">
      <c r="A157" s="386"/>
      <c r="C157" s="386"/>
      <c r="D157" s="386"/>
      <c r="E157" s="386"/>
      <c r="F157" s="386"/>
      <c r="G157" s="386"/>
    </row>
    <row r="158" spans="1:7" ht="13.2" customHeight="1">
      <c r="A158" s="386" t="s">
        <v>616</v>
      </c>
      <c r="B158" s="386">
        <v>875789590.25999999</v>
      </c>
      <c r="C158" s="386">
        <v>34512503.289999992</v>
      </c>
      <c r="D158" s="386">
        <v>22535726.039999999</v>
      </c>
      <c r="E158" s="386">
        <v>123700799.88000001</v>
      </c>
      <c r="F158" s="386">
        <v>695040561.04999995</v>
      </c>
      <c r="G158" s="386">
        <v>46773373.870000012</v>
      </c>
    </row>
    <row r="159" spans="1:7" ht="13.2" customHeight="1">
      <c r="A159" s="386" t="s">
        <v>626</v>
      </c>
      <c r="B159" s="386">
        <v>665318693.66999996</v>
      </c>
      <c r="C159" s="386">
        <v>17591326.949999999</v>
      </c>
      <c r="D159" s="386">
        <v>11520100.15</v>
      </c>
      <c r="E159" s="386">
        <v>64690840.030000001</v>
      </c>
      <c r="F159" s="386">
        <v>571516426.53999996</v>
      </c>
      <c r="G159" s="386">
        <v>36357978.829999998</v>
      </c>
    </row>
    <row r="160" spans="1:7" ht="13.2" customHeight="1">
      <c r="A160" s="386" t="s">
        <v>36</v>
      </c>
      <c r="B160" s="386">
        <v>92340429.569999993</v>
      </c>
      <c r="C160" s="386">
        <v>7215821.9199999999</v>
      </c>
      <c r="D160" s="386">
        <v>4720301</v>
      </c>
      <c r="E160" s="386">
        <v>24062059.900000002</v>
      </c>
      <c r="F160" s="386">
        <v>56342246.75</v>
      </c>
      <c r="G160" s="386">
        <v>4618596.4400000004</v>
      </c>
    </row>
    <row r="161" spans="1:8" ht="13.2" customHeight="1">
      <c r="A161" s="386" t="s">
        <v>631</v>
      </c>
      <c r="B161" s="386">
        <v>558924385.02999997</v>
      </c>
      <c r="C161" s="386">
        <v>27393261.84</v>
      </c>
      <c r="D161" s="386">
        <v>18008171</v>
      </c>
      <c r="E161" s="386">
        <v>96794897.829999998</v>
      </c>
      <c r="F161" s="386">
        <v>416728054.35999995</v>
      </c>
      <c r="G161" s="386">
        <v>29458564.749999996</v>
      </c>
    </row>
    <row r="162" spans="1:8" ht="13.2" customHeight="1">
      <c r="A162" s="386" t="s">
        <v>634</v>
      </c>
      <c r="B162" s="386">
        <v>77090738.189999998</v>
      </c>
      <c r="C162" s="386">
        <v>6081179.9699999997</v>
      </c>
      <c r="D162" s="386">
        <v>3997194.02</v>
      </c>
      <c r="E162" s="386">
        <v>20255408.57</v>
      </c>
      <c r="F162" s="386">
        <v>46756955.629999995</v>
      </c>
      <c r="G162" s="386">
        <v>3823071.6100000003</v>
      </c>
    </row>
    <row r="163" spans="1:8" ht="10.65" customHeight="1">
      <c r="A163" s="386"/>
      <c r="C163" s="386"/>
      <c r="D163" s="386"/>
      <c r="E163" s="386"/>
      <c r="F163" s="386"/>
      <c r="G163" s="386"/>
    </row>
    <row r="164" spans="1:8" ht="13.2" customHeight="1">
      <c r="A164" s="386" t="s">
        <v>636</v>
      </c>
      <c r="B164" s="386">
        <v>1692665562.8300002</v>
      </c>
      <c r="C164" s="386">
        <v>117044998.90000001</v>
      </c>
      <c r="D164" s="386">
        <v>77205669.829999998</v>
      </c>
      <c r="E164" s="386">
        <v>411257407.43000001</v>
      </c>
      <c r="F164" s="386">
        <v>1087157486.6700001</v>
      </c>
      <c r="G164" s="386">
        <v>85546671.349999994</v>
      </c>
    </row>
    <row r="165" spans="1:8" ht="13.2" customHeight="1">
      <c r="A165" s="386" t="s">
        <v>638</v>
      </c>
      <c r="B165" s="386">
        <v>424982460.32000005</v>
      </c>
      <c r="C165" s="386">
        <v>31390945.600000001</v>
      </c>
      <c r="D165" s="386">
        <v>20707189.060000002</v>
      </c>
      <c r="E165" s="386">
        <v>107481360.54000002</v>
      </c>
      <c r="F165" s="386">
        <v>265402965.12</v>
      </c>
      <c r="G165" s="386">
        <v>21318839.34</v>
      </c>
    </row>
    <row r="166" spans="1:8" ht="13.2" customHeight="1">
      <c r="A166" s="386" t="s">
        <v>641</v>
      </c>
      <c r="B166" s="386">
        <v>225564303.53999999</v>
      </c>
      <c r="C166" s="386">
        <v>19160873.579999998</v>
      </c>
      <c r="D166" s="386">
        <v>12633506</v>
      </c>
      <c r="E166" s="386">
        <v>65848925.359999999</v>
      </c>
      <c r="F166" s="386">
        <v>127920998.59999999</v>
      </c>
      <c r="G166" s="386">
        <v>11133466.51</v>
      </c>
    </row>
    <row r="167" spans="1:8" ht="13.2" customHeight="1">
      <c r="A167" s="389" t="s">
        <v>644</v>
      </c>
      <c r="B167" s="884">
        <v>121670985.56999999</v>
      </c>
      <c r="C167" s="884">
        <v>4971307.5999999996</v>
      </c>
      <c r="D167" s="884">
        <v>3234467</v>
      </c>
      <c r="E167" s="884">
        <v>17404918.84</v>
      </c>
      <c r="F167" s="884">
        <v>96060292.129999995</v>
      </c>
      <c r="G167" s="884">
        <v>6479143.6199999992</v>
      </c>
    </row>
    <row r="168" spans="1:8" ht="13.2" customHeight="1">
      <c r="A168" s="398" t="s">
        <v>647</v>
      </c>
      <c r="B168" s="389">
        <v>996935432.3499999</v>
      </c>
      <c r="C168" s="389">
        <v>59625677.539999999</v>
      </c>
      <c r="D168" s="389">
        <v>39323241.240000002</v>
      </c>
      <c r="E168" s="389">
        <v>207420630.24999997</v>
      </c>
      <c r="F168" s="389">
        <v>690565883.31999993</v>
      </c>
      <c r="G168" s="389">
        <v>51230666.979999997</v>
      </c>
      <c r="H168" s="396"/>
    </row>
    <row r="169" spans="1:8" ht="17.399999999999999">
      <c r="A169" s="412" t="s">
        <v>847</v>
      </c>
      <c r="B169" s="394"/>
      <c r="C169" s="394"/>
      <c r="D169" s="394"/>
      <c r="E169" s="394"/>
      <c r="F169" s="394"/>
      <c r="G169" s="394"/>
      <c r="H169" s="396"/>
    </row>
    <row r="170" spans="1:8" ht="15.6">
      <c r="A170" s="395" t="s">
        <v>836</v>
      </c>
      <c r="B170" s="394"/>
      <c r="C170" s="394"/>
      <c r="D170" s="394"/>
      <c r="E170" s="394"/>
      <c r="F170" s="394"/>
      <c r="G170" s="394"/>
    </row>
    <row r="171" spans="1:8" ht="15.6">
      <c r="A171" s="395" t="str">
        <f>A3</f>
        <v>Taxable Year 2011</v>
      </c>
      <c r="B171" s="393"/>
      <c r="C171" s="393"/>
      <c r="D171" s="393"/>
      <c r="E171" s="393"/>
      <c r="F171" s="393"/>
      <c r="G171" s="393"/>
    </row>
    <row r="172" spans="1:8" ht="13.2" customHeight="1" thickBot="1">
      <c r="A172" s="396"/>
      <c r="B172" s="394"/>
      <c r="C172" s="394"/>
      <c r="D172" s="394"/>
      <c r="E172" s="394"/>
      <c r="F172" s="394"/>
      <c r="G172" s="394"/>
    </row>
    <row r="173" spans="1:8">
      <c r="A173" s="411"/>
      <c r="B173" s="411" t="s">
        <v>837</v>
      </c>
      <c r="C173" s="411" t="s">
        <v>838</v>
      </c>
      <c r="D173" s="411" t="s">
        <v>839</v>
      </c>
      <c r="E173" s="411" t="s">
        <v>839</v>
      </c>
      <c r="F173" s="411" t="s">
        <v>839</v>
      </c>
      <c r="G173" s="411" t="s">
        <v>840</v>
      </c>
      <c r="H173" s="396"/>
    </row>
    <row r="174" spans="1:8" ht="13.2" customHeight="1">
      <c r="A174" s="397" t="s">
        <v>35</v>
      </c>
      <c r="B174" s="397" t="s">
        <v>841</v>
      </c>
      <c r="C174" s="397" t="s">
        <v>842</v>
      </c>
      <c r="D174" s="397" t="s">
        <v>843</v>
      </c>
      <c r="E174" s="397" t="s">
        <v>844</v>
      </c>
      <c r="F174" s="397" t="s">
        <v>845</v>
      </c>
      <c r="G174" s="397" t="s">
        <v>846</v>
      </c>
    </row>
    <row r="175" spans="1:8" ht="10.65" customHeight="1">
      <c r="A175" s="384"/>
      <c r="C175" s="384"/>
      <c r="D175" s="384"/>
      <c r="E175" s="384"/>
      <c r="F175" s="384"/>
      <c r="G175" s="384"/>
    </row>
    <row r="176" spans="1:8" ht="13.2" customHeight="1">
      <c r="A176" s="384" t="s">
        <v>523</v>
      </c>
      <c r="B176" s="384">
        <v>760986469.3599999</v>
      </c>
      <c r="C176" s="384">
        <v>42240592.450000003</v>
      </c>
      <c r="D176" s="384">
        <v>27880391.850000001</v>
      </c>
      <c r="E176" s="384">
        <v>151302013.38999999</v>
      </c>
      <c r="F176" s="384">
        <v>539563471.66999996</v>
      </c>
      <c r="G176" s="384">
        <v>39419050.619999997</v>
      </c>
    </row>
    <row r="177" spans="1:7" ht="13.2" customHeight="1">
      <c r="A177" s="386" t="s">
        <v>527</v>
      </c>
      <c r="B177" s="386">
        <v>259847497.22999999</v>
      </c>
      <c r="C177" s="386">
        <v>16134146.07</v>
      </c>
      <c r="D177" s="386">
        <v>10689795.75</v>
      </c>
      <c r="E177" s="386">
        <v>58173616.860000007</v>
      </c>
      <c r="F177" s="386">
        <v>174849938.54999998</v>
      </c>
      <c r="G177" s="386">
        <v>13311629.879999999</v>
      </c>
    </row>
    <row r="178" spans="1:7" ht="13.2" customHeight="1">
      <c r="A178" s="386" t="s">
        <v>531</v>
      </c>
      <c r="B178" s="386">
        <v>158063034.44</v>
      </c>
      <c r="C178" s="386">
        <v>11910372.969999999</v>
      </c>
      <c r="D178" s="386">
        <v>7772016.7800000003</v>
      </c>
      <c r="E178" s="386">
        <v>38740159.100000001</v>
      </c>
      <c r="F178" s="386">
        <v>99640485.590000004</v>
      </c>
      <c r="G178" s="386">
        <v>7967762.1600000001</v>
      </c>
    </row>
    <row r="179" spans="1:7" ht="13.2" customHeight="1">
      <c r="A179" s="386" t="s">
        <v>535</v>
      </c>
      <c r="B179" s="386">
        <v>2316807326.5599999</v>
      </c>
      <c r="C179" s="386">
        <v>159309041.31</v>
      </c>
      <c r="D179" s="386">
        <v>105189222.97999999</v>
      </c>
      <c r="E179" s="386">
        <v>559356119.04000008</v>
      </c>
      <c r="F179" s="386">
        <v>1492952943.23</v>
      </c>
      <c r="G179" s="386">
        <v>117378119.00999999</v>
      </c>
    </row>
    <row r="180" spans="1:7" ht="13.2" customHeight="1">
      <c r="A180" s="386" t="s">
        <v>539</v>
      </c>
      <c r="B180" s="386">
        <v>2712644304.6199999</v>
      </c>
      <c r="C180" s="386">
        <v>180736128.53999999</v>
      </c>
      <c r="D180" s="386">
        <v>118890481.36000001</v>
      </c>
      <c r="E180" s="386">
        <v>613906046.72000003</v>
      </c>
      <c r="F180" s="386">
        <v>1799111648</v>
      </c>
      <c r="G180" s="386">
        <v>138778882.25</v>
      </c>
    </row>
    <row r="181" spans="1:7" ht="10.65" customHeight="1">
      <c r="A181" s="386"/>
      <c r="C181" s="386"/>
      <c r="D181" s="386"/>
      <c r="E181" s="386"/>
      <c r="F181" s="386"/>
      <c r="G181" s="386"/>
    </row>
    <row r="182" spans="1:7" ht="13.2" customHeight="1">
      <c r="A182" s="386" t="s">
        <v>543</v>
      </c>
      <c r="B182" s="386">
        <v>64603175.899999991</v>
      </c>
      <c r="C182" s="386">
        <v>4683799</v>
      </c>
      <c r="D182" s="386">
        <v>3062886</v>
      </c>
      <c r="E182" s="386">
        <v>16112201.379999999</v>
      </c>
      <c r="F182" s="386">
        <v>40744289.519999996</v>
      </c>
      <c r="G182" s="386">
        <v>3241506.3499999996</v>
      </c>
    </row>
    <row r="183" spans="1:7" ht="13.2" customHeight="1">
      <c r="A183" s="386" t="s">
        <v>547</v>
      </c>
      <c r="B183" s="386">
        <v>291272089.79999995</v>
      </c>
      <c r="C183" s="386">
        <v>28414488.399999999</v>
      </c>
      <c r="D183" s="386">
        <v>18708014</v>
      </c>
      <c r="E183" s="386">
        <v>93632418.959999993</v>
      </c>
      <c r="F183" s="386">
        <v>150517168.44</v>
      </c>
      <c r="G183" s="386">
        <v>14222844.750000002</v>
      </c>
    </row>
    <row r="184" spans="1:7" ht="13.2" customHeight="1">
      <c r="A184" s="386" t="s">
        <v>551</v>
      </c>
      <c r="B184" s="386">
        <v>310705036.88999999</v>
      </c>
      <c r="C184" s="386">
        <v>11917298</v>
      </c>
      <c r="D184" s="386">
        <v>7902862.1799999997</v>
      </c>
      <c r="E184" s="386">
        <v>44604975.240000002</v>
      </c>
      <c r="F184" s="386">
        <v>246279901.47</v>
      </c>
      <c r="G184" s="386">
        <v>16468070.52</v>
      </c>
    </row>
    <row r="185" spans="1:7" ht="13.2" customHeight="1">
      <c r="A185" s="386" t="s">
        <v>555</v>
      </c>
      <c r="B185" s="386">
        <v>1133661789.71</v>
      </c>
      <c r="C185" s="386">
        <v>87642843.060000002</v>
      </c>
      <c r="D185" s="386">
        <v>57848871.93</v>
      </c>
      <c r="E185" s="386">
        <v>300694837.26999998</v>
      </c>
      <c r="F185" s="386">
        <v>687475237.44999993</v>
      </c>
      <c r="G185" s="386">
        <v>56749679.460000008</v>
      </c>
    </row>
    <row r="186" spans="1:7" ht="13.2" customHeight="1">
      <c r="A186" s="386" t="s">
        <v>559</v>
      </c>
      <c r="B186" s="386">
        <v>182375572</v>
      </c>
      <c r="C186" s="386">
        <v>9308673.2300000004</v>
      </c>
      <c r="D186" s="386">
        <v>6144516.1600000001</v>
      </c>
      <c r="E186" s="386">
        <v>33152468.629999999</v>
      </c>
      <c r="F186" s="386">
        <v>133769913.98</v>
      </c>
      <c r="G186" s="386">
        <v>9489211.5800000001</v>
      </c>
    </row>
    <row r="187" spans="1:7" ht="10.65" customHeight="1">
      <c r="A187" s="386"/>
      <c r="C187" s="386"/>
      <c r="D187" s="386"/>
      <c r="E187" s="386"/>
      <c r="F187" s="386"/>
      <c r="G187" s="386"/>
    </row>
    <row r="188" spans="1:7" ht="13.2" customHeight="1">
      <c r="A188" s="386" t="s">
        <v>563</v>
      </c>
      <c r="B188" s="386">
        <v>3796175746.9599996</v>
      </c>
      <c r="C188" s="386">
        <v>191869781.88999999</v>
      </c>
      <c r="D188" s="386">
        <v>125745944.74999999</v>
      </c>
      <c r="E188" s="386">
        <v>656777406.28000009</v>
      </c>
      <c r="F188" s="386">
        <v>2821782614.0399995</v>
      </c>
      <c r="G188" s="386">
        <v>200335707.09999999</v>
      </c>
    </row>
    <row r="189" spans="1:7" ht="13.2" customHeight="1">
      <c r="A189" s="386" t="s">
        <v>37</v>
      </c>
      <c r="B189" s="386">
        <v>1334638047.6599998</v>
      </c>
      <c r="C189" s="386">
        <v>89327232.75</v>
      </c>
      <c r="D189" s="386">
        <v>58968076.799999997</v>
      </c>
      <c r="E189" s="386">
        <v>309880349.93000001</v>
      </c>
      <c r="F189" s="386">
        <v>876462388.17999995</v>
      </c>
      <c r="G189" s="386">
        <v>67963162.980000004</v>
      </c>
    </row>
    <row r="190" spans="1:7" ht="13.2" customHeight="1">
      <c r="A190" s="386" t="s">
        <v>571</v>
      </c>
      <c r="B190" s="386">
        <v>433607114.14999998</v>
      </c>
      <c r="C190" s="386">
        <v>23639067.52</v>
      </c>
      <c r="D190" s="386">
        <v>15626660.379999999</v>
      </c>
      <c r="E190" s="386">
        <v>85668528.149999991</v>
      </c>
      <c r="F190" s="386">
        <v>308672858.10000002</v>
      </c>
      <c r="G190" s="386">
        <v>22349223.719999999</v>
      </c>
    </row>
    <row r="191" spans="1:7" ht="13.2" customHeight="1">
      <c r="A191" s="386" t="s">
        <v>575</v>
      </c>
      <c r="B191" s="386">
        <v>335994320.22000003</v>
      </c>
      <c r="C191" s="386">
        <v>22126879</v>
      </c>
      <c r="D191" s="386">
        <v>14640788.550000001</v>
      </c>
      <c r="E191" s="386">
        <v>79124556.200000003</v>
      </c>
      <c r="F191" s="386">
        <v>220102096.47</v>
      </c>
      <c r="G191" s="386">
        <v>16982620.719999999</v>
      </c>
    </row>
    <row r="192" spans="1:7" ht="13.2" customHeight="1">
      <c r="A192" s="386" t="s">
        <v>579</v>
      </c>
      <c r="B192" s="386">
        <v>1432425572.2</v>
      </c>
      <c r="C192" s="386">
        <v>77255001.099999994</v>
      </c>
      <c r="D192" s="386">
        <v>50936782.600000001</v>
      </c>
      <c r="E192" s="386">
        <v>273532388.19000006</v>
      </c>
      <c r="F192" s="386">
        <v>1030701400.3100001</v>
      </c>
      <c r="G192" s="386">
        <v>74116401.260000005</v>
      </c>
    </row>
    <row r="193" spans="1:8" ht="10.65" customHeight="1">
      <c r="A193" s="386"/>
      <c r="C193" s="386"/>
      <c r="D193" s="386"/>
      <c r="E193" s="386"/>
      <c r="F193" s="386"/>
      <c r="G193" s="386"/>
    </row>
    <row r="194" spans="1:8" ht="13.2" customHeight="1">
      <c r="A194" s="386" t="s">
        <v>38</v>
      </c>
      <c r="B194" s="386">
        <v>8535934002.6800003</v>
      </c>
      <c r="C194" s="386">
        <v>413544493.96999997</v>
      </c>
      <c r="D194" s="386">
        <v>272867655.40999997</v>
      </c>
      <c r="E194" s="386">
        <v>1488678336.7900002</v>
      </c>
      <c r="F194" s="386">
        <v>6360843516.5100002</v>
      </c>
      <c r="G194" s="386">
        <v>447253950.56999999</v>
      </c>
    </row>
    <row r="195" spans="1:8" ht="13.2" customHeight="1">
      <c r="A195" s="386" t="s">
        <v>584</v>
      </c>
      <c r="B195" s="386">
        <v>266491182.50000003</v>
      </c>
      <c r="C195" s="386">
        <v>19208915.339999996</v>
      </c>
      <c r="D195" s="386">
        <v>12716219</v>
      </c>
      <c r="E195" s="386">
        <v>68299625.590000004</v>
      </c>
      <c r="F195" s="386">
        <v>166266422.57000002</v>
      </c>
      <c r="G195" s="386">
        <v>13319401.290000001</v>
      </c>
    </row>
    <row r="196" spans="1:8" ht="13.2" customHeight="1">
      <c r="A196" s="386" t="s">
        <v>587</v>
      </c>
      <c r="B196" s="386">
        <v>232744188.12</v>
      </c>
      <c r="C196" s="386">
        <v>12050706.359999999</v>
      </c>
      <c r="D196" s="386">
        <v>7779564.3300000001</v>
      </c>
      <c r="E196" s="386">
        <v>41026465.700000003</v>
      </c>
      <c r="F196" s="386">
        <v>171887451.73000002</v>
      </c>
      <c r="G196" s="386">
        <v>12187433</v>
      </c>
    </row>
    <row r="197" spans="1:8" ht="13.2" customHeight="1">
      <c r="A197" s="389" t="s">
        <v>590</v>
      </c>
      <c r="B197" s="389">
        <v>465378940.17999995</v>
      </c>
      <c r="C197" s="389">
        <v>25857562.140000001</v>
      </c>
      <c r="D197" s="389">
        <v>16986418.920000002</v>
      </c>
      <c r="E197" s="389">
        <v>90329057.189999998</v>
      </c>
      <c r="F197" s="389">
        <v>332205901.92999995</v>
      </c>
      <c r="G197" s="389">
        <v>24201803.559999995</v>
      </c>
    </row>
    <row r="198" spans="1:8" ht="10.65" customHeight="1">
      <c r="A198" s="418"/>
      <c r="B198" s="405"/>
      <c r="C198" s="405"/>
      <c r="D198" s="405"/>
      <c r="E198" s="405"/>
      <c r="F198" s="405"/>
      <c r="G198" s="405"/>
      <c r="H198" s="396"/>
    </row>
    <row r="199" spans="1:8" ht="15" customHeight="1">
      <c r="A199" s="407" t="s">
        <v>39</v>
      </c>
      <c r="B199" s="390">
        <f>SUM(B146:B197)</f>
        <v>42855126277.560005</v>
      </c>
      <c r="C199" s="390">
        <f t="shared" ref="C199:G199" si="1">SUM(C146:C197)</f>
        <v>2313337918.6900001</v>
      </c>
      <c r="D199" s="390">
        <f t="shared" si="1"/>
        <v>1522843029.0599999</v>
      </c>
      <c r="E199" s="390">
        <f t="shared" si="1"/>
        <v>8144313629.9199991</v>
      </c>
      <c r="F199" s="390">
        <f t="shared" si="1"/>
        <v>30874631699.890003</v>
      </c>
      <c r="G199" s="390">
        <f t="shared" si="1"/>
        <v>2231053987.5499997</v>
      </c>
    </row>
    <row r="200" spans="1:8" ht="15" customHeight="1">
      <c r="A200" s="407" t="s">
        <v>34</v>
      </c>
      <c r="B200" s="390">
        <f t="shared" ref="B200:G200" si="2">B140</f>
        <v>138592364428.72995</v>
      </c>
      <c r="C200" s="390">
        <f t="shared" si="2"/>
        <v>5561714803.8500004</v>
      </c>
      <c r="D200" s="390">
        <f t="shared" si="2"/>
        <v>3678564488.77</v>
      </c>
      <c r="E200" s="390">
        <f t="shared" si="2"/>
        <v>20459722811.949989</v>
      </c>
      <c r="F200" s="390">
        <f t="shared" si="2"/>
        <v>108892362324.15999</v>
      </c>
      <c r="G200" s="390">
        <f t="shared" si="2"/>
        <v>7359361067.1699991</v>
      </c>
    </row>
    <row r="201" spans="1:8" ht="15" customHeight="1">
      <c r="A201" s="407" t="s">
        <v>826</v>
      </c>
      <c r="B201" s="392">
        <v>4783968271.0699997</v>
      </c>
      <c r="C201" s="392">
        <v>226073541.33000001</v>
      </c>
      <c r="D201" s="392">
        <v>138264547.59999999</v>
      </c>
      <c r="E201" s="392">
        <v>704870655.94000006</v>
      </c>
      <c r="F201" s="392">
        <v>3714759526.1999993</v>
      </c>
      <c r="G201" s="392">
        <v>256371990.01000002</v>
      </c>
    </row>
    <row r="202" spans="1:8" ht="13.2" customHeight="1">
      <c r="A202" s="407"/>
      <c r="B202" s="404"/>
      <c r="C202" s="404"/>
      <c r="D202" s="404"/>
      <c r="E202" s="404"/>
      <c r="F202" s="404"/>
      <c r="G202" s="404"/>
    </row>
    <row r="203" spans="1:8" ht="15" customHeight="1">
      <c r="A203" s="407" t="s">
        <v>40</v>
      </c>
      <c r="B203" s="390">
        <f>SUM(B199:B201)</f>
        <v>186231458977.35995</v>
      </c>
      <c r="C203" s="390">
        <f t="shared" ref="C203:F203" si="3">SUM(C199:C201)</f>
        <v>8101126263.8700008</v>
      </c>
      <c r="D203" s="390">
        <f t="shared" si="3"/>
        <v>5339672065.4300003</v>
      </c>
      <c r="E203" s="390">
        <f t="shared" si="3"/>
        <v>29308907097.809986</v>
      </c>
      <c r="F203" s="390">
        <f t="shared" si="3"/>
        <v>143481753550.25</v>
      </c>
      <c r="G203" s="390">
        <f>SUM(G199:G201)</f>
        <v>9846787044.7299995</v>
      </c>
    </row>
    <row r="204" spans="1:8" ht="13.2" customHeight="1">
      <c r="A204" s="401"/>
      <c r="B204" s="408"/>
      <c r="C204" s="408"/>
      <c r="D204" s="408"/>
      <c r="E204" s="408"/>
      <c r="F204" s="408"/>
      <c r="G204" s="408"/>
    </row>
    <row r="205" spans="1:8" ht="13.2" customHeight="1">
      <c r="A205" s="391" t="s">
        <v>2</v>
      </c>
      <c r="B205" s="394"/>
      <c r="C205" s="391"/>
      <c r="D205" s="391"/>
      <c r="E205" s="391"/>
      <c r="F205" s="391"/>
      <c r="G205" s="419"/>
    </row>
    <row r="206" spans="1:8" ht="13.2" customHeight="1">
      <c r="A206" s="385" t="s">
        <v>848</v>
      </c>
      <c r="B206" s="394"/>
      <c r="C206" s="391"/>
      <c r="D206" s="391"/>
      <c r="E206" s="391"/>
      <c r="F206" s="391"/>
      <c r="G206" s="391"/>
    </row>
    <row r="207" spans="1:8" ht="13.2" customHeight="1">
      <c r="A207" s="822" t="s">
        <v>1089</v>
      </c>
      <c r="B207" s="394"/>
      <c r="C207" s="391"/>
      <c r="D207" s="391"/>
      <c r="E207" s="391"/>
      <c r="F207" s="391"/>
      <c r="G207" s="391"/>
    </row>
    <row r="208" spans="1:8">
      <c r="A208" s="383" t="s">
        <v>834</v>
      </c>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sheetPr codeName="Sheet12"/>
  <dimension ref="A1:P42"/>
  <sheetViews>
    <sheetView zoomScaleNormal="100" workbookViewId="0"/>
  </sheetViews>
  <sheetFormatPr defaultColWidth="9.33203125" defaultRowHeight="13.2"/>
  <cols>
    <col min="1" max="1" width="7.5546875" style="421" customWidth="1"/>
    <col min="2" max="2" width="20.109375" style="421" customWidth="1"/>
    <col min="3" max="3" width="12.5546875" style="424" customWidth="1"/>
    <col min="4" max="4" width="12.44140625" style="421" customWidth="1"/>
    <col min="5" max="5" width="2.6640625" style="421" customWidth="1"/>
    <col min="6" max="6" width="12.5546875" style="424" customWidth="1"/>
    <col min="7" max="7" width="12.109375" style="421" customWidth="1"/>
    <col min="8" max="8" width="2.6640625" style="421" customWidth="1"/>
    <col min="9" max="9" width="12.5546875" style="424" customWidth="1"/>
    <col min="10" max="10" width="12.109375" style="421" customWidth="1"/>
    <col min="11" max="11" width="2.6640625" style="425" customWidth="1"/>
    <col min="12" max="12" width="12.5546875" style="424" customWidth="1"/>
    <col min="13" max="13" width="12.109375" style="421" customWidth="1"/>
    <col min="14" max="14" width="2.6640625" style="421" customWidth="1"/>
    <col min="15" max="15" width="12.5546875" style="424" customWidth="1"/>
    <col min="16" max="16" width="11.109375" style="421" bestFit="1" customWidth="1"/>
    <col min="17" max="16384" width="9.33203125" style="421"/>
  </cols>
  <sheetData>
    <row r="1" spans="1:16" ht="17.399999999999999">
      <c r="A1" s="420" t="s">
        <v>849</v>
      </c>
      <c r="C1" s="422"/>
      <c r="D1" s="423"/>
      <c r="E1" s="423"/>
    </row>
    <row r="2" spans="1:16" ht="15.6">
      <c r="A2" s="426" t="s">
        <v>850</v>
      </c>
      <c r="D2" s="423"/>
      <c r="E2" s="423"/>
    </row>
    <row r="3" spans="1:16" ht="13.8" thickBot="1">
      <c r="B3" s="427"/>
      <c r="C3" s="428"/>
      <c r="D3" s="427"/>
      <c r="E3" s="427"/>
      <c r="F3" s="428"/>
      <c r="G3" s="427"/>
      <c r="H3" s="427"/>
    </row>
    <row r="4" spans="1:16" ht="15">
      <c r="A4" s="1096"/>
      <c r="B4" s="1097"/>
      <c r="C4" s="429">
        <v>2008</v>
      </c>
      <c r="D4" s="429"/>
      <c r="E4" s="430"/>
      <c r="F4" s="429">
        <v>2009</v>
      </c>
      <c r="G4" s="429"/>
      <c r="H4" s="430"/>
      <c r="I4" s="429">
        <v>2010</v>
      </c>
      <c r="J4" s="429"/>
      <c r="K4" s="430"/>
      <c r="L4" s="429">
        <v>2011</v>
      </c>
      <c r="M4" s="429"/>
    </row>
    <row r="5" spans="1:16" ht="15">
      <c r="A5" s="1095"/>
      <c r="B5" s="1098"/>
      <c r="C5" s="431" t="s">
        <v>494</v>
      </c>
      <c r="D5" s="431"/>
      <c r="E5" s="431"/>
      <c r="F5" s="431" t="s">
        <v>494</v>
      </c>
      <c r="G5" s="431"/>
      <c r="H5" s="431"/>
      <c r="I5" s="431" t="s">
        <v>494</v>
      </c>
      <c r="J5" s="431"/>
      <c r="K5" s="431"/>
      <c r="L5" s="431" t="s">
        <v>494</v>
      </c>
      <c r="M5" s="431"/>
    </row>
    <row r="6" spans="1:16" ht="15">
      <c r="A6" s="1099" t="s">
        <v>851</v>
      </c>
      <c r="B6" s="1100"/>
      <c r="C6" s="432" t="s">
        <v>852</v>
      </c>
      <c r="D6" s="432" t="s">
        <v>30</v>
      </c>
      <c r="E6" s="432"/>
      <c r="F6" s="432" t="s">
        <v>852</v>
      </c>
      <c r="G6" s="432" t="s">
        <v>30</v>
      </c>
      <c r="H6" s="432"/>
      <c r="I6" s="432" t="s">
        <v>852</v>
      </c>
      <c r="J6" s="432" t="s">
        <v>30</v>
      </c>
      <c r="K6" s="432"/>
      <c r="L6" s="432" t="s">
        <v>852</v>
      </c>
      <c r="M6" s="432" t="s">
        <v>30</v>
      </c>
    </row>
    <row r="7" spans="1:16">
      <c r="A7" s="1101"/>
      <c r="B7" s="1101"/>
      <c r="K7" s="421"/>
    </row>
    <row r="8" spans="1:16">
      <c r="A8" s="1095" t="s">
        <v>853</v>
      </c>
      <c r="B8" s="1095"/>
      <c r="C8" s="433">
        <v>117392</v>
      </c>
      <c r="D8" s="434">
        <v>18085984.870000001</v>
      </c>
      <c r="F8" s="433">
        <v>125566</v>
      </c>
      <c r="G8" s="434">
        <v>19054250.579999998</v>
      </c>
      <c r="I8" s="433">
        <v>120578</v>
      </c>
      <c r="J8" s="434">
        <v>20005947.149999999</v>
      </c>
      <c r="K8" s="421"/>
      <c r="L8" s="433">
        <v>126506</v>
      </c>
      <c r="M8" s="434">
        <v>22097074.23</v>
      </c>
      <c r="O8" s="799"/>
      <c r="P8" s="799"/>
    </row>
    <row r="9" spans="1:16">
      <c r="A9" s="1095" t="s">
        <v>854</v>
      </c>
      <c r="B9" s="1095"/>
      <c r="C9" s="433">
        <v>4947</v>
      </c>
      <c r="D9" s="435">
        <v>872302.69</v>
      </c>
      <c r="F9" s="433">
        <v>4224</v>
      </c>
      <c r="G9" s="435">
        <v>747411.01</v>
      </c>
      <c r="I9" s="887">
        <v>4904</v>
      </c>
      <c r="J9" s="888">
        <v>972388.93</v>
      </c>
      <c r="K9" s="421"/>
      <c r="L9" s="887">
        <v>4242</v>
      </c>
      <c r="M9" s="888">
        <v>959926.83</v>
      </c>
      <c r="O9" s="799"/>
      <c r="P9" s="799"/>
    </row>
    <row r="10" spans="1:16" ht="12.75" customHeight="1">
      <c r="A10" s="1106" t="s">
        <v>855</v>
      </c>
      <c r="B10" s="1100"/>
      <c r="C10" s="433">
        <v>17847</v>
      </c>
      <c r="D10" s="435">
        <v>1982188.27</v>
      </c>
      <c r="F10" s="433">
        <v>13172</v>
      </c>
      <c r="G10" s="435">
        <v>1505578.91</v>
      </c>
      <c r="I10" s="887">
        <v>17773</v>
      </c>
      <c r="J10" s="888">
        <v>2205351.89</v>
      </c>
      <c r="K10" s="421"/>
      <c r="L10" s="887">
        <v>15938</v>
      </c>
      <c r="M10" s="888">
        <v>2015474.88</v>
      </c>
      <c r="O10" s="799"/>
      <c r="P10" s="799"/>
    </row>
    <row r="11" spans="1:16">
      <c r="A11" s="1095" t="s">
        <v>856</v>
      </c>
      <c r="B11" s="1095"/>
      <c r="C11" s="433">
        <v>1323</v>
      </c>
      <c r="D11" s="435">
        <v>138195.26</v>
      </c>
      <c r="F11" s="433">
        <v>1068</v>
      </c>
      <c r="G11" s="435">
        <v>118474.36</v>
      </c>
      <c r="I11" s="887">
        <v>1244</v>
      </c>
      <c r="J11" s="888">
        <v>157270.15</v>
      </c>
      <c r="K11" s="421"/>
      <c r="L11" s="887">
        <v>1041</v>
      </c>
      <c r="M11" s="888">
        <v>133993.63</v>
      </c>
      <c r="O11" s="799"/>
      <c r="P11" s="799"/>
    </row>
    <row r="12" spans="1:16">
      <c r="A12" s="1095" t="s">
        <v>857</v>
      </c>
      <c r="B12" s="1095"/>
      <c r="C12" s="433">
        <v>2045</v>
      </c>
      <c r="D12" s="435">
        <v>211985.76</v>
      </c>
      <c r="F12" s="433">
        <v>1401</v>
      </c>
      <c r="G12" s="435">
        <v>153279.85</v>
      </c>
      <c r="I12" s="887">
        <v>1887</v>
      </c>
      <c r="J12" s="888">
        <v>220673.73</v>
      </c>
      <c r="K12" s="421"/>
      <c r="L12" s="887">
        <v>1397</v>
      </c>
      <c r="M12" s="888">
        <v>173557.6</v>
      </c>
      <c r="O12" s="799"/>
      <c r="P12" s="799"/>
    </row>
    <row r="13" spans="1:16">
      <c r="A13" s="437" t="s">
        <v>858</v>
      </c>
      <c r="B13" s="423"/>
      <c r="C13" s="438">
        <v>0</v>
      </c>
      <c r="D13" s="438">
        <v>0</v>
      </c>
      <c r="F13" s="433">
        <v>7223</v>
      </c>
      <c r="G13" s="435">
        <v>3098314.62</v>
      </c>
      <c r="I13" s="887">
        <v>10104</v>
      </c>
      <c r="J13" s="888">
        <v>3908275</v>
      </c>
      <c r="K13" s="421"/>
      <c r="L13" s="887">
        <v>11726</v>
      </c>
      <c r="M13" s="888">
        <v>4512498.1399999997</v>
      </c>
      <c r="O13" s="799"/>
      <c r="P13" s="799"/>
    </row>
    <row r="14" spans="1:16">
      <c r="A14" s="1095" t="s">
        <v>444</v>
      </c>
      <c r="B14" s="1095"/>
      <c r="C14" s="433">
        <v>111323</v>
      </c>
      <c r="D14" s="435">
        <v>16480373.35</v>
      </c>
      <c r="F14" s="433">
        <v>112236</v>
      </c>
      <c r="G14" s="435">
        <v>16171977.050000001</v>
      </c>
      <c r="I14" s="433">
        <v>114513</v>
      </c>
      <c r="J14" s="435">
        <v>16074012.460000001</v>
      </c>
      <c r="K14" s="421"/>
      <c r="L14" s="433">
        <v>114923</v>
      </c>
      <c r="M14" s="435">
        <v>16823308.469999999</v>
      </c>
      <c r="O14" s="799"/>
      <c r="P14" s="799"/>
    </row>
    <row r="15" spans="1:16">
      <c r="A15" s="1095" t="s">
        <v>445</v>
      </c>
      <c r="B15" s="1095"/>
      <c r="C15" s="433">
        <v>74214</v>
      </c>
      <c r="D15" s="435">
        <v>10643906.66</v>
      </c>
      <c r="F15" s="433">
        <v>70829</v>
      </c>
      <c r="G15" s="435">
        <v>10338534.73</v>
      </c>
      <c r="I15" s="887">
        <v>92405</v>
      </c>
      <c r="J15" s="888">
        <v>13557990.4</v>
      </c>
      <c r="K15" s="421"/>
      <c r="L15" s="887">
        <v>85974</v>
      </c>
      <c r="M15" s="888">
        <v>12727378.34</v>
      </c>
      <c r="O15" s="799"/>
      <c r="P15" s="799"/>
    </row>
    <row r="16" spans="1:16">
      <c r="A16" s="1095" t="s">
        <v>859</v>
      </c>
      <c r="B16" s="1095"/>
      <c r="C16" s="433">
        <v>2003</v>
      </c>
      <c r="D16" s="435">
        <v>180841.88</v>
      </c>
      <c r="F16" s="433">
        <v>2231</v>
      </c>
      <c r="G16" s="435">
        <v>207647.52</v>
      </c>
      <c r="I16" s="887">
        <v>3300</v>
      </c>
      <c r="J16" s="888">
        <v>266122.09000000003</v>
      </c>
      <c r="K16" s="421"/>
      <c r="L16" s="887">
        <v>4469</v>
      </c>
      <c r="M16" s="888">
        <v>392192.21</v>
      </c>
      <c r="O16" s="799"/>
      <c r="P16" s="799"/>
    </row>
    <row r="17" spans="1:16">
      <c r="A17" s="1095" t="s">
        <v>860</v>
      </c>
      <c r="B17" s="1095"/>
      <c r="C17" s="433">
        <v>1756</v>
      </c>
      <c r="D17" s="439">
        <v>377952.82</v>
      </c>
      <c r="F17" s="433">
        <v>1380</v>
      </c>
      <c r="G17" s="439">
        <v>317577.44</v>
      </c>
      <c r="I17" s="433">
        <v>1554</v>
      </c>
      <c r="J17" s="439">
        <v>355235.55</v>
      </c>
      <c r="K17" s="421"/>
      <c r="L17" s="433">
        <v>1545</v>
      </c>
      <c r="M17" s="439">
        <v>353283.64</v>
      </c>
      <c r="O17" s="799"/>
      <c r="P17" s="799"/>
    </row>
    <row r="18" spans="1:16">
      <c r="K18" s="421"/>
      <c r="O18" s="421"/>
    </row>
    <row r="19" spans="1:16" ht="15" customHeight="1">
      <c r="A19" s="440"/>
      <c r="B19" s="441" t="s">
        <v>861</v>
      </c>
      <c r="C19" s="442">
        <f>SUM(C8:C17)</f>
        <v>332850</v>
      </c>
      <c r="D19" s="443">
        <f>SUM(D8:D17)</f>
        <v>48973731.560000002</v>
      </c>
      <c r="E19" s="441"/>
      <c r="F19" s="442">
        <f>SUM(F8:F17)</f>
        <v>339330</v>
      </c>
      <c r="G19" s="443">
        <f>SUM(G8:G17)</f>
        <v>51713046.07</v>
      </c>
      <c r="H19" s="441"/>
      <c r="I19" s="442">
        <f>SUM(I8:I17)</f>
        <v>368262</v>
      </c>
      <c r="J19" s="443">
        <f>SUM(J8:J17)</f>
        <v>57723267.350000001</v>
      </c>
      <c r="K19" s="441"/>
      <c r="L19" s="442">
        <f>SUM(L8:L17)</f>
        <v>367761</v>
      </c>
      <c r="M19" s="443">
        <f>SUM(M8:M17)</f>
        <v>60188687.970000006</v>
      </c>
      <c r="O19" s="799"/>
      <c r="P19" s="799"/>
    </row>
    <row r="20" spans="1:16">
      <c r="G20" s="444"/>
      <c r="J20" s="444"/>
      <c r="M20" s="444"/>
    </row>
    <row r="21" spans="1:16">
      <c r="A21" s="445" t="s">
        <v>2</v>
      </c>
    </row>
    <row r="22" spans="1:16" ht="13.2" customHeight="1">
      <c r="A22" s="436" t="s">
        <v>862</v>
      </c>
    </row>
    <row r="23" spans="1:16" ht="13.2" customHeight="1">
      <c r="A23" s="436"/>
    </row>
    <row r="24" spans="1:16" ht="13.2" customHeight="1">
      <c r="A24" s="446"/>
    </row>
    <row r="25" spans="1:16">
      <c r="B25" s="445"/>
    </row>
    <row r="26" spans="1:16" ht="17.399999999999999">
      <c r="A26" s="447" t="s">
        <v>863</v>
      </c>
      <c r="C26" s="448"/>
    </row>
    <row r="27" spans="1:16" ht="15.6">
      <c r="A27" s="449" t="s">
        <v>864</v>
      </c>
      <c r="C27" s="448"/>
    </row>
    <row r="28" spans="1:16" ht="13.8" thickBot="1">
      <c r="B28" s="448"/>
      <c r="C28" s="448"/>
    </row>
    <row r="29" spans="1:16">
      <c r="B29" s="450" t="s">
        <v>865</v>
      </c>
      <c r="C29" s="1102" t="s">
        <v>25</v>
      </c>
      <c r="D29" s="1103"/>
      <c r="I29" s="450" t="s">
        <v>865</v>
      </c>
      <c r="J29" s="451" t="s">
        <v>25</v>
      </c>
    </row>
    <row r="30" spans="1:16" ht="12.75" customHeight="1">
      <c r="B30" s="452">
        <v>2002</v>
      </c>
      <c r="C30" s="455"/>
      <c r="D30" s="1080">
        <v>23013587.100000001</v>
      </c>
      <c r="I30" s="453">
        <f>B30</f>
        <v>2002</v>
      </c>
      <c r="J30" s="454">
        <f>D30/1000000</f>
        <v>23.013587100000002</v>
      </c>
    </row>
    <row r="31" spans="1:16" ht="12.75" customHeight="1">
      <c r="B31" s="452">
        <v>2003</v>
      </c>
      <c r="C31" s="455"/>
      <c r="D31" s="456">
        <v>21137385.800000001</v>
      </c>
      <c r="I31" s="453">
        <f t="shared" ref="I31:I39" si="0">B31</f>
        <v>2003</v>
      </c>
      <c r="J31" s="454">
        <f t="shared" ref="J31:J36" si="1">D31/1000000</f>
        <v>21.137385800000001</v>
      </c>
    </row>
    <row r="32" spans="1:16" ht="12.75" customHeight="1">
      <c r="B32" s="452">
        <v>2004</v>
      </c>
      <c r="C32" s="455"/>
      <c r="D32" s="457">
        <v>22937393.359999999</v>
      </c>
      <c r="I32" s="453">
        <f t="shared" si="0"/>
        <v>2004</v>
      </c>
      <c r="J32" s="454">
        <f t="shared" si="1"/>
        <v>22.937393359999998</v>
      </c>
    </row>
    <row r="33" spans="1:15" ht="12.75" customHeight="1">
      <c r="B33" s="452">
        <v>2005</v>
      </c>
      <c r="C33" s="458"/>
      <c r="D33" s="459">
        <v>14052101.029999999</v>
      </c>
      <c r="I33" s="453">
        <f t="shared" si="0"/>
        <v>2005</v>
      </c>
      <c r="J33" s="454">
        <f t="shared" si="1"/>
        <v>14.052101029999999</v>
      </c>
    </row>
    <row r="34" spans="1:15" ht="12.75" customHeight="1">
      <c r="B34" s="460">
        <v>2006</v>
      </c>
      <c r="C34" s="461"/>
      <c r="D34" s="459">
        <v>15896468.560000001</v>
      </c>
      <c r="I34" s="453">
        <f t="shared" si="0"/>
        <v>2006</v>
      </c>
      <c r="J34" s="454">
        <f t="shared" si="1"/>
        <v>15.896468560000001</v>
      </c>
    </row>
    <row r="35" spans="1:15" ht="12.75" customHeight="1">
      <c r="B35" s="460">
        <v>2007</v>
      </c>
      <c r="C35" s="461"/>
      <c r="D35" s="462">
        <v>15673200.720000001</v>
      </c>
      <c r="I35" s="453">
        <f t="shared" si="0"/>
        <v>2007</v>
      </c>
      <c r="J35" s="454">
        <f t="shared" si="1"/>
        <v>15.673200720000001</v>
      </c>
    </row>
    <row r="36" spans="1:15" ht="12.75" customHeight="1">
      <c r="B36" s="460">
        <v>2008</v>
      </c>
      <c r="C36" s="463"/>
      <c r="D36" s="462">
        <v>16366547.060000001</v>
      </c>
      <c r="I36" s="453">
        <f t="shared" si="0"/>
        <v>2008</v>
      </c>
      <c r="J36" s="454">
        <f t="shared" si="1"/>
        <v>16.366547060000002</v>
      </c>
    </row>
    <row r="37" spans="1:15" ht="12.75" customHeight="1">
      <c r="B37" s="464">
        <v>2009</v>
      </c>
      <c r="C37" s="463"/>
      <c r="D37" s="462">
        <v>17876422.93</v>
      </c>
      <c r="I37" s="453">
        <f t="shared" si="0"/>
        <v>2009</v>
      </c>
      <c r="J37" s="454">
        <f>D37/1000000</f>
        <v>17.87642293</v>
      </c>
    </row>
    <row r="38" spans="1:15" ht="12.75" customHeight="1">
      <c r="B38" s="460">
        <v>2010</v>
      </c>
      <c r="C38" s="463"/>
      <c r="D38" s="462">
        <v>18578293.82</v>
      </c>
      <c r="I38" s="453">
        <f t="shared" si="0"/>
        <v>2010</v>
      </c>
      <c r="J38" s="454">
        <f>D38/1000000</f>
        <v>18.578293819999999</v>
      </c>
    </row>
    <row r="39" spans="1:15" ht="12.75" customHeight="1">
      <c r="B39" s="460">
        <v>2011</v>
      </c>
      <c r="C39" s="463"/>
      <c r="D39" s="462">
        <v>18104923.309999999</v>
      </c>
      <c r="I39" s="453">
        <f t="shared" si="0"/>
        <v>2011</v>
      </c>
      <c r="J39" s="454">
        <f>D39/1000000</f>
        <v>18.10492331</v>
      </c>
    </row>
    <row r="40" spans="1:15">
      <c r="D40" s="971"/>
    </row>
    <row r="41" spans="1:15" ht="15.6">
      <c r="A41" s="445" t="s">
        <v>27</v>
      </c>
      <c r="B41" s="465"/>
      <c r="C41" s="465"/>
      <c r="D41" s="465"/>
      <c r="I41" s="466"/>
      <c r="J41" s="466"/>
    </row>
    <row r="42" spans="1:15" ht="39.6" customHeight="1">
      <c r="A42" s="1104" t="s">
        <v>866</v>
      </c>
      <c r="B42" s="1104"/>
      <c r="C42" s="1104"/>
      <c r="D42" s="1104"/>
      <c r="E42" s="1104"/>
      <c r="F42" s="1105"/>
      <c r="G42" s="466"/>
      <c r="H42" s="466"/>
      <c r="K42" s="466"/>
      <c r="L42" s="466"/>
      <c r="M42" s="466"/>
      <c r="N42" s="466"/>
      <c r="O42" s="466"/>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17:B17"/>
    <mergeCell ref="C29:D29"/>
    <mergeCell ref="A42:F42"/>
    <mergeCell ref="A10:B10"/>
    <mergeCell ref="A11:B11"/>
    <mergeCell ref="A12:B12"/>
    <mergeCell ref="A14:B14"/>
    <mergeCell ref="A15:B15"/>
    <mergeCell ref="A16:B16"/>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sheetPr codeName="Sheet13"/>
  <dimension ref="A1:L42"/>
  <sheetViews>
    <sheetView zoomScaleNormal="100" workbookViewId="0"/>
  </sheetViews>
  <sheetFormatPr defaultColWidth="9.5546875" defaultRowHeight="12"/>
  <cols>
    <col min="1" max="1" width="72.6640625" style="471" customWidth="1"/>
    <col min="2" max="2" width="10.109375" style="471" customWidth="1"/>
    <col min="3" max="3" width="12.5546875" style="471" customWidth="1"/>
    <col min="4" max="4" width="2.5546875" style="471" customWidth="1"/>
    <col min="5" max="5" width="10.109375" style="471" customWidth="1"/>
    <col min="6" max="6" width="12.5546875" style="471" customWidth="1"/>
    <col min="7" max="7" width="2.5546875" style="471" customWidth="1"/>
    <col min="8" max="8" width="10.109375" style="502" bestFit="1" customWidth="1"/>
    <col min="9" max="9" width="12.5546875" style="471" customWidth="1"/>
    <col min="10" max="16384" width="9.5546875" style="471"/>
  </cols>
  <sheetData>
    <row r="1" spans="1:12" ht="17.399999999999999">
      <c r="A1" s="467" t="s">
        <v>867</v>
      </c>
      <c r="B1" s="468"/>
      <c r="C1" s="468"/>
      <c r="D1" s="468"/>
      <c r="E1" s="468"/>
      <c r="F1" s="468"/>
      <c r="G1" s="468"/>
      <c r="H1" s="469"/>
      <c r="I1" s="468"/>
      <c r="J1" s="470"/>
    </row>
    <row r="2" spans="1:12" ht="15.6">
      <c r="A2" s="472" t="s">
        <v>868</v>
      </c>
      <c r="C2" s="468"/>
      <c r="D2" s="468"/>
      <c r="E2" s="468"/>
      <c r="F2" s="468"/>
      <c r="G2" s="468"/>
      <c r="H2" s="469"/>
      <c r="I2" s="468"/>
      <c r="J2" s="470"/>
    </row>
    <row r="3" spans="1:12" ht="13.8" thickBot="1">
      <c r="A3" s="473"/>
      <c r="B3" s="473"/>
      <c r="C3" s="473"/>
      <c r="D3" s="473"/>
      <c r="E3" s="473"/>
      <c r="F3" s="473"/>
      <c r="G3" s="473"/>
      <c r="H3" s="474"/>
      <c r="I3" s="473"/>
      <c r="J3" s="470"/>
    </row>
    <row r="4" spans="1:12" ht="13.2">
      <c r="A4" s="475"/>
      <c r="B4" s="1109">
        <v>2009</v>
      </c>
      <c r="C4" s="1110"/>
      <c r="D4" s="476"/>
      <c r="E4" s="1109">
        <v>2010</v>
      </c>
      <c r="F4" s="1110"/>
      <c r="G4" s="476"/>
      <c r="H4" s="1109">
        <v>2011</v>
      </c>
      <c r="I4" s="1110"/>
      <c r="J4" s="470"/>
    </row>
    <row r="5" spans="1:12" s="479" customFormat="1" ht="13.2">
      <c r="A5" s="477" t="s">
        <v>869</v>
      </c>
      <c r="B5" s="478" t="s">
        <v>870</v>
      </c>
      <c r="C5" s="478" t="s">
        <v>30</v>
      </c>
      <c r="D5" s="478"/>
      <c r="E5" s="478" t="s">
        <v>870</v>
      </c>
      <c r="F5" s="478" t="s">
        <v>30</v>
      </c>
      <c r="G5" s="478"/>
      <c r="H5" s="478" t="s">
        <v>870</v>
      </c>
      <c r="I5" s="478" t="s">
        <v>30</v>
      </c>
      <c r="J5" s="473"/>
    </row>
    <row r="6" spans="1:12" ht="15.6" customHeight="1">
      <c r="A6" s="480" t="s">
        <v>871</v>
      </c>
      <c r="B6" s="474">
        <v>2059</v>
      </c>
      <c r="C6" s="481">
        <v>42247</v>
      </c>
      <c r="D6" s="482"/>
      <c r="E6" s="474">
        <v>1898</v>
      </c>
      <c r="F6" s="481">
        <v>39477.75</v>
      </c>
      <c r="H6" s="474">
        <v>2140</v>
      </c>
      <c r="I6" s="481">
        <v>43519.87</v>
      </c>
      <c r="J6" s="470"/>
      <c r="K6" s="470"/>
      <c r="L6" s="470"/>
    </row>
    <row r="7" spans="1:12" ht="15.6" customHeight="1">
      <c r="A7" s="483" t="s">
        <v>872</v>
      </c>
      <c r="B7" s="474">
        <v>1040</v>
      </c>
      <c r="C7" s="484">
        <v>22028</v>
      </c>
      <c r="D7" s="474"/>
      <c r="E7" s="474">
        <v>838</v>
      </c>
      <c r="F7" s="484">
        <v>16914.740000000002</v>
      </c>
      <c r="H7" s="474">
        <v>806</v>
      </c>
      <c r="I7" s="484">
        <v>16717.86</v>
      </c>
      <c r="J7" s="470"/>
      <c r="K7" s="470"/>
      <c r="L7" s="470"/>
    </row>
    <row r="8" spans="1:12" ht="15.6" customHeight="1">
      <c r="A8" s="659" t="s">
        <v>873</v>
      </c>
      <c r="B8" s="474">
        <v>5171</v>
      </c>
      <c r="C8" s="484">
        <v>133674</v>
      </c>
      <c r="D8" s="474"/>
      <c r="E8" s="474">
        <v>4910</v>
      </c>
      <c r="F8" s="484">
        <v>131768.04999999999</v>
      </c>
      <c r="H8" s="474">
        <v>4588</v>
      </c>
      <c r="I8" s="484">
        <v>121131.86</v>
      </c>
      <c r="J8" s="470"/>
      <c r="K8" s="470"/>
      <c r="L8" s="470"/>
    </row>
    <row r="9" spans="1:12" ht="15.6" customHeight="1">
      <c r="A9" s="483" t="s">
        <v>874</v>
      </c>
      <c r="B9" s="474">
        <v>2087</v>
      </c>
      <c r="C9" s="484">
        <v>51771</v>
      </c>
      <c r="D9" s="474"/>
      <c r="E9" s="913">
        <v>1800</v>
      </c>
      <c r="F9" s="484">
        <v>48020</v>
      </c>
      <c r="H9" s="913">
        <v>1725</v>
      </c>
      <c r="I9" s="484">
        <v>43063.58</v>
      </c>
      <c r="J9" s="470"/>
      <c r="K9" s="470"/>
      <c r="L9" s="470"/>
    </row>
    <row r="10" spans="1:12" ht="15.6" customHeight="1">
      <c r="A10" s="483" t="s">
        <v>875</v>
      </c>
      <c r="B10" s="474">
        <v>2659</v>
      </c>
      <c r="C10" s="484">
        <v>61578</v>
      </c>
      <c r="D10" s="474"/>
      <c r="E10" s="913">
        <v>2010</v>
      </c>
      <c r="F10" s="484">
        <v>49012.13</v>
      </c>
      <c r="H10" s="913">
        <v>2102</v>
      </c>
      <c r="I10" s="484">
        <v>48941</v>
      </c>
      <c r="J10" s="470"/>
      <c r="K10" s="470"/>
      <c r="L10" s="470"/>
    </row>
    <row r="11" spans="1:12" ht="15.6" customHeight="1">
      <c r="A11" s="483" t="s">
        <v>876</v>
      </c>
      <c r="B11" s="474">
        <v>1690</v>
      </c>
      <c r="C11" s="484">
        <v>36201</v>
      </c>
      <c r="D11" s="474"/>
      <c r="E11" s="474">
        <v>1191</v>
      </c>
      <c r="F11" s="484">
        <v>26692</v>
      </c>
      <c r="H11" s="474">
        <v>1094</v>
      </c>
      <c r="I11" s="484">
        <v>25379.02</v>
      </c>
      <c r="J11" s="470"/>
      <c r="K11" s="470"/>
      <c r="L11" s="470"/>
    </row>
    <row r="12" spans="1:12" ht="15.6" customHeight="1">
      <c r="A12" s="483" t="s">
        <v>877</v>
      </c>
      <c r="B12" s="474">
        <v>3449</v>
      </c>
      <c r="C12" s="484">
        <v>84214</v>
      </c>
      <c r="D12" s="474"/>
      <c r="E12" s="474">
        <v>3267</v>
      </c>
      <c r="F12" s="484">
        <v>83103</v>
      </c>
      <c r="H12" s="474">
        <v>3106</v>
      </c>
      <c r="I12" s="484">
        <v>75698.63</v>
      </c>
      <c r="J12" s="470"/>
      <c r="K12" s="470"/>
      <c r="L12" s="470"/>
    </row>
    <row r="13" spans="1:12" ht="15.6" customHeight="1">
      <c r="A13" s="483" t="s">
        <v>878</v>
      </c>
      <c r="B13" s="474">
        <v>1388</v>
      </c>
      <c r="C13" s="484">
        <v>29261</v>
      </c>
      <c r="D13" s="474"/>
      <c r="E13" s="474">
        <v>1075</v>
      </c>
      <c r="F13" s="484">
        <v>24572</v>
      </c>
      <c r="H13" s="474">
        <v>1079</v>
      </c>
      <c r="I13" s="484">
        <v>22626.98</v>
      </c>
      <c r="J13" s="470"/>
      <c r="K13" s="470"/>
      <c r="L13" s="470"/>
    </row>
    <row r="14" spans="1:12" ht="15.6" customHeight="1">
      <c r="A14" s="483" t="s">
        <v>879</v>
      </c>
      <c r="B14" s="474">
        <v>1010</v>
      </c>
      <c r="C14" s="484">
        <v>17934</v>
      </c>
      <c r="D14" s="474"/>
      <c r="E14" s="474">
        <v>769</v>
      </c>
      <c r="F14" s="484">
        <v>13160</v>
      </c>
      <c r="H14" s="474">
        <v>687</v>
      </c>
      <c r="I14" s="484">
        <v>11991.53</v>
      </c>
      <c r="J14" s="470"/>
      <c r="K14" s="470"/>
      <c r="L14" s="470"/>
    </row>
    <row r="15" spans="1:12" ht="15.6" customHeight="1">
      <c r="A15" s="483" t="s">
        <v>880</v>
      </c>
      <c r="B15" s="474">
        <v>1886</v>
      </c>
      <c r="C15" s="484">
        <v>37576</v>
      </c>
      <c r="D15" s="474"/>
      <c r="E15" s="474">
        <v>1443</v>
      </c>
      <c r="F15" s="484">
        <v>31595</v>
      </c>
      <c r="H15" s="474">
        <v>1603</v>
      </c>
      <c r="I15" s="484">
        <v>32755.87</v>
      </c>
      <c r="J15" s="470"/>
      <c r="K15" s="470"/>
      <c r="L15" s="470"/>
    </row>
    <row r="16" spans="1:12" ht="15.6" customHeight="1">
      <c r="A16" s="483" t="s">
        <v>881</v>
      </c>
      <c r="B16" s="474">
        <v>5108</v>
      </c>
      <c r="C16" s="484">
        <v>127431</v>
      </c>
      <c r="D16" s="474"/>
      <c r="E16" s="474">
        <v>4088</v>
      </c>
      <c r="F16" s="484">
        <v>104817</v>
      </c>
      <c r="H16" s="474">
        <v>3847</v>
      </c>
      <c r="I16" s="484">
        <v>103062.25</v>
      </c>
      <c r="J16" s="470"/>
      <c r="K16" s="470"/>
      <c r="L16" s="470"/>
    </row>
    <row r="17" spans="1:12" ht="15.6" customHeight="1">
      <c r="A17" s="483" t="s">
        <v>882</v>
      </c>
      <c r="B17" s="474">
        <v>1154</v>
      </c>
      <c r="C17" s="484">
        <v>22557</v>
      </c>
      <c r="D17" s="474"/>
      <c r="E17" s="474">
        <v>833</v>
      </c>
      <c r="F17" s="484">
        <v>15806</v>
      </c>
      <c r="H17" s="474">
        <v>916</v>
      </c>
      <c r="I17" s="484">
        <v>18298.169999999998</v>
      </c>
      <c r="J17" s="470"/>
      <c r="K17" s="470"/>
      <c r="L17" s="470"/>
    </row>
    <row r="18" spans="1:12" ht="15.6" customHeight="1">
      <c r="A18" s="659" t="s">
        <v>1052</v>
      </c>
      <c r="B18" s="474">
        <v>2187</v>
      </c>
      <c r="C18" s="484">
        <v>42923</v>
      </c>
      <c r="D18" s="474"/>
      <c r="E18" s="474">
        <v>1641</v>
      </c>
      <c r="F18" s="484">
        <v>33499</v>
      </c>
      <c r="H18" s="474">
        <v>1425</v>
      </c>
      <c r="I18" s="484">
        <v>29954.14</v>
      </c>
      <c r="J18" s="470"/>
      <c r="K18" s="470"/>
      <c r="L18" s="470"/>
    </row>
    <row r="19" spans="1:12" ht="15.6" customHeight="1">
      <c r="A19" s="483" t="s">
        <v>883</v>
      </c>
      <c r="B19" s="474">
        <v>1382</v>
      </c>
      <c r="C19" s="484">
        <v>28757</v>
      </c>
      <c r="D19" s="474"/>
      <c r="E19" s="474">
        <v>972</v>
      </c>
      <c r="F19" s="484">
        <v>28616</v>
      </c>
      <c r="H19" s="474">
        <v>904</v>
      </c>
      <c r="I19" s="484">
        <v>19567.04</v>
      </c>
      <c r="J19" s="470"/>
      <c r="K19" s="470"/>
      <c r="L19" s="470"/>
    </row>
    <row r="20" spans="1:12" ht="15.6" customHeight="1">
      <c r="A20" s="483" t="s">
        <v>884</v>
      </c>
      <c r="B20" s="474">
        <v>923</v>
      </c>
      <c r="C20" s="484">
        <v>20586</v>
      </c>
      <c r="D20" s="474"/>
      <c r="E20" s="474">
        <v>890</v>
      </c>
      <c r="F20" s="484">
        <v>21747</v>
      </c>
      <c r="H20" s="474">
        <v>807</v>
      </c>
      <c r="I20" s="484">
        <v>16655.52</v>
      </c>
      <c r="J20" s="470"/>
      <c r="K20" s="470"/>
      <c r="L20" s="470"/>
    </row>
    <row r="21" spans="1:12" s="488" customFormat="1" ht="15.6" customHeight="1">
      <c r="A21" s="485" t="s">
        <v>885</v>
      </c>
      <c r="B21" s="487">
        <v>1740</v>
      </c>
      <c r="C21" s="484">
        <v>57752</v>
      </c>
      <c r="D21" s="487"/>
      <c r="E21" s="487">
        <v>1501</v>
      </c>
      <c r="F21" s="484">
        <v>55949</v>
      </c>
      <c r="H21" s="487">
        <v>1228</v>
      </c>
      <c r="I21" s="484">
        <v>40534.26</v>
      </c>
      <c r="J21" s="470"/>
      <c r="K21" s="470"/>
      <c r="L21" s="470"/>
    </row>
    <row r="22" spans="1:12" ht="15.6" customHeight="1">
      <c r="A22" s="483" t="s">
        <v>886</v>
      </c>
      <c r="B22" s="489">
        <v>1821</v>
      </c>
      <c r="C22" s="484">
        <v>36654</v>
      </c>
      <c r="D22" s="484"/>
      <c r="E22" s="489">
        <v>1456</v>
      </c>
      <c r="F22" s="484">
        <v>33306</v>
      </c>
      <c r="G22" s="490"/>
      <c r="H22" s="489">
        <v>1317</v>
      </c>
      <c r="I22" s="484">
        <v>27473.96</v>
      </c>
      <c r="J22" s="470"/>
      <c r="K22" s="470"/>
      <c r="L22" s="470"/>
    </row>
    <row r="23" spans="1:12" ht="15.6" customHeight="1">
      <c r="A23" s="483" t="s">
        <v>887</v>
      </c>
      <c r="B23" s="484">
        <v>936</v>
      </c>
      <c r="C23" s="484">
        <v>18122</v>
      </c>
      <c r="D23" s="484"/>
      <c r="E23" s="484">
        <v>767</v>
      </c>
      <c r="F23" s="484">
        <v>16981</v>
      </c>
      <c r="G23" s="490"/>
      <c r="H23" s="484">
        <v>719</v>
      </c>
      <c r="I23" s="484">
        <v>15699</v>
      </c>
      <c r="J23" s="470"/>
      <c r="K23" s="470"/>
      <c r="L23" s="470"/>
    </row>
    <row r="24" spans="1:12" ht="15.6" customHeight="1">
      <c r="A24" s="483" t="s">
        <v>888</v>
      </c>
      <c r="B24" s="489">
        <v>2279</v>
      </c>
      <c r="C24" s="484">
        <v>50344</v>
      </c>
      <c r="D24" s="484"/>
      <c r="E24" s="489">
        <v>2198</v>
      </c>
      <c r="F24" s="484">
        <v>51946</v>
      </c>
      <c r="G24" s="490"/>
      <c r="H24" s="489">
        <v>2115</v>
      </c>
      <c r="I24" s="484">
        <v>46750.04</v>
      </c>
      <c r="J24" s="470"/>
      <c r="K24" s="470"/>
      <c r="L24" s="470"/>
    </row>
    <row r="25" spans="1:12" ht="15.6" customHeight="1">
      <c r="A25" s="483" t="s">
        <v>889</v>
      </c>
      <c r="B25" s="484">
        <v>986</v>
      </c>
      <c r="C25" s="484">
        <v>20247</v>
      </c>
      <c r="D25" s="491"/>
      <c r="E25" s="484">
        <v>875</v>
      </c>
      <c r="F25" s="484">
        <v>18252</v>
      </c>
      <c r="G25" s="490"/>
      <c r="H25" s="484">
        <v>840</v>
      </c>
      <c r="I25" s="484">
        <v>15869.45</v>
      </c>
      <c r="J25" s="470"/>
      <c r="K25" s="470"/>
      <c r="L25" s="470"/>
    </row>
    <row r="26" spans="1:12" ht="15.6" customHeight="1">
      <c r="A26" s="483" t="s">
        <v>890</v>
      </c>
      <c r="B26" s="474">
        <v>1665</v>
      </c>
      <c r="C26" s="484">
        <v>37198</v>
      </c>
      <c r="D26" s="491"/>
      <c r="E26" s="474">
        <v>1546</v>
      </c>
      <c r="F26" s="484">
        <v>37415</v>
      </c>
      <c r="H26" s="474">
        <v>1425</v>
      </c>
      <c r="I26" s="484">
        <v>31200.34</v>
      </c>
      <c r="J26" s="470"/>
      <c r="K26" s="470"/>
      <c r="L26" s="470"/>
    </row>
    <row r="27" spans="1:12" ht="15.6" customHeight="1">
      <c r="A27" s="483" t="s">
        <v>891</v>
      </c>
      <c r="B27" s="474">
        <v>1989</v>
      </c>
      <c r="C27" s="484">
        <v>46333</v>
      </c>
      <c r="D27" s="491"/>
      <c r="E27" s="474">
        <v>1710</v>
      </c>
      <c r="F27" s="484">
        <v>41868</v>
      </c>
      <c r="H27" s="474">
        <v>1527</v>
      </c>
      <c r="I27" s="484">
        <v>38051.22</v>
      </c>
      <c r="J27" s="470"/>
      <c r="K27" s="470"/>
      <c r="L27" s="470"/>
    </row>
    <row r="28" spans="1:12" ht="15.6" customHeight="1">
      <c r="A28" s="1078" t="s">
        <v>1077</v>
      </c>
      <c r="B28" s="474">
        <v>17</v>
      </c>
      <c r="C28" s="484">
        <v>320</v>
      </c>
      <c r="D28" s="491"/>
      <c r="E28" s="914" t="s">
        <v>1078</v>
      </c>
      <c r="F28" s="915" t="s">
        <v>1078</v>
      </c>
      <c r="H28" s="914"/>
      <c r="I28" s="915"/>
      <c r="J28" s="470"/>
      <c r="K28" s="470"/>
      <c r="L28" s="470"/>
    </row>
    <row r="29" spans="1:12" ht="15.6" customHeight="1">
      <c r="A29" s="483" t="s">
        <v>892</v>
      </c>
      <c r="B29" s="474">
        <v>727</v>
      </c>
      <c r="C29" s="484">
        <v>15655</v>
      </c>
      <c r="D29" s="491"/>
      <c r="E29" s="474">
        <v>561</v>
      </c>
      <c r="F29" s="484">
        <v>10621</v>
      </c>
      <c r="H29" s="474">
        <v>686</v>
      </c>
      <c r="I29" s="484">
        <v>12493.72</v>
      </c>
      <c r="J29" s="470"/>
      <c r="K29" s="470"/>
      <c r="L29" s="470"/>
    </row>
    <row r="30" spans="1:12" ht="15.6" customHeight="1">
      <c r="A30" s="483" t="s">
        <v>893</v>
      </c>
      <c r="B30" s="474">
        <v>2800</v>
      </c>
      <c r="C30" s="484">
        <v>74412</v>
      </c>
      <c r="D30" s="491"/>
      <c r="E30" s="474">
        <v>2056</v>
      </c>
      <c r="F30" s="484">
        <v>57644</v>
      </c>
      <c r="H30" s="474">
        <v>2046</v>
      </c>
      <c r="I30" s="484">
        <v>52416.61</v>
      </c>
      <c r="J30" s="470"/>
      <c r="K30" s="470"/>
      <c r="L30" s="470"/>
    </row>
    <row r="31" spans="1:12" ht="15.6" customHeight="1">
      <c r="A31" s="659" t="s">
        <v>894</v>
      </c>
      <c r="B31" s="474">
        <v>1419</v>
      </c>
      <c r="C31" s="484">
        <v>48562</v>
      </c>
      <c r="D31" s="491"/>
      <c r="E31" s="474">
        <v>1127</v>
      </c>
      <c r="F31" s="484">
        <v>37526</v>
      </c>
      <c r="H31" s="474">
        <v>1054</v>
      </c>
      <c r="I31" s="484">
        <v>31961.78</v>
      </c>
      <c r="J31" s="470"/>
      <c r="K31" s="470"/>
      <c r="L31" s="470"/>
    </row>
    <row r="32" spans="1:12" ht="15.6" customHeight="1">
      <c r="A32" s="659" t="s">
        <v>895</v>
      </c>
      <c r="B32" s="474">
        <v>942</v>
      </c>
      <c r="C32" s="484">
        <v>15554</v>
      </c>
      <c r="D32" s="491"/>
      <c r="E32" s="474">
        <v>828</v>
      </c>
      <c r="F32" s="484">
        <v>15974</v>
      </c>
      <c r="H32" s="474">
        <v>1050</v>
      </c>
      <c r="I32" s="484">
        <v>18035.13</v>
      </c>
      <c r="J32" s="470"/>
      <c r="K32" s="470"/>
      <c r="L32" s="470"/>
    </row>
    <row r="33" spans="1:10" ht="13.2">
      <c r="A33" s="492"/>
      <c r="B33" s="487"/>
      <c r="C33" s="482"/>
      <c r="D33" s="493"/>
      <c r="E33" s="487"/>
      <c r="F33" s="482"/>
      <c r="G33" s="482"/>
      <c r="H33" s="487"/>
      <c r="I33" s="482"/>
      <c r="J33" s="470"/>
    </row>
    <row r="34" spans="1:10" ht="15" customHeight="1">
      <c r="A34" s="494" t="s">
        <v>25</v>
      </c>
      <c r="B34" s="495">
        <f>SUM($B$6:$B$32)</f>
        <v>50514</v>
      </c>
      <c r="C34" s="496">
        <f>SUM($C$6:$C$32)</f>
        <v>1179891</v>
      </c>
      <c r="D34" s="497"/>
      <c r="E34" s="495">
        <f>SUM($E$6:$E$32)</f>
        <v>42250</v>
      </c>
      <c r="F34" s="496">
        <f>SUM($F$6:$F$32)</f>
        <v>1046281.6699999999</v>
      </c>
      <c r="G34" s="496"/>
      <c r="H34" s="495">
        <f>SUM($H$6:$H$32)</f>
        <v>40836</v>
      </c>
      <c r="I34" s="496">
        <f>SUM($I$6:$I$32)</f>
        <v>959848.83</v>
      </c>
      <c r="J34" s="470"/>
    </row>
    <row r="35" spans="1:10" ht="15" customHeight="1">
      <c r="A35" s="492"/>
      <c r="B35" s="498"/>
      <c r="C35" s="499"/>
      <c r="D35" s="500"/>
      <c r="E35" s="498"/>
      <c r="F35" s="501"/>
      <c r="G35" s="501"/>
      <c r="H35" s="498"/>
      <c r="I35" s="501"/>
      <c r="J35" s="470"/>
    </row>
    <row r="36" spans="1:10" ht="15" customHeight="1">
      <c r="A36" s="1036"/>
      <c r="B36" s="498"/>
      <c r="C36" s="500"/>
      <c r="D36" s="500"/>
      <c r="E36" s="498"/>
      <c r="F36" s="501"/>
      <c r="G36" s="501"/>
      <c r="H36" s="498"/>
      <c r="I36" s="501"/>
      <c r="J36" s="470"/>
    </row>
    <row r="37" spans="1:10" ht="15" customHeight="1">
      <c r="A37" s="486" t="s">
        <v>2</v>
      </c>
      <c r="B37" s="498"/>
      <c r="C37" s="500"/>
      <c r="D37" s="500"/>
      <c r="E37" s="498"/>
      <c r="F37" s="501"/>
      <c r="G37" s="501"/>
      <c r="H37" s="498"/>
      <c r="I37" s="501"/>
      <c r="J37" s="470"/>
    </row>
    <row r="38" spans="1:10" ht="27.75" customHeight="1">
      <c r="A38" s="1111" t="s">
        <v>896</v>
      </c>
      <c r="B38" s="1111"/>
      <c r="C38" s="1111"/>
      <c r="D38" s="1111"/>
      <c r="E38" s="1111"/>
      <c r="F38" s="1111"/>
      <c r="G38" s="1111"/>
      <c r="H38" s="1111"/>
      <c r="I38" s="1111"/>
      <c r="J38" s="470"/>
    </row>
    <row r="39" spans="1:10" ht="27.75" customHeight="1">
      <c r="A39" s="1112" t="s">
        <v>1118</v>
      </c>
      <c r="B39" s="1111"/>
      <c r="C39" s="1111"/>
      <c r="D39" s="1111"/>
      <c r="E39" s="1111"/>
      <c r="F39" s="1111"/>
      <c r="G39" s="1111"/>
      <c r="H39" s="1111"/>
      <c r="I39" s="1111"/>
      <c r="J39" s="470"/>
    </row>
    <row r="40" spans="1:10" ht="26.4" customHeight="1">
      <c r="A40" s="1113" t="s">
        <v>897</v>
      </c>
      <c r="B40" s="1113"/>
      <c r="C40" s="1113"/>
      <c r="D40" s="1113"/>
      <c r="E40" s="1113"/>
      <c r="F40" s="1113"/>
      <c r="G40" s="1113"/>
      <c r="H40" s="1113"/>
      <c r="I40" s="1113"/>
      <c r="J40" s="470"/>
    </row>
    <row r="41" spans="1:10" ht="13.2">
      <c r="A41" s="1112" t="s">
        <v>1080</v>
      </c>
      <c r="B41" s="1112"/>
      <c r="C41" s="1112"/>
      <c r="D41" s="1112"/>
      <c r="E41" s="1112"/>
      <c r="F41" s="1112"/>
      <c r="G41" s="1112"/>
      <c r="H41" s="1112"/>
      <c r="I41" s="1112"/>
      <c r="J41" s="470"/>
    </row>
    <row r="42" spans="1:10" ht="27" customHeight="1">
      <c r="A42" s="1107" t="s">
        <v>1117</v>
      </c>
      <c r="B42" s="1108"/>
      <c r="C42" s="1108"/>
      <c r="D42" s="1108"/>
      <c r="E42" s="1108"/>
      <c r="F42" s="1108"/>
      <c r="G42" s="1108"/>
      <c r="H42" s="1108"/>
      <c r="I42" s="1108"/>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8">
    <mergeCell ref="A42:I42"/>
    <mergeCell ref="B4:C4"/>
    <mergeCell ref="E4:F4"/>
    <mergeCell ref="H4:I4"/>
    <mergeCell ref="A38:I38"/>
    <mergeCell ref="A39:I39"/>
    <mergeCell ref="A40:I40"/>
    <mergeCell ref="A41:I41"/>
  </mergeCells>
  <conditionalFormatting sqref="J6:L32">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2"/>
  <headerFooter alignWithMargins="0"/>
  <ignoredErrors>
    <ignoredError sqref="D34 G34" formulaRange="1"/>
  </ignoredErrors>
</worksheet>
</file>

<file path=xl/worksheets/sheet14.xml><?xml version="1.0" encoding="utf-8"?>
<worksheet xmlns="http://schemas.openxmlformats.org/spreadsheetml/2006/main" xmlns:r="http://schemas.openxmlformats.org/officeDocument/2006/relationships">
  <sheetPr codeName="Sheet14"/>
  <dimension ref="A1:F43"/>
  <sheetViews>
    <sheetView zoomScaleNormal="100" workbookViewId="0"/>
  </sheetViews>
  <sheetFormatPr defaultColWidth="11.44140625" defaultRowHeight="15"/>
  <cols>
    <col min="1" max="1" width="36.33203125" style="199" bestFit="1" customWidth="1"/>
    <col min="2" max="3" width="11.44140625" style="199" customWidth="1"/>
    <col min="4" max="4" width="15.33203125" style="199" bestFit="1" customWidth="1"/>
    <col min="5" max="5" width="11.44140625" style="199" customWidth="1"/>
    <col min="6" max="6" width="14" style="199" bestFit="1" customWidth="1"/>
    <col min="7" max="16384" width="11.44140625" style="199"/>
  </cols>
  <sheetData>
    <row r="1" spans="1:6" ht="17.399999999999999">
      <c r="A1" s="198" t="s">
        <v>439</v>
      </c>
    </row>
    <row r="2" spans="1:6" ht="15.6">
      <c r="A2" s="200" t="s">
        <v>440</v>
      </c>
    </row>
    <row r="4" spans="1:6" ht="15.6" thickBot="1">
      <c r="A4" s="201"/>
      <c r="B4" s="201"/>
      <c r="C4" s="201"/>
      <c r="D4" s="201"/>
    </row>
    <row r="5" spans="1:6" ht="15.6" thickTop="1">
      <c r="A5" s="202" t="s">
        <v>44</v>
      </c>
      <c r="B5" s="202"/>
      <c r="C5" s="202"/>
      <c r="D5" s="202" t="s">
        <v>30</v>
      </c>
      <c r="E5" s="201"/>
    </row>
    <row r="6" spans="1:6">
      <c r="A6" s="203">
        <v>2003</v>
      </c>
      <c r="B6" s="204"/>
      <c r="C6" s="204"/>
      <c r="D6" s="1082">
        <v>343318607</v>
      </c>
      <c r="E6" s="205"/>
    </row>
    <row r="7" spans="1:6">
      <c r="A7" s="203">
        <v>2004</v>
      </c>
      <c r="B7" s="204"/>
      <c r="C7" s="204"/>
      <c r="D7" s="206">
        <v>425715754</v>
      </c>
      <c r="E7" s="205"/>
    </row>
    <row r="8" spans="1:6">
      <c r="A8" s="203">
        <v>2005</v>
      </c>
      <c r="B8" s="204"/>
      <c r="C8" s="204"/>
      <c r="D8" s="207">
        <v>616690263</v>
      </c>
      <c r="E8" s="205"/>
    </row>
    <row r="9" spans="1:6">
      <c r="A9" s="203">
        <v>2006</v>
      </c>
      <c r="B9" s="204"/>
      <c r="C9" s="204"/>
      <c r="D9" s="206">
        <v>867115786</v>
      </c>
      <c r="E9" s="205"/>
      <c r="F9" s="207"/>
    </row>
    <row r="10" spans="1:6">
      <c r="A10" s="208">
        <v>2007</v>
      </c>
      <c r="B10" s="204"/>
      <c r="C10" s="204"/>
      <c r="D10" s="207">
        <v>879575371</v>
      </c>
      <c r="E10" s="205"/>
    </row>
    <row r="11" spans="1:6">
      <c r="A11" s="208">
        <v>2008</v>
      </c>
      <c r="B11" s="204"/>
      <c r="C11" s="204"/>
      <c r="D11" s="207">
        <v>807851584</v>
      </c>
      <c r="E11" s="205"/>
    </row>
    <row r="12" spans="1:6">
      <c r="A12" s="208">
        <v>2009</v>
      </c>
      <c r="D12" s="207">
        <v>648032537</v>
      </c>
      <c r="E12" s="205"/>
    </row>
    <row r="13" spans="1:6">
      <c r="A13" s="208">
        <v>2010</v>
      </c>
      <c r="D13" s="207">
        <v>806472760</v>
      </c>
      <c r="E13" s="205"/>
    </row>
    <row r="14" spans="1:6">
      <c r="A14" s="208">
        <v>2011</v>
      </c>
      <c r="D14" s="209">
        <f>1013731935.17-191473132.33</f>
        <v>822258802.83999991</v>
      </c>
      <c r="E14" s="205"/>
    </row>
    <row r="15" spans="1:6">
      <c r="A15" s="208">
        <v>2012</v>
      </c>
      <c r="D15" s="209">
        <f>1086390871.37-226468031.82</f>
        <v>859922839.54999995</v>
      </c>
    </row>
    <row r="16" spans="1:6">
      <c r="A16" s="208">
        <v>2013</v>
      </c>
      <c r="D16" s="209">
        <f>1373567698.7-576839544.3</f>
        <v>796728154.4000001</v>
      </c>
    </row>
    <row r="17" spans="1:4">
      <c r="D17" s="1027"/>
    </row>
    <row r="18" spans="1:4">
      <c r="A18" s="199" t="s">
        <v>2</v>
      </c>
    </row>
    <row r="19" spans="1:4">
      <c r="A19" s="199" t="s">
        <v>441</v>
      </c>
    </row>
    <row r="20" spans="1:4">
      <c r="A20" s="199" t="s">
        <v>442</v>
      </c>
    </row>
    <row r="42" spans="1:4">
      <c r="A42" s="203"/>
      <c r="B42" s="204"/>
      <c r="C42" s="204"/>
      <c r="D42" s="210"/>
    </row>
    <row r="43" spans="1:4">
      <c r="A43" s="208"/>
      <c r="B43" s="204"/>
      <c r="C43" s="204"/>
      <c r="D43" s="211"/>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sheetPr codeName="Sheet10"/>
  <dimension ref="A1:P32"/>
  <sheetViews>
    <sheetView zoomScaleNormal="100" workbookViewId="0"/>
  </sheetViews>
  <sheetFormatPr defaultColWidth="9.109375" defaultRowHeight="13.2"/>
  <cols>
    <col min="1" max="1" width="27.88671875" style="66" customWidth="1"/>
    <col min="2" max="2" width="12.109375" style="66" customWidth="1"/>
    <col min="3" max="3" width="3.109375" style="66" customWidth="1"/>
    <col min="4" max="4" width="10.109375" style="66" customWidth="1"/>
    <col min="5" max="5" width="3.109375" style="66" customWidth="1"/>
    <col min="6" max="6" width="12.5546875" style="66" customWidth="1"/>
    <col min="7" max="7" width="2.5546875" style="66" customWidth="1"/>
    <col min="8" max="8" width="15.5546875" style="66" bestFit="1" customWidth="1"/>
    <col min="9" max="9" width="2.5546875" style="66" customWidth="1"/>
    <col min="10" max="10" width="9.44140625" style="66" bestFit="1" customWidth="1"/>
    <col min="11" max="11" width="2.5546875" style="66" customWidth="1"/>
    <col min="12" max="12" width="15.88671875" style="66" bestFit="1" customWidth="1"/>
    <col min="13" max="13" width="2.5546875" style="66" customWidth="1"/>
    <col min="14" max="14" width="9.44140625" style="66" bestFit="1" customWidth="1"/>
    <col min="15" max="16384" width="9.109375" style="66"/>
  </cols>
  <sheetData>
    <row r="1" spans="1:16" ht="17.399999999999999">
      <c r="A1" s="61" t="s">
        <v>45</v>
      </c>
      <c r="B1" s="64"/>
      <c r="C1" s="64"/>
      <c r="D1" s="64"/>
      <c r="E1" s="64"/>
      <c r="F1" s="65"/>
      <c r="G1" s="65"/>
      <c r="H1" s="64"/>
      <c r="I1" s="64"/>
      <c r="J1" s="65"/>
      <c r="K1" s="65"/>
      <c r="L1" s="64"/>
      <c r="M1" s="64"/>
      <c r="N1" s="65"/>
    </row>
    <row r="2" spans="1:16" ht="15.6">
      <c r="A2" s="62" t="s">
        <v>46</v>
      </c>
      <c r="B2" s="64"/>
      <c r="C2" s="64"/>
      <c r="D2" s="64"/>
      <c r="E2" s="64"/>
      <c r="F2" s="65"/>
      <c r="G2" s="65"/>
      <c r="H2" s="64"/>
      <c r="I2" s="64"/>
      <c r="J2" s="65"/>
      <c r="K2" s="65"/>
      <c r="L2" s="64"/>
      <c r="M2" s="64"/>
      <c r="N2" s="65"/>
    </row>
    <row r="3" spans="1:16">
      <c r="A3" s="919" t="s">
        <v>1094</v>
      </c>
      <c r="B3" s="68"/>
      <c r="C3" s="68"/>
      <c r="D3" s="68"/>
      <c r="E3" s="68"/>
      <c r="F3" s="69"/>
      <c r="G3" s="69"/>
      <c r="H3" s="68"/>
      <c r="I3" s="68"/>
      <c r="J3" s="69"/>
      <c r="K3" s="69"/>
      <c r="L3" s="68"/>
      <c r="M3" s="68"/>
      <c r="N3" s="69"/>
    </row>
    <row r="4" spans="1:16" ht="13.8" thickBot="1">
      <c r="A4" s="67"/>
      <c r="B4" s="68"/>
      <c r="C4" s="68"/>
      <c r="D4" s="68"/>
      <c r="E4" s="68"/>
      <c r="F4" s="69"/>
      <c r="G4" s="69"/>
      <c r="H4" s="68"/>
      <c r="I4" s="68"/>
      <c r="J4" s="69"/>
      <c r="K4" s="69"/>
      <c r="L4" s="68"/>
      <c r="M4" s="68"/>
      <c r="N4" s="69"/>
    </row>
    <row r="5" spans="1:16">
      <c r="A5" s="70" t="s">
        <v>47</v>
      </c>
      <c r="B5" s="1114" t="s">
        <v>48</v>
      </c>
      <c r="C5" s="1114"/>
      <c r="D5" s="1114"/>
      <c r="E5" s="1115"/>
      <c r="F5" s="71" t="s">
        <v>49</v>
      </c>
      <c r="G5" s="72"/>
      <c r="H5" s="73" t="s">
        <v>50</v>
      </c>
      <c r="I5" s="73"/>
      <c r="J5" s="71" t="s">
        <v>49</v>
      </c>
      <c r="K5" s="71"/>
      <c r="L5" s="73" t="s">
        <v>51</v>
      </c>
      <c r="M5" s="73"/>
      <c r="N5" s="71" t="s">
        <v>49</v>
      </c>
    </row>
    <row r="6" spans="1:16" ht="15.6">
      <c r="A6" s="74" t="s">
        <v>52</v>
      </c>
      <c r="B6" s="75" t="s">
        <v>72</v>
      </c>
      <c r="C6" s="76"/>
      <c r="D6" s="75" t="s">
        <v>53</v>
      </c>
      <c r="E6" s="77"/>
      <c r="F6" s="78" t="s">
        <v>25</v>
      </c>
      <c r="G6" s="79"/>
      <c r="H6" s="77" t="s">
        <v>32</v>
      </c>
      <c r="I6" s="77"/>
      <c r="J6" s="78" t="s">
        <v>25</v>
      </c>
      <c r="K6" s="78"/>
      <c r="L6" s="77" t="s">
        <v>54</v>
      </c>
      <c r="M6" s="77"/>
      <c r="N6" s="78" t="s">
        <v>25</v>
      </c>
    </row>
    <row r="7" spans="1:16">
      <c r="A7" s="80"/>
      <c r="B7" s="81"/>
      <c r="C7" s="81"/>
      <c r="D7" s="81"/>
      <c r="E7" s="81"/>
      <c r="F7" s="82"/>
      <c r="G7" s="82"/>
      <c r="H7" s="81"/>
      <c r="I7" s="81"/>
      <c r="J7" s="82"/>
      <c r="K7" s="82"/>
      <c r="L7" s="81"/>
      <c r="M7" s="81"/>
      <c r="N7" s="82"/>
    </row>
    <row r="8" spans="1:16">
      <c r="A8" s="83" t="s">
        <v>55</v>
      </c>
      <c r="B8" s="84">
        <v>188001</v>
      </c>
      <c r="C8" s="68"/>
      <c r="D8" s="84">
        <v>43075</v>
      </c>
      <c r="E8" s="68"/>
      <c r="F8" s="85">
        <v>0.65007093054842902</v>
      </c>
      <c r="G8" s="85"/>
      <c r="H8" s="86">
        <v>0</v>
      </c>
      <c r="I8" s="87"/>
      <c r="J8" s="88">
        <v>0</v>
      </c>
      <c r="K8" s="88"/>
      <c r="L8" s="86">
        <v>17272575.350000001</v>
      </c>
      <c r="M8" s="87"/>
      <c r="N8" s="88">
        <v>1.8449043611498891E-2</v>
      </c>
      <c r="O8" s="44"/>
      <c r="P8" s="795"/>
    </row>
    <row r="9" spans="1:16">
      <c r="A9" s="89" t="s">
        <v>56</v>
      </c>
      <c r="B9" s="84"/>
      <c r="C9" s="68"/>
      <c r="D9" s="84">
        <v>13951</v>
      </c>
      <c r="E9" s="68"/>
      <c r="F9" s="85">
        <v>0.21054299598563278</v>
      </c>
      <c r="G9" s="85"/>
      <c r="H9" s="90">
        <v>84957473.310000002</v>
      </c>
      <c r="I9" s="87"/>
      <c r="J9" s="88">
        <v>5.8164887125345954E-3</v>
      </c>
      <c r="K9" s="88"/>
      <c r="L9" s="90">
        <v>5528434.5300000003</v>
      </c>
      <c r="M9" s="87"/>
      <c r="N9" s="88">
        <v>5.9049868175730016E-3</v>
      </c>
      <c r="O9" s="44"/>
      <c r="P9" s="795"/>
    </row>
    <row r="10" spans="1:16">
      <c r="A10" s="89" t="s">
        <v>57</v>
      </c>
      <c r="B10" s="84"/>
      <c r="C10" s="68"/>
      <c r="D10" s="84">
        <v>2496</v>
      </c>
      <c r="E10" s="68"/>
      <c r="F10" s="85">
        <v>3.7668648697594398E-2</v>
      </c>
      <c r="G10" s="85"/>
      <c r="H10" s="90">
        <v>89499826</v>
      </c>
      <c r="I10" s="91"/>
      <c r="J10" s="88">
        <v>6.1274742223476125E-3</v>
      </c>
      <c r="K10" s="88"/>
      <c r="L10" s="90">
        <v>5369991.6600000001</v>
      </c>
      <c r="M10" s="91"/>
      <c r="N10" s="88">
        <v>5.7357520995689462E-3</v>
      </c>
      <c r="O10" s="44"/>
      <c r="P10" s="795"/>
    </row>
    <row r="11" spans="1:16">
      <c r="A11" s="89" t="s">
        <v>58</v>
      </c>
      <c r="B11" s="84"/>
      <c r="C11" s="68"/>
      <c r="D11" s="84">
        <v>2128</v>
      </c>
      <c r="E11" s="68"/>
      <c r="F11" s="85">
        <v>3.2114937671667017E-2</v>
      </c>
      <c r="G11" s="85"/>
      <c r="H11" s="90">
        <v>149635506</v>
      </c>
      <c r="I11" s="91"/>
      <c r="J11" s="88">
        <v>1.0244575288480912E-2</v>
      </c>
      <c r="K11" s="88"/>
      <c r="L11" s="90">
        <v>9004648.9600000009</v>
      </c>
      <c r="M11" s="91"/>
      <c r="N11" s="88">
        <v>9.6179728849339272E-3</v>
      </c>
      <c r="O11" s="44"/>
      <c r="P11" s="795"/>
    </row>
    <row r="12" spans="1:16">
      <c r="A12" s="89" t="s">
        <v>59</v>
      </c>
      <c r="B12" s="84"/>
      <c r="C12" s="68"/>
      <c r="D12" s="84">
        <v>2680</v>
      </c>
      <c r="E12" s="68"/>
      <c r="F12" s="85">
        <v>4.0445504210558085E-2</v>
      </c>
      <c r="G12" s="85"/>
      <c r="H12" s="90">
        <v>612427026.66999996</v>
      </c>
      <c r="I12" s="91"/>
      <c r="J12" s="88">
        <v>4.1928917481799555E-2</v>
      </c>
      <c r="K12" s="88"/>
      <c r="L12" s="90">
        <v>38307221.079999998</v>
      </c>
      <c r="M12" s="91"/>
      <c r="N12" s="92">
        <v>4.0916399437808768E-2</v>
      </c>
      <c r="O12" s="44"/>
      <c r="P12" s="795"/>
    </row>
    <row r="13" spans="1:16">
      <c r="A13" s="89" t="s">
        <v>60</v>
      </c>
      <c r="B13" s="84"/>
      <c r="C13" s="68"/>
      <c r="D13" s="84">
        <v>674</v>
      </c>
      <c r="E13" s="68"/>
      <c r="F13" s="85">
        <v>1.0171742476834385E-2</v>
      </c>
      <c r="G13" s="85"/>
      <c r="H13" s="90">
        <v>472553597.86000001</v>
      </c>
      <c r="I13" s="91"/>
      <c r="J13" s="88">
        <v>3.235268847969347E-2</v>
      </c>
      <c r="K13" s="88"/>
      <c r="L13" s="90">
        <v>28362501.760000002</v>
      </c>
      <c r="M13" s="91"/>
      <c r="N13" s="92">
        <v>3.0294326196206405E-2</v>
      </c>
      <c r="O13" s="44"/>
      <c r="P13" s="795"/>
    </row>
    <row r="14" spans="1:16">
      <c r="A14" s="89" t="s">
        <v>61</v>
      </c>
      <c r="B14" s="84"/>
      <c r="C14" s="68"/>
      <c r="D14" s="84">
        <v>463</v>
      </c>
      <c r="E14" s="68"/>
      <c r="F14" s="85">
        <v>6.9874136005553715E-3</v>
      </c>
      <c r="G14" s="85"/>
      <c r="H14" s="90">
        <v>648566393</v>
      </c>
      <c r="I14" s="91"/>
      <c r="J14" s="88">
        <v>4.4403146153473759E-2</v>
      </c>
      <c r="K14" s="88"/>
      <c r="L14" s="90">
        <v>39091491.759999998</v>
      </c>
      <c r="M14" s="91"/>
      <c r="N14" s="88">
        <v>4.1754088299217604E-2</v>
      </c>
      <c r="O14" s="44"/>
      <c r="P14" s="795"/>
    </row>
    <row r="15" spans="1:16">
      <c r="A15" s="89" t="s">
        <v>62</v>
      </c>
      <c r="B15" s="84"/>
      <c r="C15" s="68"/>
      <c r="D15" s="84">
        <v>596</v>
      </c>
      <c r="E15" s="68"/>
      <c r="F15" s="85">
        <v>8.9945972050345605E-3</v>
      </c>
      <c r="G15" s="85"/>
      <c r="H15" s="90">
        <v>2465796293</v>
      </c>
      <c r="I15" s="91"/>
      <c r="J15" s="88">
        <v>0.1688171239899148</v>
      </c>
      <c r="K15" s="88"/>
      <c r="L15" s="90">
        <v>148181591.34</v>
      </c>
      <c r="M15" s="91"/>
      <c r="N15" s="88">
        <v>0.15827452395817548</v>
      </c>
      <c r="O15" s="44"/>
      <c r="P15" s="795"/>
    </row>
    <row r="16" spans="1:16">
      <c r="A16" s="89" t="s">
        <v>63</v>
      </c>
      <c r="B16" s="84"/>
      <c r="C16" s="68"/>
      <c r="D16" s="84">
        <v>199</v>
      </c>
      <c r="E16" s="68"/>
      <c r="F16" s="85">
        <v>3.0032296036944252E-3</v>
      </c>
      <c r="G16" s="85"/>
      <c r="H16" s="90">
        <v>10182066112.33</v>
      </c>
      <c r="I16" s="91"/>
      <c r="J16" s="88">
        <v>0.69710021149696133</v>
      </c>
      <c r="K16" s="88"/>
      <c r="L16" s="90">
        <v>651064178.72000003</v>
      </c>
      <c r="M16" s="91"/>
      <c r="N16" s="88">
        <v>0.69540940963907782</v>
      </c>
      <c r="O16" s="44"/>
      <c r="P16" s="795"/>
    </row>
    <row r="17" spans="1:14">
      <c r="A17" s="89"/>
      <c r="B17" s="68"/>
      <c r="C17" s="68"/>
      <c r="D17" s="68"/>
      <c r="E17" s="68"/>
      <c r="F17" s="93"/>
      <c r="G17" s="93"/>
      <c r="H17" s="68"/>
      <c r="I17" s="68"/>
      <c r="J17" s="93"/>
      <c r="K17" s="93"/>
      <c r="L17" s="68"/>
      <c r="M17" s="68"/>
      <c r="N17" s="93"/>
    </row>
    <row r="18" spans="1:14">
      <c r="A18" s="94" t="s">
        <v>64</v>
      </c>
      <c r="B18" s="95">
        <f>B8</f>
        <v>188001</v>
      </c>
      <c r="C18" s="95"/>
      <c r="D18" s="95">
        <f>SUM(D8:D16)</f>
        <v>66262</v>
      </c>
      <c r="E18" s="96"/>
      <c r="F18" s="97">
        <f>SUM(F8:F16)</f>
        <v>1</v>
      </c>
      <c r="G18" s="97"/>
      <c r="H18" s="98">
        <f>SUM(H8:H16)</f>
        <v>14705502228.17</v>
      </c>
      <c r="I18" s="99"/>
      <c r="J18" s="97">
        <f>SUM(J8:J16)</f>
        <v>1.006790625825206</v>
      </c>
      <c r="K18" s="97"/>
      <c r="L18" s="98">
        <f>SUM(L8:L16)</f>
        <v>942182635.16000009</v>
      </c>
      <c r="M18" s="99"/>
      <c r="N18" s="802">
        <f>SUM(N8:N16)</f>
        <v>1.0063565029440609</v>
      </c>
    </row>
    <row r="19" spans="1:14">
      <c r="A19" s="100"/>
      <c r="B19" s="101"/>
      <c r="C19" s="101"/>
      <c r="D19" s="101"/>
      <c r="E19" s="101"/>
      <c r="F19" s="102"/>
      <c r="G19" s="102"/>
      <c r="H19" s="103"/>
      <c r="I19" s="103"/>
      <c r="J19" s="103"/>
      <c r="K19" s="102"/>
      <c r="L19" s="103"/>
      <c r="M19" s="103"/>
      <c r="N19" s="102"/>
    </row>
    <row r="20" spans="1:14">
      <c r="A20" s="1059" t="s">
        <v>65</v>
      </c>
      <c r="B20" s="84"/>
      <c r="C20" s="68"/>
      <c r="D20" s="84"/>
      <c r="E20" s="68"/>
      <c r="F20" s="93"/>
      <c r="G20" s="104" t="s">
        <v>1114</v>
      </c>
      <c r="H20" s="84">
        <v>-99186028</v>
      </c>
      <c r="I20" s="68"/>
      <c r="J20" s="796">
        <v>-6.7906258252060569E-3</v>
      </c>
      <c r="K20" s="93"/>
      <c r="L20" s="84">
        <v>-5951158.1400001049</v>
      </c>
      <c r="M20" s="68"/>
      <c r="N20" s="93">
        <v>-6.3565029440608893E-3</v>
      </c>
    </row>
    <row r="21" spans="1:14">
      <c r="A21" s="83"/>
      <c r="B21" s="68"/>
      <c r="C21" s="68"/>
      <c r="D21" s="68"/>
      <c r="E21" s="68"/>
      <c r="F21" s="104"/>
      <c r="G21" s="104"/>
      <c r="H21" s="91"/>
      <c r="I21" s="91"/>
      <c r="J21" s="91"/>
      <c r="K21" s="93"/>
      <c r="L21" s="68"/>
      <c r="M21" s="68"/>
      <c r="N21" s="93"/>
    </row>
    <row r="22" spans="1:14">
      <c r="A22" s="105" t="s">
        <v>66</v>
      </c>
      <c r="B22" s="106"/>
      <c r="C22" s="106"/>
      <c r="D22" s="106"/>
      <c r="E22" s="106"/>
      <c r="F22" s="107"/>
      <c r="G22" s="107"/>
      <c r="H22" s="110">
        <f>SUM(H18,H20)</f>
        <v>14606316200.17</v>
      </c>
      <c r="I22" s="108"/>
      <c r="J22" s="109">
        <f>SUM(J18,J20)</f>
        <v>0.99999999999999989</v>
      </c>
      <c r="K22" s="107"/>
      <c r="L22" s="110">
        <f>SUM(L18,L20)</f>
        <v>936231477.01999998</v>
      </c>
      <c r="M22" s="108"/>
      <c r="N22" s="109">
        <f>SUM(N18,N20)</f>
        <v>1</v>
      </c>
    </row>
    <row r="23" spans="1:14">
      <c r="A23" s="111"/>
      <c r="B23" s="112"/>
      <c r="C23" s="112"/>
      <c r="D23" s="112"/>
      <c r="E23" s="112"/>
      <c r="F23" s="113"/>
      <c r="G23" s="113"/>
      <c r="H23" s="114"/>
      <c r="I23" s="114"/>
      <c r="J23" s="113"/>
      <c r="K23" s="113"/>
      <c r="L23" s="114"/>
      <c r="M23" s="114"/>
      <c r="N23" s="113"/>
    </row>
    <row r="24" spans="1:14" ht="13.2" customHeight="1">
      <c r="A24" s="100" t="s">
        <v>2</v>
      </c>
      <c r="B24" s="115"/>
      <c r="C24" s="115"/>
      <c r="D24" s="115"/>
      <c r="E24" s="115"/>
      <c r="F24" s="116"/>
      <c r="G24" s="116"/>
      <c r="H24" s="117"/>
      <c r="I24" s="117"/>
      <c r="J24" s="116"/>
      <c r="K24" s="116"/>
      <c r="L24" s="117"/>
      <c r="M24" s="117"/>
      <c r="N24" s="116"/>
    </row>
    <row r="25" spans="1:14" ht="13.2" customHeight="1">
      <c r="A25" s="83" t="s">
        <v>67</v>
      </c>
      <c r="B25" s="68"/>
      <c r="C25" s="68"/>
      <c r="D25" s="68"/>
      <c r="E25" s="68"/>
      <c r="F25" s="69"/>
      <c r="G25" s="69"/>
      <c r="H25" s="68"/>
      <c r="I25" s="68"/>
      <c r="J25" s="69"/>
      <c r="K25" s="69"/>
      <c r="L25" s="118"/>
      <c r="M25" s="118"/>
      <c r="N25" s="69"/>
    </row>
    <row r="26" spans="1:14" ht="13.2" customHeight="1">
      <c r="A26" s="83" t="s">
        <v>68</v>
      </c>
      <c r="B26" s="68"/>
      <c r="C26" s="68"/>
      <c r="D26" s="68"/>
      <c r="E26" s="68"/>
      <c r="F26" s="69"/>
      <c r="G26" s="69"/>
      <c r="H26" s="68"/>
      <c r="I26" s="68"/>
      <c r="J26" s="69"/>
      <c r="K26" s="69"/>
      <c r="L26" s="118"/>
      <c r="M26" s="118"/>
      <c r="N26" s="69"/>
    </row>
    <row r="27" spans="1:14" ht="13.2" customHeight="1">
      <c r="A27" s="83" t="s">
        <v>69</v>
      </c>
      <c r="B27" s="68"/>
      <c r="C27" s="68"/>
      <c r="D27" s="68"/>
      <c r="E27" s="68"/>
      <c r="F27" s="69"/>
      <c r="G27" s="69"/>
      <c r="H27" s="68"/>
      <c r="I27" s="68"/>
      <c r="J27" s="69"/>
      <c r="K27" s="69"/>
      <c r="L27" s="118"/>
      <c r="M27" s="118"/>
      <c r="N27" s="69"/>
    </row>
    <row r="28" spans="1:14" ht="13.2" customHeight="1">
      <c r="A28" s="67" t="s">
        <v>70</v>
      </c>
      <c r="B28" s="68"/>
      <c r="C28" s="68"/>
      <c r="D28" s="68"/>
      <c r="E28" s="68"/>
      <c r="F28" s="69"/>
      <c r="G28" s="69"/>
      <c r="H28" s="68"/>
      <c r="I28" s="68"/>
      <c r="J28" s="69"/>
      <c r="K28" s="69"/>
      <c r="L28" s="68"/>
      <c r="M28" s="68"/>
      <c r="N28" s="69"/>
    </row>
    <row r="29" spans="1:14" ht="13.2" customHeight="1">
      <c r="A29" s="67" t="s">
        <v>71</v>
      </c>
      <c r="B29" s="68"/>
      <c r="C29" s="68"/>
      <c r="D29" s="68"/>
      <c r="E29" s="68"/>
      <c r="F29" s="69"/>
      <c r="G29" s="69"/>
      <c r="H29" s="68"/>
      <c r="I29" s="68"/>
      <c r="J29" s="69"/>
      <c r="K29" s="69"/>
      <c r="L29" s="68"/>
      <c r="M29" s="68"/>
      <c r="N29" s="69"/>
    </row>
    <row r="30" spans="1:14" ht="13.2" customHeight="1">
      <c r="A30" s="67"/>
      <c r="B30" s="68"/>
      <c r="C30" s="68"/>
      <c r="D30" s="68"/>
      <c r="E30" s="68"/>
      <c r="F30" s="69"/>
      <c r="G30" s="69"/>
      <c r="H30" s="68"/>
      <c r="I30" s="68"/>
      <c r="J30" s="69"/>
      <c r="K30" s="69"/>
      <c r="L30" s="68"/>
      <c r="M30" s="68"/>
      <c r="N30" s="69"/>
    </row>
    <row r="31" spans="1:14" ht="26.4" customHeight="1">
      <c r="A31" s="1116" t="s">
        <v>1095</v>
      </c>
      <c r="B31" s="1117"/>
      <c r="C31" s="1117"/>
      <c r="D31" s="1117"/>
      <c r="E31" s="1117"/>
      <c r="F31" s="1117"/>
      <c r="G31" s="1117"/>
      <c r="H31" s="1117"/>
      <c r="I31" s="1117"/>
      <c r="J31" s="1117"/>
      <c r="K31" s="1117"/>
      <c r="L31" s="1117"/>
      <c r="M31" s="1117"/>
      <c r="N31" s="1117"/>
    </row>
    <row r="32" spans="1:14" ht="26.4" customHeight="1">
      <c r="A32" s="1118" t="s">
        <v>1082</v>
      </c>
      <c r="B32" s="1119"/>
      <c r="C32" s="1119"/>
      <c r="D32" s="1119"/>
      <c r="E32" s="1119"/>
      <c r="F32" s="1119"/>
      <c r="G32" s="1119"/>
      <c r="H32" s="1119"/>
      <c r="I32" s="1119"/>
      <c r="J32" s="1119"/>
      <c r="K32" s="1119"/>
      <c r="L32" s="1119"/>
      <c r="M32" s="1119"/>
      <c r="N32" s="1117"/>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B5:E5"/>
    <mergeCell ref="A31:N31"/>
    <mergeCell ref="A32:N32"/>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sheetPr codeName="Sheet26">
    <pageSetUpPr fitToPage="1"/>
  </sheetPr>
  <dimension ref="A1:F60"/>
  <sheetViews>
    <sheetView zoomScaleNormal="100" workbookViewId="0"/>
  </sheetViews>
  <sheetFormatPr defaultRowHeight="13.2"/>
  <cols>
    <col min="1" max="1" width="26.44140625" style="193" customWidth="1"/>
    <col min="2" max="2" width="68.44140625" style="193" customWidth="1"/>
    <col min="3" max="3" width="27.44140625" style="193" bestFit="1" customWidth="1"/>
    <col min="4" max="4" width="24.6640625" style="193" customWidth="1"/>
    <col min="5" max="5" width="12.44140625" bestFit="1" customWidth="1"/>
    <col min="6" max="6" width="14.33203125" style="193" bestFit="1" customWidth="1"/>
  </cols>
  <sheetData>
    <row r="1" spans="1:6" ht="17.399999999999999">
      <c r="A1" s="194" t="s">
        <v>73</v>
      </c>
    </row>
    <row r="2" spans="1:6" ht="15.6">
      <c r="A2" s="195" t="s">
        <v>378</v>
      </c>
    </row>
    <row r="3" spans="1:6" ht="13.8">
      <c r="A3" s="797" t="s">
        <v>1097</v>
      </c>
    </row>
    <row r="4" spans="1:6" ht="13.8" thickBot="1">
      <c r="A4" s="196"/>
      <c r="B4" s="196"/>
      <c r="C4" s="196"/>
      <c r="D4" s="196"/>
      <c r="E4" s="197"/>
      <c r="F4" s="196"/>
    </row>
    <row r="5" spans="1:6" ht="27.75" customHeight="1" thickTop="1">
      <c r="A5" s="803" t="s">
        <v>347</v>
      </c>
      <c r="B5" s="803" t="s">
        <v>272</v>
      </c>
      <c r="C5" s="803" t="s">
        <v>273</v>
      </c>
      <c r="D5" s="803" t="s">
        <v>348</v>
      </c>
      <c r="E5" s="803" t="s">
        <v>349</v>
      </c>
      <c r="F5" s="803" t="s">
        <v>30</v>
      </c>
    </row>
    <row r="6" spans="1:6" ht="13.2" customHeight="1">
      <c r="A6" s="804"/>
      <c r="B6" s="804"/>
      <c r="C6" s="804"/>
      <c r="D6" s="804"/>
      <c r="E6" s="804"/>
      <c r="F6" s="804"/>
    </row>
    <row r="7" spans="1:6" ht="13.2" customHeight="1">
      <c r="A7" s="805" t="s">
        <v>274</v>
      </c>
      <c r="B7" s="805" t="s">
        <v>371</v>
      </c>
      <c r="C7" s="806" t="s">
        <v>275</v>
      </c>
      <c r="D7" s="805" t="s">
        <v>350</v>
      </c>
      <c r="E7" s="963">
        <v>4320</v>
      </c>
      <c r="F7" s="964">
        <v>8395773.5199999996</v>
      </c>
    </row>
    <row r="8" spans="1:6" ht="13.2" customHeight="1">
      <c r="A8" s="805" t="s">
        <v>276</v>
      </c>
      <c r="B8" s="805" t="s">
        <v>277</v>
      </c>
      <c r="C8" s="806" t="s">
        <v>278</v>
      </c>
      <c r="D8" s="805" t="s">
        <v>350</v>
      </c>
      <c r="E8" s="963">
        <v>56</v>
      </c>
      <c r="F8" s="963">
        <v>1800744</v>
      </c>
    </row>
    <row r="9" spans="1:6" ht="13.2" customHeight="1">
      <c r="A9" s="805" t="s">
        <v>279</v>
      </c>
      <c r="B9" s="805" t="s">
        <v>280</v>
      </c>
      <c r="C9" s="806" t="s">
        <v>281</v>
      </c>
      <c r="D9" s="805" t="s">
        <v>350</v>
      </c>
      <c r="E9" s="963">
        <v>216</v>
      </c>
      <c r="F9" s="963">
        <v>428838.8</v>
      </c>
    </row>
    <row r="10" spans="1:6" ht="13.2" customHeight="1">
      <c r="A10" s="805" t="s">
        <v>282</v>
      </c>
      <c r="B10" s="805" t="s">
        <v>283</v>
      </c>
      <c r="C10" s="806" t="s">
        <v>284</v>
      </c>
      <c r="D10" s="805" t="s">
        <v>350</v>
      </c>
      <c r="E10" s="963">
        <v>9</v>
      </c>
      <c r="F10" s="963">
        <v>129507.84</v>
      </c>
    </row>
    <row r="11" spans="1:6" ht="13.2" customHeight="1">
      <c r="A11" s="807" t="s">
        <v>285</v>
      </c>
      <c r="B11" s="807" t="s">
        <v>286</v>
      </c>
      <c r="C11" s="808" t="s">
        <v>287</v>
      </c>
      <c r="D11" s="807" t="s">
        <v>350</v>
      </c>
      <c r="E11" s="809">
        <v>128</v>
      </c>
      <c r="F11" s="965">
        <v>224790.9</v>
      </c>
    </row>
    <row r="12" spans="1:6" ht="13.2" customHeight="1">
      <c r="A12" s="805"/>
      <c r="B12" s="805"/>
      <c r="C12" s="806"/>
      <c r="D12" s="805"/>
      <c r="E12" s="963"/>
      <c r="F12" s="811"/>
    </row>
    <row r="13" spans="1:6" ht="26.4">
      <c r="A13" s="812" t="s">
        <v>288</v>
      </c>
      <c r="B13" s="805" t="s">
        <v>289</v>
      </c>
      <c r="C13" s="806" t="s">
        <v>290</v>
      </c>
      <c r="D13" s="805" t="s">
        <v>350</v>
      </c>
      <c r="E13" s="963">
        <v>20</v>
      </c>
      <c r="F13" s="963">
        <v>6084</v>
      </c>
    </row>
    <row r="14" spans="1:6" ht="13.2" customHeight="1">
      <c r="A14" s="805" t="s">
        <v>291</v>
      </c>
      <c r="B14" s="805" t="s">
        <v>292</v>
      </c>
      <c r="C14" s="806" t="s">
        <v>293</v>
      </c>
      <c r="D14" s="805" t="s">
        <v>350</v>
      </c>
      <c r="E14" s="963">
        <v>195</v>
      </c>
      <c r="F14" s="963">
        <v>2773842.5200000005</v>
      </c>
    </row>
    <row r="15" spans="1:6" ht="13.2" customHeight="1">
      <c r="A15" s="805" t="s">
        <v>294</v>
      </c>
      <c r="B15" s="805" t="s">
        <v>295</v>
      </c>
      <c r="C15" s="806" t="s">
        <v>296</v>
      </c>
      <c r="D15" s="805" t="s">
        <v>350</v>
      </c>
      <c r="E15" s="963">
        <v>37</v>
      </c>
      <c r="F15" s="963">
        <v>21841032</v>
      </c>
    </row>
    <row r="16" spans="1:6" ht="13.2" customHeight="1">
      <c r="A16" s="805" t="s">
        <v>297</v>
      </c>
      <c r="B16" s="805" t="s">
        <v>298</v>
      </c>
      <c r="C16" s="806" t="s">
        <v>296</v>
      </c>
      <c r="D16" s="805" t="s">
        <v>350</v>
      </c>
      <c r="E16" s="963">
        <v>135</v>
      </c>
      <c r="F16" s="963">
        <v>229572.8</v>
      </c>
    </row>
    <row r="17" spans="1:6" ht="13.2" customHeight="1">
      <c r="A17" s="807" t="s">
        <v>299</v>
      </c>
      <c r="B17" s="807" t="s">
        <v>300</v>
      </c>
      <c r="C17" s="808" t="s">
        <v>301</v>
      </c>
      <c r="D17" s="807" t="s">
        <v>350</v>
      </c>
      <c r="E17" s="809">
        <v>0</v>
      </c>
      <c r="F17" s="965">
        <v>0</v>
      </c>
    </row>
    <row r="18" spans="1:6" ht="13.2" customHeight="1">
      <c r="A18" s="805"/>
      <c r="B18" s="805"/>
      <c r="C18" s="806"/>
      <c r="D18" s="805"/>
      <c r="E18" s="966"/>
      <c r="F18" s="811"/>
    </row>
    <row r="19" spans="1:6" ht="13.2" customHeight="1">
      <c r="A19" s="805" t="s">
        <v>302</v>
      </c>
      <c r="B19" s="805" t="s">
        <v>372</v>
      </c>
      <c r="C19" s="806" t="s">
        <v>303</v>
      </c>
      <c r="D19" s="805" t="s">
        <v>350</v>
      </c>
      <c r="E19" s="963">
        <v>833</v>
      </c>
      <c r="F19" s="963">
        <v>23533408.5</v>
      </c>
    </row>
    <row r="20" spans="1:6" ht="13.2" customHeight="1">
      <c r="A20" s="805" t="s">
        <v>304</v>
      </c>
      <c r="B20" s="805" t="s">
        <v>305</v>
      </c>
      <c r="C20" s="806" t="s">
        <v>303</v>
      </c>
      <c r="D20" s="805" t="s">
        <v>350</v>
      </c>
      <c r="E20" s="963">
        <v>0</v>
      </c>
      <c r="F20" s="963">
        <v>0</v>
      </c>
    </row>
    <row r="21" spans="1:6" ht="13.2" customHeight="1">
      <c r="A21" s="805" t="s">
        <v>306</v>
      </c>
      <c r="B21" s="805" t="s">
        <v>307</v>
      </c>
      <c r="C21" s="806" t="s">
        <v>308</v>
      </c>
      <c r="D21" s="805" t="s">
        <v>350</v>
      </c>
      <c r="E21" s="963">
        <v>419</v>
      </c>
      <c r="F21" s="963">
        <v>858503.93</v>
      </c>
    </row>
    <row r="22" spans="1:6" ht="13.2" customHeight="1">
      <c r="A22" s="805" t="s">
        <v>309</v>
      </c>
      <c r="B22" s="805" t="s">
        <v>310</v>
      </c>
      <c r="C22" s="806" t="s">
        <v>311</v>
      </c>
      <c r="D22" s="805" t="s">
        <v>350</v>
      </c>
      <c r="E22" s="967" t="s">
        <v>1059</v>
      </c>
      <c r="F22" s="967" t="s">
        <v>1059</v>
      </c>
    </row>
    <row r="23" spans="1:6" ht="13.2" customHeight="1">
      <c r="A23" s="807" t="s">
        <v>312</v>
      </c>
      <c r="B23" s="807" t="s">
        <v>313</v>
      </c>
      <c r="C23" s="808" t="s">
        <v>319</v>
      </c>
      <c r="D23" s="807" t="s">
        <v>350</v>
      </c>
      <c r="E23" s="809">
        <v>99</v>
      </c>
      <c r="F23" s="1070">
        <v>2705672.38</v>
      </c>
    </row>
    <row r="24" spans="1:6" ht="13.2" customHeight="1">
      <c r="A24" s="805"/>
      <c r="B24" s="805"/>
      <c r="C24" s="806"/>
      <c r="D24" s="805"/>
      <c r="E24" s="963"/>
      <c r="F24" s="811"/>
    </row>
    <row r="25" spans="1:6" ht="13.2" customHeight="1">
      <c r="A25" s="805" t="s">
        <v>314</v>
      </c>
      <c r="B25" s="805" t="s">
        <v>315</v>
      </c>
      <c r="C25" s="806" t="s">
        <v>316</v>
      </c>
      <c r="D25" s="805" t="s">
        <v>351</v>
      </c>
      <c r="E25" s="963">
        <v>802</v>
      </c>
      <c r="F25" s="963">
        <v>252203.42</v>
      </c>
    </row>
    <row r="26" spans="1:6" ht="13.2" customHeight="1">
      <c r="A26" s="805" t="s">
        <v>317</v>
      </c>
      <c r="B26" s="805" t="s">
        <v>318</v>
      </c>
      <c r="C26" s="806" t="s">
        <v>319</v>
      </c>
      <c r="D26" s="805" t="s">
        <v>351</v>
      </c>
      <c r="E26" s="963">
        <v>234</v>
      </c>
      <c r="F26" s="963">
        <v>1932016.77</v>
      </c>
    </row>
    <row r="27" spans="1:6" ht="13.2" customHeight="1">
      <c r="A27" s="805" t="s">
        <v>320</v>
      </c>
      <c r="B27" s="805" t="s">
        <v>321</v>
      </c>
      <c r="C27" s="806" t="s">
        <v>319</v>
      </c>
      <c r="D27" s="805" t="s">
        <v>350</v>
      </c>
      <c r="E27" s="963">
        <v>70</v>
      </c>
      <c r="F27" s="963">
        <v>155398.64000000001</v>
      </c>
    </row>
    <row r="28" spans="1:6" ht="26.4" customHeight="1">
      <c r="A28" s="812" t="s">
        <v>322</v>
      </c>
      <c r="B28" s="805" t="s">
        <v>323</v>
      </c>
      <c r="C28" s="806" t="s">
        <v>319</v>
      </c>
      <c r="D28" s="805" t="s">
        <v>350</v>
      </c>
      <c r="E28" s="963">
        <v>0</v>
      </c>
      <c r="F28" s="963">
        <v>0</v>
      </c>
    </row>
    <row r="29" spans="1:6" ht="13.2" customHeight="1">
      <c r="A29" s="807" t="s">
        <v>324</v>
      </c>
      <c r="B29" s="807" t="s">
        <v>325</v>
      </c>
      <c r="C29" s="808" t="s">
        <v>326</v>
      </c>
      <c r="D29" s="807" t="s">
        <v>350</v>
      </c>
      <c r="E29" s="810">
        <v>4788</v>
      </c>
      <c r="F29" s="965">
        <v>69853700.680000007</v>
      </c>
    </row>
    <row r="30" spans="1:6" ht="13.2" customHeight="1">
      <c r="A30" s="805"/>
      <c r="B30" s="805"/>
      <c r="C30" s="806"/>
      <c r="D30" s="805"/>
      <c r="E30" s="963"/>
      <c r="F30" s="811"/>
    </row>
    <row r="31" spans="1:6" ht="13.2" customHeight="1">
      <c r="A31" s="805" t="s">
        <v>327</v>
      </c>
      <c r="B31" s="805" t="s">
        <v>328</v>
      </c>
      <c r="C31" s="806" t="s">
        <v>326</v>
      </c>
      <c r="D31" s="805" t="s">
        <v>351</v>
      </c>
      <c r="E31" s="963">
        <v>20580</v>
      </c>
      <c r="F31" s="963">
        <v>702769.74</v>
      </c>
    </row>
    <row r="32" spans="1:6" ht="13.2" customHeight="1">
      <c r="A32" s="805" t="s">
        <v>329</v>
      </c>
      <c r="B32" s="805" t="s">
        <v>330</v>
      </c>
      <c r="C32" s="806" t="s">
        <v>326</v>
      </c>
      <c r="D32" s="805" t="s">
        <v>350</v>
      </c>
      <c r="E32" s="963">
        <v>221</v>
      </c>
      <c r="F32" s="963">
        <v>463042.1</v>
      </c>
    </row>
    <row r="33" spans="1:6" ht="13.2" customHeight="1">
      <c r="A33" s="1071" t="s">
        <v>331</v>
      </c>
      <c r="B33" s="1071" t="s">
        <v>332</v>
      </c>
      <c r="C33" s="1072" t="s">
        <v>333</v>
      </c>
      <c r="D33" s="1071" t="s">
        <v>352</v>
      </c>
      <c r="E33" s="1077">
        <v>8</v>
      </c>
      <c r="F33" s="1077">
        <v>59449214.159999996</v>
      </c>
    </row>
    <row r="34" spans="1:6" ht="13.2" customHeight="1">
      <c r="A34" s="805" t="s">
        <v>334</v>
      </c>
      <c r="B34" s="805" t="s">
        <v>335</v>
      </c>
      <c r="C34" s="806" t="s">
        <v>336</v>
      </c>
      <c r="D34" s="805" t="s">
        <v>351</v>
      </c>
      <c r="E34" s="963">
        <v>343291</v>
      </c>
      <c r="F34" s="963">
        <v>118066525.88</v>
      </c>
    </row>
    <row r="35" spans="1:6" ht="13.2" customHeight="1">
      <c r="A35" s="807" t="s">
        <v>337</v>
      </c>
      <c r="B35" s="807" t="s">
        <v>338</v>
      </c>
      <c r="C35" s="808" t="s">
        <v>336</v>
      </c>
      <c r="D35" s="807" t="s">
        <v>350</v>
      </c>
      <c r="E35" s="809">
        <v>72</v>
      </c>
      <c r="F35" s="965">
        <v>138146</v>
      </c>
    </row>
    <row r="36" spans="1:6" ht="13.2" customHeight="1">
      <c r="A36" s="805"/>
      <c r="B36" s="805"/>
      <c r="C36" s="806"/>
      <c r="D36" s="805"/>
      <c r="E36" s="963"/>
      <c r="F36" s="811"/>
    </row>
    <row r="37" spans="1:6" ht="13.2" customHeight="1">
      <c r="A37" s="805" t="s">
        <v>339</v>
      </c>
      <c r="B37" s="805" t="s">
        <v>340</v>
      </c>
      <c r="C37" s="806" t="s">
        <v>336</v>
      </c>
      <c r="D37" s="805" t="s">
        <v>350</v>
      </c>
      <c r="E37" s="963">
        <v>0</v>
      </c>
      <c r="F37" s="963">
        <v>0</v>
      </c>
    </row>
    <row r="38" spans="1:6" ht="13.2" customHeight="1">
      <c r="A38" s="805" t="s">
        <v>341</v>
      </c>
      <c r="B38" s="805" t="s">
        <v>342</v>
      </c>
      <c r="C38" s="806" t="s">
        <v>343</v>
      </c>
      <c r="D38" s="805" t="s">
        <v>351</v>
      </c>
      <c r="E38" s="963">
        <v>13510</v>
      </c>
      <c r="F38" s="963">
        <v>3218062.17</v>
      </c>
    </row>
    <row r="39" spans="1:6" ht="13.2" customHeight="1">
      <c r="A39" s="805" t="s">
        <v>344</v>
      </c>
      <c r="B39" s="805" t="s">
        <v>345</v>
      </c>
      <c r="C39" s="806" t="s">
        <v>346</v>
      </c>
      <c r="D39" s="805" t="s">
        <v>350</v>
      </c>
      <c r="E39" s="967" t="s">
        <v>1059</v>
      </c>
      <c r="F39" s="967" t="s">
        <v>1059</v>
      </c>
    </row>
    <row r="40" spans="1:6" ht="13.2" customHeight="1">
      <c r="A40" s="805" t="s">
        <v>1046</v>
      </c>
      <c r="B40" s="805" t="s">
        <v>1047</v>
      </c>
      <c r="C40" s="806" t="s">
        <v>1048</v>
      </c>
      <c r="D40" s="805" t="s">
        <v>350</v>
      </c>
      <c r="E40" s="963">
        <v>0</v>
      </c>
      <c r="F40" s="963">
        <v>0</v>
      </c>
    </row>
    <row r="41" spans="1:6" ht="13.2" customHeight="1">
      <c r="A41" s="807" t="s">
        <v>1049</v>
      </c>
      <c r="B41" s="807" t="s">
        <v>1050</v>
      </c>
      <c r="C41" s="808" t="s">
        <v>1048</v>
      </c>
      <c r="D41" s="807" t="s">
        <v>350</v>
      </c>
      <c r="E41" s="968" t="s">
        <v>1059</v>
      </c>
      <c r="F41" s="969" t="s">
        <v>1059</v>
      </c>
    </row>
    <row r="42" spans="1:6">
      <c r="E42" s="814"/>
      <c r="F42" s="815"/>
    </row>
    <row r="43" spans="1:6">
      <c r="A43" s="805" t="s">
        <v>1060</v>
      </c>
      <c r="B43" s="805" t="s">
        <v>1061</v>
      </c>
      <c r="C43" s="806" t="s">
        <v>1062</v>
      </c>
      <c r="D43" s="805" t="s">
        <v>350</v>
      </c>
      <c r="E43" s="963">
        <v>41</v>
      </c>
      <c r="F43" s="963">
        <v>100786.52</v>
      </c>
    </row>
    <row r="44" spans="1:6">
      <c r="A44" s="805" t="s">
        <v>1063</v>
      </c>
      <c r="B44" s="805" t="s">
        <v>1064</v>
      </c>
      <c r="C44" s="806" t="s">
        <v>1062</v>
      </c>
      <c r="D44" s="805" t="s">
        <v>350</v>
      </c>
      <c r="E44" s="963">
        <v>0</v>
      </c>
      <c r="F44" s="963">
        <v>0</v>
      </c>
    </row>
    <row r="45" spans="1:6">
      <c r="A45" s="805" t="s">
        <v>1065</v>
      </c>
      <c r="B45" s="805" t="s">
        <v>1066</v>
      </c>
      <c r="C45" s="806" t="s">
        <v>1062</v>
      </c>
      <c r="D45" s="805" t="s">
        <v>350</v>
      </c>
      <c r="E45" s="967" t="s">
        <v>1059</v>
      </c>
      <c r="F45" s="967" t="s">
        <v>1059</v>
      </c>
    </row>
    <row r="46" spans="1:6">
      <c r="A46" s="805" t="s">
        <v>1067</v>
      </c>
      <c r="B46" s="805" t="s">
        <v>1068</v>
      </c>
      <c r="C46" s="806" t="s">
        <v>1062</v>
      </c>
      <c r="D46" s="805" t="s">
        <v>350</v>
      </c>
      <c r="E46" s="963">
        <v>67</v>
      </c>
      <c r="F46" s="963">
        <v>1481282</v>
      </c>
    </row>
    <row r="47" spans="1:6">
      <c r="A47" s="807" t="s">
        <v>1069</v>
      </c>
      <c r="B47" s="807" t="s">
        <v>1070</v>
      </c>
      <c r="C47" s="808" t="s">
        <v>1062</v>
      </c>
      <c r="D47" s="807" t="s">
        <v>350</v>
      </c>
      <c r="E47" s="813">
        <v>0</v>
      </c>
      <c r="F47" s="965">
        <v>0</v>
      </c>
    </row>
    <row r="48" spans="1:6">
      <c r="A48" s="805"/>
      <c r="B48" s="805"/>
      <c r="C48" s="806"/>
      <c r="D48" s="805"/>
      <c r="E48" s="814"/>
      <c r="F48" s="815"/>
    </row>
    <row r="49" spans="1:6">
      <c r="A49" s="805" t="s">
        <v>1071</v>
      </c>
      <c r="B49" s="805" t="s">
        <v>1072</v>
      </c>
      <c r="C49" s="806" t="s">
        <v>1062</v>
      </c>
      <c r="D49" s="805" t="s">
        <v>350</v>
      </c>
      <c r="E49" s="967" t="s">
        <v>1059</v>
      </c>
      <c r="F49" s="967" t="s">
        <v>1059</v>
      </c>
    </row>
    <row r="50" spans="1:6">
      <c r="A50" s="807" t="s">
        <v>1109</v>
      </c>
      <c r="B50" s="962" t="s">
        <v>1110</v>
      </c>
      <c r="C50" s="808" t="s">
        <v>1111</v>
      </c>
      <c r="D50" s="807" t="s">
        <v>350</v>
      </c>
      <c r="E50" s="813">
        <v>0</v>
      </c>
      <c r="F50" s="965">
        <v>0</v>
      </c>
    </row>
    <row r="52" spans="1:6">
      <c r="A52" s="193" t="s">
        <v>2</v>
      </c>
    </row>
    <row r="53" spans="1:6" ht="26.4" customHeight="1">
      <c r="A53" s="1122" t="s">
        <v>1096</v>
      </c>
      <c r="B53" s="1123"/>
      <c r="C53" s="1123"/>
      <c r="D53" s="1123"/>
      <c r="E53" s="1123"/>
      <c r="F53" s="1123"/>
    </row>
    <row r="54" spans="1:6">
      <c r="A54" s="816" t="s">
        <v>1042</v>
      </c>
    </row>
    <row r="55" spans="1:6">
      <c r="A55" s="816" t="s">
        <v>1043</v>
      </c>
    </row>
    <row r="56" spans="1:6">
      <c r="A56" s="816" t="s">
        <v>1044</v>
      </c>
    </row>
    <row r="57" spans="1:6">
      <c r="A57" s="816" t="s">
        <v>1045</v>
      </c>
    </row>
    <row r="59" spans="1:6">
      <c r="A59" s="1124" t="s">
        <v>1098</v>
      </c>
      <c r="B59" s="1124"/>
      <c r="C59" s="1124"/>
      <c r="D59" s="1124"/>
      <c r="E59" s="1124"/>
      <c r="F59" s="1124"/>
    </row>
    <row r="60" spans="1:6">
      <c r="A60" s="1120"/>
      <c r="B60" s="1121"/>
      <c r="C60" s="1121"/>
      <c r="D60" s="817"/>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60:C60"/>
    <mergeCell ref="A53:F53"/>
    <mergeCell ref="A59:F59"/>
  </mergeCells>
  <phoneticPr fontId="13" type="noConversion"/>
  <printOptions horizontalCentered="1" verticalCentered="1"/>
  <pageMargins left="0.6" right="0.64" top="0.75" bottom="0.75" header="0.5" footer="0.5"/>
  <pageSetup scale="61" orientation="landscape" r:id="rId2"/>
  <headerFooter alignWithMargins="0"/>
</worksheet>
</file>

<file path=xl/worksheets/sheet17.xml><?xml version="1.0" encoding="utf-8"?>
<worksheet xmlns="http://schemas.openxmlformats.org/spreadsheetml/2006/main" xmlns:r="http://schemas.openxmlformats.org/officeDocument/2006/relationships">
  <sheetPr transitionEvaluation="1" codeName="Sheet18">
    <pageSetUpPr fitToPage="1"/>
  </sheetPr>
  <dimension ref="A1:J50"/>
  <sheetViews>
    <sheetView defaultGridColor="0" colorId="22" zoomScaleNormal="100" workbookViewId="0"/>
  </sheetViews>
  <sheetFormatPr defaultColWidth="15.109375" defaultRowHeight="15"/>
  <cols>
    <col min="1" max="1" width="13.6640625" style="120" customWidth="1"/>
    <col min="2" max="2" width="18.5546875" style="120" bestFit="1" customWidth="1"/>
    <col min="3" max="3" width="18.109375" style="120" bestFit="1" customWidth="1"/>
    <col min="4" max="4" width="18.5546875" style="120" bestFit="1" customWidth="1"/>
    <col min="5" max="5" width="16.44140625" style="120" bestFit="1" customWidth="1"/>
    <col min="6" max="6" width="26.33203125" style="120" customWidth="1"/>
    <col min="7" max="7" width="18.88671875" style="120" bestFit="1" customWidth="1"/>
    <col min="8" max="16384" width="15.109375" style="120"/>
  </cols>
  <sheetData>
    <row r="1" spans="1:10" ht="17.399999999999999">
      <c r="A1" s="119" t="s">
        <v>243</v>
      </c>
    </row>
    <row r="2" spans="1:10" ht="15.6">
      <c r="A2" s="121" t="s">
        <v>74</v>
      </c>
    </row>
    <row r="3" spans="1:10" ht="15.6" thickBot="1">
      <c r="A3" s="122"/>
      <c r="B3" s="122"/>
      <c r="C3" s="122"/>
      <c r="D3" s="122"/>
      <c r="E3" s="122"/>
      <c r="F3" s="122"/>
      <c r="G3" s="122"/>
      <c r="H3" s="123"/>
      <c r="I3" s="123"/>
    </row>
    <row r="4" spans="1:10">
      <c r="A4" s="124"/>
      <c r="B4" s="1125" t="s">
        <v>75</v>
      </c>
      <c r="C4" s="1125"/>
      <c r="D4" s="124"/>
      <c r="E4" s="1125" t="s">
        <v>76</v>
      </c>
      <c r="F4" s="1125"/>
      <c r="G4" s="124"/>
      <c r="H4" s="123"/>
      <c r="I4" s="123"/>
    </row>
    <row r="5" spans="1:10" ht="13.95" customHeight="1">
      <c r="A5" s="125"/>
      <c r="B5" s="124"/>
      <c r="C5" s="126"/>
      <c r="D5" s="124"/>
      <c r="E5" s="127"/>
      <c r="F5" s="128" t="s">
        <v>77</v>
      </c>
      <c r="G5" s="127"/>
      <c r="H5" s="123"/>
      <c r="I5" s="123"/>
    </row>
    <row r="6" spans="1:10">
      <c r="A6" s="129"/>
      <c r="B6" s="130" t="s">
        <v>78</v>
      </c>
      <c r="C6" s="131" t="s">
        <v>79</v>
      </c>
      <c r="D6" s="132" t="s">
        <v>80</v>
      </c>
      <c r="E6" s="131" t="s">
        <v>76</v>
      </c>
      <c r="F6" s="131" t="s">
        <v>81</v>
      </c>
      <c r="G6" s="131" t="s">
        <v>25</v>
      </c>
      <c r="H6" s="123"/>
      <c r="I6" s="123"/>
    </row>
    <row r="7" spans="1:10" ht="15.6" thickBot="1">
      <c r="A7" s="133" t="s">
        <v>44</v>
      </c>
      <c r="B7" s="133" t="s">
        <v>82</v>
      </c>
      <c r="C7" s="134" t="s">
        <v>83</v>
      </c>
      <c r="D7" s="135" t="s">
        <v>84</v>
      </c>
      <c r="E7" s="134" t="s">
        <v>85</v>
      </c>
      <c r="F7" s="134" t="s">
        <v>86</v>
      </c>
      <c r="G7" s="134" t="s">
        <v>87</v>
      </c>
      <c r="H7" s="123"/>
      <c r="I7" s="123"/>
    </row>
    <row r="8" spans="1:10" ht="15.6">
      <c r="A8" s="136"/>
      <c r="B8" s="136"/>
      <c r="C8" s="137"/>
      <c r="D8" s="123"/>
      <c r="E8" s="137"/>
      <c r="F8" s="137"/>
      <c r="G8" s="137"/>
      <c r="H8" s="123"/>
      <c r="I8" s="1064"/>
      <c r="J8" s="1060"/>
    </row>
    <row r="9" spans="1:10">
      <c r="A9" s="138">
        <v>2004</v>
      </c>
      <c r="B9" s="1083">
        <f>ROUND(4024418.92+259494471.1+16182234.62+2114786409.88,-3)</f>
        <v>2394488000</v>
      </c>
      <c r="C9" s="1083">
        <f>ROUND(327092265.31,-3)</f>
        <v>327092000</v>
      </c>
      <c r="D9" s="1083">
        <f t="shared" ref="D9" si="0">SUM(B9:C9)</f>
        <v>2721580000</v>
      </c>
      <c r="E9" s="1083">
        <v>865678000</v>
      </c>
      <c r="F9" s="140" t="s">
        <v>88</v>
      </c>
      <c r="G9" s="1083">
        <f t="shared" ref="G9:G15" si="1">SUM(D9:F9)</f>
        <v>3587258000</v>
      </c>
      <c r="H9" s="141"/>
      <c r="I9" s="1065">
        <f>G9/1000000000</f>
        <v>3.5872579999999998</v>
      </c>
      <c r="J9" s="1061"/>
    </row>
    <row r="10" spans="1:10">
      <c r="A10" s="138">
        <v>2005</v>
      </c>
      <c r="B10" s="139">
        <v>2946217000</v>
      </c>
      <c r="C10" s="139">
        <v>449867000</v>
      </c>
      <c r="D10" s="139">
        <f>SUM(B10:C10)</f>
        <v>3396084000</v>
      </c>
      <c r="E10" s="139">
        <v>936362000</v>
      </c>
      <c r="F10" s="139">
        <v>147628000</v>
      </c>
      <c r="G10" s="139">
        <f t="shared" si="1"/>
        <v>4480074000</v>
      </c>
      <c r="H10" s="141"/>
      <c r="I10" s="1065">
        <f t="shared" ref="I10:I18" si="2">G10/1000000000</f>
        <v>4.4800740000000001</v>
      </c>
      <c r="J10" s="1061"/>
    </row>
    <row r="11" spans="1:10">
      <c r="A11" s="138">
        <v>2006</v>
      </c>
      <c r="B11" s="139">
        <f>ROUND(4626141.12+120060496.58+20733931.84+2450128004.11+0+128470.36+217200091.62,-3)</f>
        <v>2812877000</v>
      </c>
      <c r="C11" s="139">
        <f>ROUND(476258753.32,-3)</f>
        <v>476259000</v>
      </c>
      <c r="D11" s="139">
        <f t="shared" ref="D11" si="3">SUM(B11:C11)</f>
        <v>3289136000</v>
      </c>
      <c r="E11" s="139">
        <f>ROUND(998742301.4,-3)</f>
        <v>998742000</v>
      </c>
      <c r="F11" s="139">
        <v>217200000</v>
      </c>
      <c r="G11" s="139">
        <f t="shared" si="1"/>
        <v>4505078000</v>
      </c>
      <c r="H11" s="141"/>
      <c r="I11" s="1065">
        <f t="shared" si="2"/>
        <v>4.5050780000000001</v>
      </c>
      <c r="J11" s="1061"/>
    </row>
    <row r="12" spans="1:10">
      <c r="A12" s="138">
        <v>2007</v>
      </c>
      <c r="B12" s="139">
        <v>3049290000</v>
      </c>
      <c r="C12" s="139">
        <v>517277000</v>
      </c>
      <c r="D12" s="139">
        <f>SUM(B12:C12)</f>
        <v>3566567000</v>
      </c>
      <c r="E12" s="139">
        <v>1054991000</v>
      </c>
      <c r="F12" s="139">
        <v>225154000</v>
      </c>
      <c r="G12" s="139">
        <f t="shared" si="1"/>
        <v>4846712000</v>
      </c>
      <c r="H12" s="141"/>
      <c r="I12" s="1065">
        <f t="shared" si="2"/>
        <v>4.8467120000000001</v>
      </c>
      <c r="J12" s="1061"/>
    </row>
    <row r="13" spans="1:10">
      <c r="A13" s="138">
        <v>2008</v>
      </c>
      <c r="B13" s="139">
        <f>ROUND(3893158.34+139756397.6+25049498.52+2680175086.74+234650.9+226653512.17,-3)</f>
        <v>3075762000</v>
      </c>
      <c r="C13" s="139">
        <f>ROUND(524900714.58,-3)</f>
        <v>524901000</v>
      </c>
      <c r="D13" s="139">
        <f t="shared" ref="D13:D17" si="4">SUM(B13:C13)</f>
        <v>3600663000</v>
      </c>
      <c r="E13" s="139">
        <f>ROUND(1052364417.91,-3)</f>
        <v>1052364000</v>
      </c>
      <c r="F13" s="139">
        <f>ROUND(226653512.17,-3)</f>
        <v>226654000</v>
      </c>
      <c r="G13" s="139">
        <f t="shared" si="1"/>
        <v>4879681000</v>
      </c>
      <c r="H13" s="141"/>
      <c r="I13" s="1065">
        <f t="shared" si="2"/>
        <v>4.8796809999999997</v>
      </c>
      <c r="J13" s="1061"/>
    </row>
    <row r="14" spans="1:10">
      <c r="A14" s="138">
        <v>2009</v>
      </c>
      <c r="B14" s="139">
        <f>ROUND(3706899.22+140646726.83+26128226.38+2519573428.88+699538.82+213387662.68,-3)</f>
        <v>2904142000</v>
      </c>
      <c r="C14" s="139">
        <f>ROUND(499366180.2,-3)</f>
        <v>499366000</v>
      </c>
      <c r="D14" s="139">
        <f t="shared" si="4"/>
        <v>3403508000</v>
      </c>
      <c r="E14" s="139">
        <f>ROUND(1010937125.4,-3)</f>
        <v>1010937000</v>
      </c>
      <c r="F14" s="139">
        <f>ROUND(213387662.69,-3)</f>
        <v>213388000</v>
      </c>
      <c r="G14" s="139">
        <f t="shared" si="1"/>
        <v>4627833000</v>
      </c>
      <c r="H14" s="141"/>
      <c r="I14" s="1065">
        <f t="shared" si="2"/>
        <v>4.6278329999999999</v>
      </c>
      <c r="J14" s="1061"/>
    </row>
    <row r="15" spans="1:10">
      <c r="A15" s="138">
        <v>2010</v>
      </c>
      <c r="B15" s="139">
        <f>ROUND(3232298.43+139229555.02+26803910.08+2479995840.58+209425559.76+223844806.1,-3)</f>
        <v>3082532000</v>
      </c>
      <c r="C15" s="139">
        <f>ROUND(490714217.79,-3)</f>
        <v>490714000</v>
      </c>
      <c r="D15" s="139">
        <f t="shared" si="4"/>
        <v>3573246000</v>
      </c>
      <c r="E15" s="139">
        <f>ROUND(979588558.33,-3)</f>
        <v>979589000</v>
      </c>
      <c r="F15" s="139">
        <f>ROUND(209425559.76,-3)</f>
        <v>209426000</v>
      </c>
      <c r="G15" s="139">
        <f t="shared" si="1"/>
        <v>4762261000</v>
      </c>
      <c r="H15" s="141"/>
      <c r="I15" s="1065">
        <f t="shared" si="2"/>
        <v>4.7622609999999996</v>
      </c>
      <c r="J15" s="1061"/>
    </row>
    <row r="16" spans="1:10">
      <c r="A16" s="138">
        <v>2011</v>
      </c>
      <c r="B16" s="889">
        <f>ROUND(3135812.93+138263646.01+25831587.41+2449026887.8+204026887.95+192094005.02,-3)</f>
        <v>3012379000</v>
      </c>
      <c r="C16" s="889">
        <f>ROUND(477328537.76,-3)</f>
        <v>477329000</v>
      </c>
      <c r="D16" s="139">
        <f t="shared" si="4"/>
        <v>3489708000</v>
      </c>
      <c r="E16" s="139">
        <f>ROUND(1010204536.08,-3)</f>
        <v>1010205000</v>
      </c>
      <c r="F16" s="889">
        <f>ROUND(204026887.95,-3)</f>
        <v>204027000</v>
      </c>
      <c r="G16" s="139">
        <f>SUM(D16:F16)</f>
        <v>4703940000</v>
      </c>
      <c r="H16" s="141"/>
      <c r="I16" s="1065">
        <f>G16/1000000000</f>
        <v>4.7039400000000002</v>
      </c>
      <c r="J16" s="1062"/>
    </row>
    <row r="17" spans="1:10">
      <c r="A17" s="138">
        <v>2012</v>
      </c>
      <c r="B17" s="889">
        <f>ROUND(3189667.93+147668168.09+27409550.55+2575705639.9+214098023.29+153431896.46,-3)</f>
        <v>3121503000</v>
      </c>
      <c r="C17" s="889">
        <f>ROUND(503069571.36,-3)</f>
        <v>503070000</v>
      </c>
      <c r="D17" s="139">
        <f t="shared" si="4"/>
        <v>3624573000</v>
      </c>
      <c r="E17" s="139">
        <f>ROUND(1052521923.15,-3)</f>
        <v>1052522000</v>
      </c>
      <c r="F17" s="889">
        <f>ROUND(214098023.29,-3)</f>
        <v>214098000</v>
      </c>
      <c r="G17" s="139">
        <f>SUM(D17:F17)</f>
        <v>4891193000</v>
      </c>
      <c r="H17" s="141"/>
      <c r="I17" s="1065">
        <f>G17/1000000000</f>
        <v>4.8911930000000003</v>
      </c>
      <c r="J17" s="1062"/>
    </row>
    <row r="18" spans="1:10">
      <c r="A18" s="138">
        <v>2013</v>
      </c>
      <c r="B18" s="889">
        <f>ROUND(3252736.44+156971037.38+29337400.59+2650945564.56+157895674.58+221396083.62,-3)</f>
        <v>3219798000</v>
      </c>
      <c r="C18" s="889">
        <f>ROUND(521180389.66,-3)</f>
        <v>521180000</v>
      </c>
      <c r="D18" s="139">
        <f>SUM(B18:C18)</f>
        <v>3740978000</v>
      </c>
      <c r="E18" s="139">
        <f>ROUND(1089743109.45,-3)</f>
        <v>1089743000</v>
      </c>
      <c r="F18" s="889">
        <f>ROUND(221396083.62,-3)</f>
        <v>221396000</v>
      </c>
      <c r="G18" s="139">
        <f>SUM(D18:F18)</f>
        <v>5052117000</v>
      </c>
      <c r="H18" s="141"/>
      <c r="I18" s="1065">
        <f t="shared" si="2"/>
        <v>5.052117</v>
      </c>
      <c r="J18" s="1062"/>
    </row>
    <row r="19" spans="1:10">
      <c r="A19" s="142"/>
      <c r="B19" s="970"/>
      <c r="C19" s="970"/>
      <c r="D19" s="970"/>
      <c r="E19" s="970"/>
      <c r="F19" s="970"/>
      <c r="G19" s="970"/>
      <c r="H19" s="123"/>
      <c r="I19" s="1063"/>
      <c r="J19" s="1062"/>
    </row>
    <row r="20" spans="1:10" ht="14.25" customHeight="1">
      <c r="A20" s="144" t="s">
        <v>2</v>
      </c>
      <c r="B20" s="145"/>
      <c r="C20" s="145"/>
      <c r="D20" s="145"/>
      <c r="E20" s="145"/>
      <c r="F20" s="145"/>
      <c r="G20" s="143"/>
      <c r="H20" s="123"/>
      <c r="I20" s="123"/>
      <c r="J20" s="63"/>
    </row>
    <row r="21" spans="1:10" ht="12" customHeight="1">
      <c r="A21" s="146" t="s">
        <v>1081</v>
      </c>
      <c r="B21" s="146"/>
      <c r="C21" s="146"/>
      <c r="D21" s="146"/>
      <c r="E21" s="146"/>
      <c r="F21" s="146"/>
      <c r="G21" s="123"/>
      <c r="H21" s="123"/>
      <c r="I21" s="123"/>
      <c r="J21" s="63"/>
    </row>
    <row r="22" spans="1:10" ht="12" customHeight="1">
      <c r="A22" s="146" t="s">
        <v>90</v>
      </c>
      <c r="B22" s="146"/>
      <c r="C22" s="146"/>
      <c r="D22" s="146"/>
      <c r="E22" s="146"/>
      <c r="F22" s="146"/>
      <c r="G22" s="123"/>
      <c r="H22" s="123"/>
      <c r="I22" s="123"/>
      <c r="J22" s="63"/>
    </row>
    <row r="23" spans="1:10" ht="12" customHeight="1">
      <c r="A23" s="146" t="s">
        <v>91</v>
      </c>
      <c r="B23" s="146"/>
      <c r="C23" s="146"/>
      <c r="D23" s="146"/>
      <c r="E23" s="146"/>
      <c r="F23" s="146"/>
      <c r="G23" s="123"/>
      <c r="H23" s="123"/>
      <c r="I23" s="123"/>
    </row>
    <row r="24" spans="1:10" ht="12" customHeight="1">
      <c r="A24" s="146" t="s">
        <v>92</v>
      </c>
      <c r="B24" s="146"/>
      <c r="C24" s="146"/>
      <c r="D24" s="146"/>
      <c r="E24" s="146"/>
      <c r="F24" s="146"/>
      <c r="G24" s="123"/>
      <c r="H24" s="123"/>
      <c r="I24" s="123"/>
    </row>
    <row r="25" spans="1:10" ht="12" customHeight="1">
      <c r="A25" s="146" t="s">
        <v>93</v>
      </c>
      <c r="B25" s="146"/>
      <c r="C25" s="146"/>
      <c r="D25" s="146"/>
      <c r="E25" s="146"/>
      <c r="F25" s="146"/>
      <c r="G25" s="123"/>
      <c r="H25" s="123"/>
      <c r="I25" s="123"/>
    </row>
    <row r="26" spans="1:10" ht="12" customHeight="1">
      <c r="A26" s="146" t="s">
        <v>94</v>
      </c>
      <c r="B26" s="146"/>
      <c r="C26" s="146"/>
      <c r="D26" s="146"/>
      <c r="E26" s="146"/>
      <c r="F26" s="146"/>
      <c r="G26" s="123"/>
      <c r="H26" s="123"/>
      <c r="I26" s="123"/>
    </row>
    <row r="27" spans="1:10" ht="12" customHeight="1">
      <c r="A27" s="146" t="s">
        <v>95</v>
      </c>
      <c r="B27" s="146"/>
      <c r="C27" s="146"/>
      <c r="D27" s="146"/>
      <c r="E27" s="146"/>
      <c r="F27" s="146"/>
      <c r="G27" s="123"/>
      <c r="H27" s="123"/>
      <c r="I27" s="123"/>
    </row>
    <row r="28" spans="1:10" ht="12" customHeight="1">
      <c r="A28" s="146" t="s">
        <v>96</v>
      </c>
      <c r="B28" s="146"/>
      <c r="C28" s="146"/>
      <c r="D28" s="146"/>
      <c r="E28" s="146"/>
      <c r="F28" s="146"/>
      <c r="G28" s="123"/>
      <c r="H28" s="123"/>
      <c r="I28" s="123"/>
    </row>
    <row r="29" spans="1:10" ht="36" customHeight="1">
      <c r="A29" s="1126" t="s">
        <v>1113</v>
      </c>
      <c r="B29" s="1126"/>
      <c r="C29" s="1126"/>
      <c r="D29" s="1126"/>
      <c r="E29" s="1126"/>
      <c r="F29" s="1126"/>
      <c r="G29" s="1126"/>
      <c r="H29" s="123"/>
      <c r="I29" s="123"/>
    </row>
    <row r="30" spans="1:10" ht="12" customHeight="1">
      <c r="A30" s="147"/>
      <c r="B30" s="146"/>
      <c r="C30" s="146"/>
      <c r="D30" s="146"/>
      <c r="E30" s="146"/>
      <c r="F30" s="146"/>
      <c r="G30" s="123"/>
      <c r="H30" s="123"/>
      <c r="I30" s="123"/>
    </row>
    <row r="31" spans="1:10">
      <c r="A31" s="148"/>
      <c r="B31" s="123"/>
      <c r="C31" s="123"/>
      <c r="D31" s="123"/>
      <c r="E31" s="123"/>
      <c r="F31" s="123"/>
      <c r="G31" s="123"/>
      <c r="H31" s="123"/>
      <c r="I31" s="123"/>
    </row>
    <row r="50" spans="1:7">
      <c r="A50" s="149"/>
      <c r="B50" s="149"/>
      <c r="C50" s="149"/>
      <c r="D50" s="149"/>
      <c r="E50" s="149"/>
      <c r="F50" s="149"/>
      <c r="G50" s="149"/>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3">
    <mergeCell ref="B4:C4"/>
    <mergeCell ref="E4:F4"/>
    <mergeCell ref="A29:G29"/>
  </mergeCells>
  <phoneticPr fontId="3" type="noConversion"/>
  <printOptions horizontalCentered="1"/>
  <pageMargins left="0.5" right="0.5" top="1" bottom="1" header="0.5" footer="0.5"/>
  <pageSetup scale="72" orientation="landscape" r:id="rId2"/>
  <headerFooter alignWithMargins="0"/>
  <rowBreaks count="1" manualBreakCount="1">
    <brk id="51" max="16383" man="1"/>
  </rowBreaks>
  <drawing r:id="rId3"/>
</worksheet>
</file>

<file path=xl/worksheets/sheet18.xml><?xml version="1.0" encoding="utf-8"?>
<worksheet xmlns="http://schemas.openxmlformats.org/spreadsheetml/2006/main" xmlns:r="http://schemas.openxmlformats.org/officeDocument/2006/relationships">
  <sheetPr codeName="Sheet15"/>
  <dimension ref="A1:G39"/>
  <sheetViews>
    <sheetView zoomScaleNormal="100" workbookViewId="0"/>
  </sheetViews>
  <sheetFormatPr defaultColWidth="9.33203125" defaultRowHeight="13.2"/>
  <cols>
    <col min="1" max="1" width="62.33203125" style="505" customWidth="1"/>
    <col min="2" max="6" width="16.6640625" style="505" customWidth="1"/>
    <col min="7" max="7" width="14.6640625" style="505" bestFit="1" customWidth="1"/>
    <col min="8" max="16384" width="9.33203125" style="505"/>
  </cols>
  <sheetData>
    <row r="1" spans="1:7" ht="15.6">
      <c r="A1" s="504" t="s">
        <v>898</v>
      </c>
    </row>
    <row r="2" spans="1:7" ht="15.6">
      <c r="A2" s="504" t="s">
        <v>899</v>
      </c>
    </row>
    <row r="3" spans="1:7" ht="13.8" thickBot="1"/>
    <row r="4" spans="1:7">
      <c r="A4" s="506" t="s">
        <v>900</v>
      </c>
      <c r="B4" s="507">
        <v>2008</v>
      </c>
      <c r="C4" s="507">
        <v>2009</v>
      </c>
      <c r="D4" s="507">
        <v>2010</v>
      </c>
      <c r="E4" s="507">
        <v>2011</v>
      </c>
      <c r="F4" s="507">
        <v>2012</v>
      </c>
    </row>
    <row r="5" spans="1:7" ht="12" customHeight="1">
      <c r="A5" s="508"/>
      <c r="B5" s="509"/>
      <c r="C5" s="509"/>
      <c r="D5" s="509"/>
    </row>
    <row r="6" spans="1:7">
      <c r="A6" s="510" t="s">
        <v>901</v>
      </c>
      <c r="B6" s="511">
        <v>158308072</v>
      </c>
      <c r="C6" s="511">
        <v>141138473</v>
      </c>
      <c r="D6" s="511">
        <v>152710584</v>
      </c>
      <c r="E6" s="511">
        <v>172111919</v>
      </c>
      <c r="F6" s="511">
        <v>179005706</v>
      </c>
      <c r="G6" s="959"/>
    </row>
    <row r="7" spans="1:7">
      <c r="A7" s="510" t="s">
        <v>902</v>
      </c>
      <c r="B7" s="512">
        <v>749150320</v>
      </c>
      <c r="C7" s="512">
        <v>784148763</v>
      </c>
      <c r="D7" s="512">
        <v>590796767</v>
      </c>
      <c r="E7" s="512">
        <v>695628771</v>
      </c>
      <c r="F7" s="512">
        <v>784526507</v>
      </c>
      <c r="G7" s="959"/>
    </row>
    <row r="8" spans="1:7">
      <c r="A8" s="510" t="s">
        <v>903</v>
      </c>
      <c r="B8" s="512">
        <v>1362281520</v>
      </c>
      <c r="C8" s="512">
        <v>1155110103</v>
      </c>
      <c r="D8" s="512">
        <v>1257328395</v>
      </c>
      <c r="E8" s="512">
        <v>1325037229</v>
      </c>
      <c r="F8" s="512">
        <v>1396042696</v>
      </c>
      <c r="G8" s="959"/>
    </row>
    <row r="9" spans="1:7">
      <c r="A9" s="510" t="s">
        <v>904</v>
      </c>
      <c r="B9" s="512">
        <v>4023618878</v>
      </c>
      <c r="C9" s="512">
        <v>3398685204</v>
      </c>
      <c r="D9" s="512">
        <v>3494250154</v>
      </c>
      <c r="E9" s="512">
        <v>3565894962</v>
      </c>
      <c r="F9" s="512">
        <v>3643715887</v>
      </c>
      <c r="G9" s="959"/>
    </row>
    <row r="10" spans="1:7">
      <c r="A10" s="510" t="s">
        <v>905</v>
      </c>
      <c r="B10" s="512">
        <v>6223952103</v>
      </c>
      <c r="C10" s="512">
        <v>5240952452</v>
      </c>
      <c r="D10" s="512">
        <v>5151551029</v>
      </c>
      <c r="E10" s="512">
        <v>5417106102</v>
      </c>
      <c r="F10" s="512">
        <v>5831522487</v>
      </c>
      <c r="G10" s="959"/>
    </row>
    <row r="11" spans="1:7">
      <c r="A11" s="510" t="s">
        <v>906</v>
      </c>
      <c r="B11" s="512">
        <v>54590519189.619995</v>
      </c>
      <c r="C11" s="512">
        <v>53709169091.540001</v>
      </c>
      <c r="D11" s="512">
        <v>54546159126.510002</v>
      </c>
      <c r="E11" s="512">
        <v>55989608262.790001</v>
      </c>
      <c r="F11" s="512">
        <v>58726642678.220001</v>
      </c>
      <c r="G11" s="959"/>
    </row>
    <row r="12" spans="1:7">
      <c r="A12" s="513" t="s">
        <v>907</v>
      </c>
      <c r="B12" s="512">
        <v>2283552492</v>
      </c>
      <c r="C12" s="512">
        <v>1956850875</v>
      </c>
      <c r="D12" s="512">
        <v>1942044045</v>
      </c>
      <c r="E12" s="512">
        <v>2011966538</v>
      </c>
      <c r="F12" s="512">
        <v>2090437265</v>
      </c>
      <c r="G12" s="959"/>
    </row>
    <row r="13" spans="1:7">
      <c r="A13" s="513" t="s">
        <v>908</v>
      </c>
      <c r="B13" s="512">
        <v>5561573470</v>
      </c>
      <c r="C13" s="512">
        <v>4954892342</v>
      </c>
      <c r="D13" s="512">
        <v>5104290677</v>
      </c>
      <c r="E13" s="512">
        <v>5137319891</v>
      </c>
      <c r="F13" s="512">
        <v>5338458946</v>
      </c>
      <c r="G13" s="959"/>
    </row>
    <row r="14" spans="1:7">
      <c r="A14" s="513" t="s">
        <v>909</v>
      </c>
      <c r="B14" s="512">
        <v>13173745743</v>
      </c>
      <c r="C14" s="512">
        <v>13560474629</v>
      </c>
      <c r="D14" s="512">
        <v>14282679158.51</v>
      </c>
      <c r="E14" s="512">
        <v>14202826894</v>
      </c>
      <c r="F14" s="512">
        <v>15477040877.219999</v>
      </c>
      <c r="G14" s="959"/>
    </row>
    <row r="15" spans="1:7">
      <c r="A15" s="513" t="s">
        <v>910</v>
      </c>
      <c r="B15" s="512">
        <v>4976980124</v>
      </c>
      <c r="C15" s="512">
        <v>4454762594</v>
      </c>
      <c r="D15" s="512">
        <v>4560837540</v>
      </c>
      <c r="E15" s="512">
        <v>4706550735</v>
      </c>
      <c r="F15" s="512">
        <v>4870162514</v>
      </c>
      <c r="G15" s="959"/>
    </row>
    <row r="16" spans="1:7">
      <c r="A16" s="513" t="s">
        <v>911</v>
      </c>
      <c r="B16" s="512">
        <v>15113347561</v>
      </c>
      <c r="C16" s="512">
        <v>15498089391</v>
      </c>
      <c r="D16" s="512">
        <v>15597896639</v>
      </c>
      <c r="E16" s="512">
        <v>16074943507</v>
      </c>
      <c r="F16" s="512">
        <v>16731182089</v>
      </c>
      <c r="G16" s="959"/>
    </row>
    <row r="17" spans="1:7">
      <c r="A17" s="510" t="s">
        <v>912</v>
      </c>
      <c r="B17" s="512">
        <v>161936421</v>
      </c>
      <c r="C17" s="512">
        <v>199811282</v>
      </c>
      <c r="D17" s="512">
        <v>161832357</v>
      </c>
      <c r="E17" s="512">
        <v>183550781</v>
      </c>
      <c r="F17" s="512">
        <v>215065046</v>
      </c>
      <c r="G17" s="959"/>
    </row>
    <row r="18" spans="1:7">
      <c r="A18" s="510" t="s">
        <v>913</v>
      </c>
      <c r="B18" s="512">
        <v>223836871</v>
      </c>
      <c r="C18" s="514">
        <v>315521919</v>
      </c>
      <c r="D18" s="514">
        <v>260614169</v>
      </c>
      <c r="E18" s="514">
        <v>490366929</v>
      </c>
      <c r="F18" s="514">
        <v>1118193739</v>
      </c>
      <c r="G18" s="959"/>
    </row>
    <row r="19" spans="1:7">
      <c r="A19" s="510" t="s">
        <v>914</v>
      </c>
      <c r="B19" s="512">
        <v>54090453</v>
      </c>
      <c r="C19" s="514">
        <v>200478126</v>
      </c>
      <c r="D19" s="514">
        <v>120628052</v>
      </c>
      <c r="E19" s="514">
        <v>34071800</v>
      </c>
      <c r="F19" s="514">
        <v>43402270</v>
      </c>
      <c r="G19" s="959"/>
    </row>
    <row r="20" spans="1:7">
      <c r="A20" s="510" t="s">
        <v>915</v>
      </c>
      <c r="B20" s="512">
        <v>1982377496</v>
      </c>
      <c r="C20" s="512">
        <v>1751405123</v>
      </c>
      <c r="D20" s="512">
        <v>1653633925</v>
      </c>
      <c r="E20" s="512">
        <v>1440764813</v>
      </c>
      <c r="F20" s="512">
        <v>1386763637</v>
      </c>
      <c r="G20" s="959"/>
    </row>
    <row r="21" spans="1:7">
      <c r="A21" s="510" t="s">
        <v>916</v>
      </c>
      <c r="B21" s="512">
        <v>1263640119</v>
      </c>
      <c r="C21" s="512">
        <v>1256084227</v>
      </c>
      <c r="D21" s="512">
        <v>999721873</v>
      </c>
      <c r="E21" s="512">
        <v>1022403713</v>
      </c>
      <c r="F21" s="512">
        <v>988613220</v>
      </c>
      <c r="G21" s="959"/>
    </row>
    <row r="22" spans="1:7">
      <c r="A22" s="510" t="s">
        <v>917</v>
      </c>
      <c r="B22" s="512">
        <v>147541928</v>
      </c>
      <c r="C22" s="512">
        <v>143955885</v>
      </c>
      <c r="D22" s="512">
        <v>189843120</v>
      </c>
      <c r="E22" s="512">
        <v>214792438</v>
      </c>
      <c r="F22" s="512">
        <v>197433447</v>
      </c>
      <c r="G22" s="959"/>
    </row>
    <row r="23" spans="1:7">
      <c r="A23" s="510" t="s">
        <v>918</v>
      </c>
      <c r="B23" s="512">
        <v>235420108</v>
      </c>
      <c r="C23" s="514">
        <v>196457763</v>
      </c>
      <c r="D23" s="514">
        <v>233140214</v>
      </c>
      <c r="E23" s="512">
        <v>254884724</v>
      </c>
      <c r="F23" s="512">
        <v>276301106</v>
      </c>
      <c r="G23" s="959"/>
    </row>
    <row r="24" spans="1:7">
      <c r="A24" s="510" t="s">
        <v>919</v>
      </c>
      <c r="B24" s="512">
        <v>52313475</v>
      </c>
      <c r="C24" s="514">
        <v>74626869</v>
      </c>
      <c r="D24" s="514">
        <v>94141526</v>
      </c>
      <c r="E24" s="512">
        <v>106910870</v>
      </c>
      <c r="F24" s="512">
        <v>120514207</v>
      </c>
      <c r="G24" s="959"/>
    </row>
    <row r="25" spans="1:7">
      <c r="A25" s="510" t="s">
        <v>920</v>
      </c>
      <c r="B25" s="512">
        <v>234275721</v>
      </c>
      <c r="C25" s="512">
        <v>251604165</v>
      </c>
      <c r="D25" s="512">
        <v>263008303</v>
      </c>
      <c r="E25" s="512">
        <v>296974191</v>
      </c>
      <c r="F25" s="512">
        <v>321708589</v>
      </c>
      <c r="G25" s="959"/>
    </row>
    <row r="26" spans="1:7">
      <c r="A26" s="510" t="s">
        <v>921</v>
      </c>
      <c r="B26" s="512">
        <v>493898273</v>
      </c>
      <c r="C26" s="512">
        <v>471941842</v>
      </c>
      <c r="D26" s="512">
        <v>501183155</v>
      </c>
      <c r="E26" s="512">
        <v>528333798</v>
      </c>
      <c r="F26" s="512">
        <v>545941473</v>
      </c>
      <c r="G26" s="959"/>
    </row>
    <row r="27" spans="1:7">
      <c r="A27" s="510" t="s">
        <v>922</v>
      </c>
      <c r="B27" s="512">
        <v>13302972217</v>
      </c>
      <c r="C27" s="512">
        <v>13082478839</v>
      </c>
      <c r="D27" s="512">
        <v>13397396104</v>
      </c>
      <c r="E27" s="512">
        <v>14106220642</v>
      </c>
      <c r="F27" s="512">
        <v>14961458883</v>
      </c>
      <c r="G27" s="959"/>
    </row>
    <row r="28" spans="1:7">
      <c r="A28" s="513" t="s">
        <v>923</v>
      </c>
      <c r="B28" s="512">
        <v>10236676321</v>
      </c>
      <c r="C28" s="512">
        <v>10278271833</v>
      </c>
      <c r="D28" s="512">
        <v>10560552779</v>
      </c>
      <c r="E28" s="512">
        <v>11118465142</v>
      </c>
      <c r="F28" s="512">
        <v>11858541763</v>
      </c>
      <c r="G28" s="959"/>
    </row>
    <row r="29" spans="1:7">
      <c r="A29" s="510" t="s">
        <v>924</v>
      </c>
      <c r="B29" s="512">
        <v>1713469064</v>
      </c>
      <c r="C29" s="512">
        <v>1677631686</v>
      </c>
      <c r="D29" s="512">
        <v>1829128884</v>
      </c>
      <c r="E29" s="512">
        <v>1894033419</v>
      </c>
      <c r="F29" s="512">
        <v>1998346389</v>
      </c>
      <c r="G29" s="959"/>
    </row>
    <row r="30" spans="1:7">
      <c r="A30" s="510" t="s">
        <v>925</v>
      </c>
      <c r="B30" s="512">
        <v>23375593</v>
      </c>
      <c r="C30" s="512">
        <v>24248562</v>
      </c>
      <c r="D30" s="512">
        <v>21874565</v>
      </c>
      <c r="E30" s="512">
        <v>21017775</v>
      </c>
      <c r="F30" s="512">
        <v>21473014</v>
      </c>
      <c r="G30" s="959"/>
    </row>
    <row r="31" spans="1:7">
      <c r="A31" s="510" t="s">
        <v>926</v>
      </c>
      <c r="B31" s="512">
        <v>2776500937</v>
      </c>
      <c r="C31" s="512">
        <v>1793681925</v>
      </c>
      <c r="D31" s="512">
        <v>1502021540</v>
      </c>
      <c r="E31" s="512">
        <f>1308108219+2520013</f>
        <v>1310628232</v>
      </c>
      <c r="F31" s="512">
        <v>578989156</v>
      </c>
      <c r="G31" s="959"/>
    </row>
    <row r="32" spans="1:7" ht="12" customHeight="1">
      <c r="B32" s="512"/>
      <c r="C32" s="512"/>
      <c r="D32" s="512"/>
    </row>
    <row r="33" spans="1:6">
      <c r="A33" s="515" t="s">
        <v>25</v>
      </c>
      <c r="B33" s="516">
        <f t="shared" ref="B33:D33" si="0">SUM(B6:B11,B17:B27,B29:B31)</f>
        <v>89773478758.619995</v>
      </c>
      <c r="C33" s="516">
        <f t="shared" si="0"/>
        <v>85869132299.540009</v>
      </c>
      <c r="D33" s="516">
        <f t="shared" si="0"/>
        <v>86420963842.51001</v>
      </c>
      <c r="E33" s="516">
        <f>SUM(E6:E11,E17:E27,E29:E31)</f>
        <v>89070341370.790009</v>
      </c>
      <c r="F33" s="516">
        <f>SUM(F6:F11,F17:F27,F29:F31)</f>
        <v>93335660137.220001</v>
      </c>
    </row>
    <row r="34" spans="1:6">
      <c r="B34" s="512"/>
      <c r="C34" s="512"/>
      <c r="D34" s="512"/>
      <c r="E34" s="512"/>
    </row>
    <row r="35" spans="1:6">
      <c r="A35" s="505" t="s">
        <v>2</v>
      </c>
      <c r="B35" s="510"/>
      <c r="C35" s="510"/>
    </row>
    <row r="36" spans="1:6" ht="39.6" customHeight="1">
      <c r="A36" s="1127" t="s">
        <v>927</v>
      </c>
      <c r="B36" s="1127"/>
      <c r="C36" s="1127"/>
    </row>
    <row r="37" spans="1:6">
      <c r="A37" s="1128" t="s">
        <v>928</v>
      </c>
      <c r="B37" s="1128"/>
      <c r="C37" s="1128"/>
    </row>
    <row r="38" spans="1:6" ht="51" customHeight="1">
      <c r="A38" s="1129" t="s">
        <v>929</v>
      </c>
      <c r="B38" s="1130"/>
      <c r="C38" s="1130"/>
    </row>
    <row r="39" spans="1:6" ht="13.2" customHeight="1">
      <c r="A39" s="1129" t="s">
        <v>930</v>
      </c>
      <c r="B39" s="1130"/>
      <c r="C39" s="1130"/>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6:C36"/>
    <mergeCell ref="A37:C37"/>
    <mergeCell ref="A38:C38"/>
    <mergeCell ref="A39:C39"/>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sheetPr codeName="Sheet16"/>
  <dimension ref="A1:J109"/>
  <sheetViews>
    <sheetView zoomScaleNormal="100" workbookViewId="0"/>
  </sheetViews>
  <sheetFormatPr defaultColWidth="13.109375" defaultRowHeight="13.2"/>
  <cols>
    <col min="1" max="1" width="15.6640625" style="350" customWidth="1"/>
    <col min="2" max="2" width="13.88671875" style="349" customWidth="1"/>
    <col min="3" max="3" width="13.109375" style="349" customWidth="1"/>
    <col min="4" max="4" width="15.109375" style="349" customWidth="1"/>
    <col min="5" max="5" width="15.44140625" style="350" customWidth="1"/>
    <col min="6" max="6" width="15.33203125" style="350" customWidth="1"/>
    <col min="7" max="7" width="15.109375" style="349" bestFit="1" customWidth="1"/>
    <col min="8" max="8" width="12.44140625" style="349" customWidth="1"/>
    <col min="9" max="9" width="15.109375" style="349" customWidth="1"/>
    <col min="10" max="16384" width="13.109375" style="350"/>
  </cols>
  <sheetData>
    <row r="1" spans="1:10" ht="17.399999999999999">
      <c r="A1" s="284" t="s">
        <v>370</v>
      </c>
      <c r="B1" s="348"/>
      <c r="C1" s="348"/>
      <c r="G1" s="351"/>
      <c r="H1" s="351"/>
      <c r="I1" s="351"/>
    </row>
    <row r="2" spans="1:10">
      <c r="A2" s="798" t="s">
        <v>1099</v>
      </c>
      <c r="B2" s="348"/>
      <c r="C2" s="348"/>
      <c r="G2" s="351"/>
      <c r="H2" s="351"/>
      <c r="I2" s="351"/>
    </row>
    <row r="3" spans="1:10" ht="10.8" customHeight="1" thickBot="1">
      <c r="A3" s="798"/>
      <c r="B3" s="348"/>
      <c r="C3" s="348"/>
      <c r="G3" s="351"/>
      <c r="H3" s="351"/>
      <c r="I3" s="351"/>
    </row>
    <row r="4" spans="1:10">
      <c r="A4" s="352"/>
      <c r="B4" s="353" t="s">
        <v>97</v>
      </c>
      <c r="C4" s="353" t="s">
        <v>76</v>
      </c>
      <c r="D4" s="353" t="s">
        <v>25</v>
      </c>
      <c r="E4" s="354"/>
      <c r="F4" s="355"/>
      <c r="G4" s="353" t="s">
        <v>97</v>
      </c>
      <c r="H4" s="353" t="s">
        <v>76</v>
      </c>
      <c r="I4" s="353" t="s">
        <v>25</v>
      </c>
    </row>
    <row r="5" spans="1:10">
      <c r="A5" s="356" t="s">
        <v>33</v>
      </c>
      <c r="B5" s="357" t="s">
        <v>98</v>
      </c>
      <c r="C5" s="357" t="s">
        <v>85</v>
      </c>
      <c r="D5" s="357" t="s">
        <v>30</v>
      </c>
      <c r="E5" s="354"/>
      <c r="F5" s="358" t="s">
        <v>33</v>
      </c>
      <c r="G5" s="357" t="s">
        <v>98</v>
      </c>
      <c r="H5" s="357" t="s">
        <v>85</v>
      </c>
      <c r="I5" s="357" t="s">
        <v>30</v>
      </c>
    </row>
    <row r="6" spans="1:10" ht="15.6">
      <c r="A6" s="359" t="s">
        <v>99</v>
      </c>
      <c r="B6" s="954">
        <v>4050175.8</v>
      </c>
      <c r="C6" s="954">
        <v>4220003.91</v>
      </c>
      <c r="D6" s="359">
        <f>SUM(B6:C6)</f>
        <v>8270179.71</v>
      </c>
      <c r="E6" s="360"/>
      <c r="F6" s="361" t="s">
        <v>100</v>
      </c>
      <c r="G6" s="954">
        <v>5122809.3</v>
      </c>
      <c r="H6" s="954">
        <v>3783968.54</v>
      </c>
      <c r="I6" s="359">
        <f>SUM(G6:H6)</f>
        <v>8906777.8399999999</v>
      </c>
      <c r="J6" s="362"/>
    </row>
    <row r="7" spans="1:10" ht="15.6">
      <c r="A7" s="359" t="s">
        <v>101</v>
      </c>
      <c r="B7" s="955">
        <v>13480786.32</v>
      </c>
      <c r="C7" s="955">
        <v>12942240.57</v>
      </c>
      <c r="D7" s="363">
        <f>SUM(B7:C7)</f>
        <v>26423026.890000001</v>
      </c>
      <c r="E7" s="360"/>
      <c r="F7" s="361" t="s">
        <v>102</v>
      </c>
      <c r="G7" s="955">
        <v>2737874.64</v>
      </c>
      <c r="H7" s="955">
        <v>2157208.46</v>
      </c>
      <c r="I7" s="363">
        <f>SUM(G7:H7)</f>
        <v>4895083.0999999996</v>
      </c>
      <c r="J7" s="362"/>
    </row>
    <row r="8" spans="1:10" ht="15.6">
      <c r="A8" s="359" t="s">
        <v>103</v>
      </c>
      <c r="B8" s="955">
        <v>2116949</v>
      </c>
      <c r="C8" s="955">
        <v>892591.45</v>
      </c>
      <c r="D8" s="363">
        <f>SUM(B8:C8)</f>
        <v>3009540.45</v>
      </c>
      <c r="E8" s="360"/>
      <c r="F8" s="361" t="s">
        <v>104</v>
      </c>
      <c r="G8" s="955">
        <v>1813738.36</v>
      </c>
      <c r="H8" s="955">
        <v>410993.25</v>
      </c>
      <c r="I8" s="363">
        <f>SUM(G8:H8)</f>
        <v>2224731.6100000003</v>
      </c>
      <c r="J8" s="362"/>
    </row>
    <row r="9" spans="1:10" ht="15.6">
      <c r="A9" s="359" t="s">
        <v>105</v>
      </c>
      <c r="B9" s="955">
        <v>1673529.34</v>
      </c>
      <c r="C9" s="955">
        <v>625869.52</v>
      </c>
      <c r="D9" s="363">
        <f>SUM(B9:C9)</f>
        <v>2299398.8600000003</v>
      </c>
      <c r="E9" s="360"/>
      <c r="F9" s="361" t="s">
        <v>106</v>
      </c>
      <c r="G9" s="955">
        <v>2623220.94</v>
      </c>
      <c r="H9" s="955">
        <v>1723665.04</v>
      </c>
      <c r="I9" s="363">
        <f>SUM(G9:H9)</f>
        <v>4346885.9800000004</v>
      </c>
      <c r="J9" s="362"/>
    </row>
    <row r="10" spans="1:10" ht="15.6">
      <c r="A10" s="359" t="s">
        <v>107</v>
      </c>
      <c r="B10" s="955">
        <v>4209033.3</v>
      </c>
      <c r="C10" s="955">
        <v>2404303.2000000002</v>
      </c>
      <c r="D10" s="363">
        <f>SUM(B10:C10)</f>
        <v>6613336.5</v>
      </c>
      <c r="E10" s="360"/>
      <c r="F10" s="361" t="s">
        <v>108</v>
      </c>
      <c r="G10" s="955">
        <v>1220440.06</v>
      </c>
      <c r="H10" s="955">
        <v>526739.22</v>
      </c>
      <c r="I10" s="363">
        <f>SUM(G10:H10)</f>
        <v>1747179.28</v>
      </c>
      <c r="J10" s="362"/>
    </row>
    <row r="11" spans="1:10" ht="11.1" customHeight="1">
      <c r="A11" s="359"/>
      <c r="B11" s="955"/>
      <c r="C11" s="955"/>
      <c r="D11" s="363"/>
      <c r="E11" s="361"/>
      <c r="F11" s="361"/>
      <c r="G11" s="955"/>
      <c r="H11" s="955"/>
      <c r="I11" s="363"/>
    </row>
    <row r="12" spans="1:10" ht="15" customHeight="1">
      <c r="A12" s="359" t="s">
        <v>109</v>
      </c>
      <c r="B12" s="955">
        <v>2016109</v>
      </c>
      <c r="C12" s="955">
        <v>1219596.19</v>
      </c>
      <c r="D12" s="363">
        <f>SUM(B12:C12)</f>
        <v>3235705.19</v>
      </c>
      <c r="E12" s="360"/>
      <c r="F12" s="361" t="s">
        <v>110</v>
      </c>
      <c r="G12" s="955">
        <v>4865183.9000000004</v>
      </c>
      <c r="H12" s="955">
        <v>3530506.3</v>
      </c>
      <c r="I12" s="363">
        <f>SUM(G12:H12)</f>
        <v>8395690.1999999993</v>
      </c>
      <c r="J12" s="362"/>
    </row>
    <row r="13" spans="1:10" ht="15.6">
      <c r="A13" s="359" t="s">
        <v>111</v>
      </c>
      <c r="B13" s="955">
        <v>16430010.57</v>
      </c>
      <c r="C13" s="955">
        <v>39406516.68</v>
      </c>
      <c r="D13" s="363">
        <f>SUM(B13:C13)</f>
        <v>55836527.25</v>
      </c>
      <c r="E13" s="360"/>
      <c r="F13" s="361" t="s">
        <v>112</v>
      </c>
      <c r="G13" s="955">
        <v>15628125.48</v>
      </c>
      <c r="H13" s="955">
        <v>17536307.170000002</v>
      </c>
      <c r="I13" s="363">
        <f>SUM(G13:H13)</f>
        <v>33164432.650000002</v>
      </c>
      <c r="J13" s="362"/>
    </row>
    <row r="14" spans="1:10" ht="15.6">
      <c r="A14" s="359" t="s">
        <v>113</v>
      </c>
      <c r="B14" s="955">
        <v>9660608.5999999996</v>
      </c>
      <c r="C14" s="955">
        <v>4782081.76</v>
      </c>
      <c r="D14" s="363">
        <f>SUM(B14:C14)</f>
        <v>14442690.359999999</v>
      </c>
      <c r="E14" s="360"/>
      <c r="F14" s="361" t="s">
        <v>114</v>
      </c>
      <c r="G14" s="955">
        <v>43423354.719999999</v>
      </c>
      <c r="H14" s="955">
        <v>57644603.950000003</v>
      </c>
      <c r="I14" s="363">
        <f>SUM(G14:H14)</f>
        <v>101067958.67</v>
      </c>
      <c r="J14" s="362"/>
    </row>
    <row r="15" spans="1:10" ht="15.6">
      <c r="A15" s="359" t="s">
        <v>115</v>
      </c>
      <c r="B15" s="955">
        <v>529755.26</v>
      </c>
      <c r="C15" s="955">
        <v>841772.67</v>
      </c>
      <c r="D15" s="363">
        <f>SUM(B15:C15)</f>
        <v>1371527.9300000002</v>
      </c>
      <c r="E15" s="360"/>
      <c r="F15" s="361" t="s">
        <v>116</v>
      </c>
      <c r="G15" s="955">
        <v>6535950.4800000004</v>
      </c>
      <c r="H15" s="955">
        <v>3898703.04</v>
      </c>
      <c r="I15" s="363">
        <f>SUM(G15:H15)</f>
        <v>10434653.52</v>
      </c>
      <c r="J15" s="362"/>
    </row>
    <row r="16" spans="1:10" ht="15.6">
      <c r="A16" s="359" t="s">
        <v>117</v>
      </c>
      <c r="B16" s="955">
        <v>9616404.75</v>
      </c>
      <c r="C16" s="955">
        <v>3994963.14</v>
      </c>
      <c r="D16" s="363">
        <f>SUM(B16:C16)</f>
        <v>13611367.890000001</v>
      </c>
      <c r="E16" s="360"/>
      <c r="F16" s="361" t="s">
        <v>118</v>
      </c>
      <c r="G16" s="955">
        <v>226544.62</v>
      </c>
      <c r="H16" s="955">
        <v>115219.22</v>
      </c>
      <c r="I16" s="363">
        <f>SUM(G16:H16)</f>
        <v>341763.83999999997</v>
      </c>
      <c r="J16" s="362"/>
    </row>
    <row r="17" spans="1:10" ht="11.1" customHeight="1">
      <c r="A17" s="359"/>
      <c r="B17" s="955"/>
      <c r="C17" s="955"/>
      <c r="D17" s="363"/>
      <c r="E17" s="361"/>
      <c r="F17" s="361"/>
      <c r="G17" s="955"/>
      <c r="H17" s="955"/>
      <c r="I17" s="363"/>
    </row>
    <row r="18" spans="1:10" ht="15.6">
      <c r="A18" s="359" t="s">
        <v>119</v>
      </c>
      <c r="B18" s="955">
        <v>756299.88</v>
      </c>
      <c r="C18" s="955">
        <v>197063.91</v>
      </c>
      <c r="D18" s="363">
        <f>SUM(B18:C18)</f>
        <v>953363.79</v>
      </c>
      <c r="E18" s="360"/>
      <c r="F18" s="361" t="s">
        <v>120</v>
      </c>
      <c r="G18" s="955">
        <v>4998486.04</v>
      </c>
      <c r="H18" s="955">
        <v>2307886.2799999998</v>
      </c>
      <c r="I18" s="363">
        <f>SUM(G18:H18)</f>
        <v>7306372.3200000003</v>
      </c>
      <c r="J18" s="362"/>
    </row>
    <row r="19" spans="1:10" ht="15.6">
      <c r="A19" s="359" t="s">
        <v>121</v>
      </c>
      <c r="B19" s="955">
        <v>4615846.68</v>
      </c>
      <c r="C19" s="955">
        <v>2277567.09</v>
      </c>
      <c r="D19" s="363">
        <f>SUM(B19:C19)</f>
        <v>6893413.7699999996</v>
      </c>
      <c r="E19" s="360"/>
      <c r="F19" s="361" t="s">
        <v>122</v>
      </c>
      <c r="G19" s="955">
        <v>8853198.0700000003</v>
      </c>
      <c r="H19" s="955">
        <v>9750519.7400000002</v>
      </c>
      <c r="I19" s="363">
        <f>SUM(G19:H19)</f>
        <v>18603717.810000002</v>
      </c>
      <c r="J19" s="362"/>
    </row>
    <row r="20" spans="1:10" ht="15.6">
      <c r="A20" s="359" t="s">
        <v>123</v>
      </c>
      <c r="B20" s="955">
        <v>2102444.58</v>
      </c>
      <c r="C20" s="955">
        <v>703575.05</v>
      </c>
      <c r="D20" s="363">
        <f>SUM(B20:C20)</f>
        <v>2806019.63</v>
      </c>
      <c r="E20" s="360"/>
      <c r="F20" s="361" t="s">
        <v>124</v>
      </c>
      <c r="G20" s="955">
        <v>873716.32</v>
      </c>
      <c r="H20" s="955">
        <v>196855.03</v>
      </c>
      <c r="I20" s="363">
        <f>SUM(G20:H20)</f>
        <v>1070571.3499999999</v>
      </c>
      <c r="J20" s="362"/>
    </row>
    <row r="21" spans="1:10" ht="15.6">
      <c r="A21" s="359" t="s">
        <v>125</v>
      </c>
      <c r="B21" s="955">
        <v>2739256.02</v>
      </c>
      <c r="C21" s="955">
        <v>1930352.31</v>
      </c>
      <c r="D21" s="363">
        <f>SUM(B21:C21)</f>
        <v>4669608.33</v>
      </c>
      <c r="E21" s="360"/>
      <c r="F21" s="361" t="s">
        <v>126</v>
      </c>
      <c r="G21" s="955">
        <v>3782190.12</v>
      </c>
      <c r="H21" s="955">
        <v>1869133.42</v>
      </c>
      <c r="I21" s="363">
        <f>SUM(G21:H21)</f>
        <v>5651323.54</v>
      </c>
      <c r="J21" s="362"/>
    </row>
    <row r="22" spans="1:10" ht="15.6">
      <c r="A22" s="359" t="s">
        <v>127</v>
      </c>
      <c r="B22" s="955">
        <v>1957400.78</v>
      </c>
      <c r="C22" s="955">
        <v>604861.52</v>
      </c>
      <c r="D22" s="363">
        <f>SUM(B22:C22)</f>
        <v>2562262.2999999998</v>
      </c>
      <c r="E22" s="360"/>
      <c r="F22" s="361" t="s">
        <v>128</v>
      </c>
      <c r="G22" s="955">
        <v>2364214.14</v>
      </c>
      <c r="H22" s="955">
        <v>994213.99</v>
      </c>
      <c r="I22" s="363">
        <f>SUM(G22:H22)</f>
        <v>3358428.13</v>
      </c>
      <c r="J22" s="362"/>
    </row>
    <row r="23" spans="1:10" ht="11.1" customHeight="1">
      <c r="A23" s="359"/>
      <c r="B23" s="955"/>
      <c r="C23" s="955"/>
      <c r="D23" s="363"/>
      <c r="E23" s="361"/>
      <c r="F23" s="361"/>
      <c r="G23" s="955"/>
      <c r="H23" s="955"/>
      <c r="I23" s="363"/>
    </row>
    <row r="24" spans="1:10" ht="15.6">
      <c r="A24" s="359" t="s">
        <v>129</v>
      </c>
      <c r="B24" s="955">
        <v>7366153.6600000001</v>
      </c>
      <c r="C24" s="955">
        <v>4767161.3899999997</v>
      </c>
      <c r="D24" s="363">
        <f>SUM(B24:C24)</f>
        <v>12133315.050000001</v>
      </c>
      <c r="E24" s="360"/>
      <c r="F24" s="361" t="s">
        <v>130</v>
      </c>
      <c r="G24" s="955">
        <v>1165876</v>
      </c>
      <c r="H24" s="955">
        <v>1646750.2</v>
      </c>
      <c r="I24" s="363">
        <f>SUM(G24:H24)</f>
        <v>2812626.2</v>
      </c>
      <c r="J24" s="362"/>
    </row>
    <row r="25" spans="1:10" ht="15.6">
      <c r="A25" s="359" t="s">
        <v>131</v>
      </c>
      <c r="B25" s="955">
        <v>3874741.86</v>
      </c>
      <c r="C25" s="955">
        <v>1532864.82</v>
      </c>
      <c r="D25" s="363">
        <f>SUM(B25:C25)</f>
        <v>5407606.6799999997</v>
      </c>
      <c r="E25" s="360"/>
      <c r="F25" s="361" t="s">
        <v>132</v>
      </c>
      <c r="G25" s="955">
        <v>3106009.64</v>
      </c>
      <c r="H25" s="955">
        <v>1395710.56</v>
      </c>
      <c r="I25" s="363">
        <f>SUM(G25:H25)</f>
        <v>4501720.2</v>
      </c>
      <c r="J25" s="362"/>
    </row>
    <row r="26" spans="1:10" ht="15.6">
      <c r="A26" s="359" t="s">
        <v>133</v>
      </c>
      <c r="B26" s="955">
        <v>3727625.96</v>
      </c>
      <c r="C26" s="955">
        <v>1691269.07</v>
      </c>
      <c r="D26" s="363">
        <f>SUM(B26:C26)</f>
        <v>5418895.0300000003</v>
      </c>
      <c r="E26" s="360"/>
      <c r="F26" s="361" t="s">
        <v>134</v>
      </c>
      <c r="G26" s="955">
        <v>53521857.530000001</v>
      </c>
      <c r="H26" s="955">
        <v>65682617.68</v>
      </c>
      <c r="I26" s="363">
        <f>SUM(G26:H26)</f>
        <v>119204475.21000001</v>
      </c>
      <c r="J26" s="362"/>
    </row>
    <row r="27" spans="1:10" ht="15.6">
      <c r="A27" s="359" t="s">
        <v>135</v>
      </c>
      <c r="B27" s="955">
        <v>810863.96</v>
      </c>
      <c r="C27" s="955">
        <v>652280.12</v>
      </c>
      <c r="D27" s="363">
        <f>SUM(B27:C27)</f>
        <v>1463144.08</v>
      </c>
      <c r="E27" s="360"/>
      <c r="F27" s="361" t="s">
        <v>136</v>
      </c>
      <c r="G27" s="955">
        <v>4285008.6399999997</v>
      </c>
      <c r="H27" s="955">
        <v>2897284.45</v>
      </c>
      <c r="I27" s="363">
        <f>SUM(G27:H27)</f>
        <v>7182293.0899999999</v>
      </c>
      <c r="J27" s="362"/>
    </row>
    <row r="28" spans="1:10" ht="15.6">
      <c r="A28" s="359" t="s">
        <v>137</v>
      </c>
      <c r="B28" s="955">
        <v>1799924.68</v>
      </c>
      <c r="C28" s="955">
        <v>548454.04</v>
      </c>
      <c r="D28" s="363">
        <f>SUM(B28:C28)</f>
        <v>2348378.7199999997</v>
      </c>
      <c r="E28" s="360"/>
      <c r="F28" s="361" t="s">
        <v>138</v>
      </c>
      <c r="G28" s="955">
        <v>1459417.04</v>
      </c>
      <c r="H28" s="955">
        <v>400839.48</v>
      </c>
      <c r="I28" s="363">
        <f>SUM(G28:H28)</f>
        <v>1860256.52</v>
      </c>
      <c r="J28" s="362"/>
    </row>
    <row r="29" spans="1:10" ht="11.1" customHeight="1">
      <c r="A29" s="359"/>
      <c r="B29" s="955"/>
      <c r="C29" s="955"/>
      <c r="D29" s="363"/>
      <c r="E29" s="361"/>
      <c r="F29" s="361"/>
      <c r="G29" s="955"/>
      <c r="H29" s="955"/>
      <c r="I29" s="363"/>
    </row>
    <row r="30" spans="1:10" ht="15.6">
      <c r="A30" s="359" t="s">
        <v>139</v>
      </c>
      <c r="B30" s="955">
        <v>49895762.229999997</v>
      </c>
      <c r="C30" s="955">
        <v>42860939.710000001</v>
      </c>
      <c r="D30" s="363">
        <f>SUM(B30:C30)</f>
        <v>92756701.939999998</v>
      </c>
      <c r="E30" s="360"/>
      <c r="F30" s="361" t="s">
        <v>140</v>
      </c>
      <c r="G30" s="955">
        <v>1791636.44</v>
      </c>
      <c r="H30" s="955">
        <v>845975.15</v>
      </c>
      <c r="I30" s="363">
        <f>SUM(G30:H30)</f>
        <v>2637611.59</v>
      </c>
      <c r="J30" s="362"/>
    </row>
    <row r="31" spans="1:10" ht="15.6">
      <c r="A31" s="359" t="s">
        <v>141</v>
      </c>
      <c r="B31" s="955">
        <v>2010583.54</v>
      </c>
      <c r="C31" s="955">
        <v>929562.43</v>
      </c>
      <c r="D31" s="363">
        <f>SUM(B31:C31)</f>
        <v>2940145.97</v>
      </c>
      <c r="E31" s="360"/>
      <c r="F31" s="361" t="s">
        <v>142</v>
      </c>
      <c r="G31" s="955">
        <v>1068489.44</v>
      </c>
      <c r="H31" s="955">
        <v>420891.29</v>
      </c>
      <c r="I31" s="363">
        <f>SUM(G31:H31)</f>
        <v>1489380.73</v>
      </c>
      <c r="J31" s="362"/>
    </row>
    <row r="32" spans="1:10" ht="15.6">
      <c r="A32" s="359" t="s">
        <v>143</v>
      </c>
      <c r="B32" s="955">
        <v>677561.82</v>
      </c>
      <c r="C32" s="955">
        <v>151742.64000000001</v>
      </c>
      <c r="D32" s="363">
        <f>SUM(B32:C32)</f>
        <v>829304.46</v>
      </c>
      <c r="E32" s="360"/>
      <c r="F32" s="361" t="s">
        <v>144</v>
      </c>
      <c r="G32" s="955">
        <v>3872669.8</v>
      </c>
      <c r="H32" s="955">
        <v>5776977.7199999997</v>
      </c>
      <c r="I32" s="363">
        <f>SUM(G32:H32)</f>
        <v>9649647.5199999996</v>
      </c>
      <c r="J32" s="362"/>
    </row>
    <row r="33" spans="1:10" ht="15.6">
      <c r="A33" s="359" t="s">
        <v>145</v>
      </c>
      <c r="B33" s="955">
        <v>7051201.3399999999</v>
      </c>
      <c r="C33" s="955">
        <v>6877401.9299999997</v>
      </c>
      <c r="D33" s="363">
        <f>SUM(B33:C33)</f>
        <v>13928603.27</v>
      </c>
      <c r="E33" s="360"/>
      <c r="F33" s="361" t="s">
        <v>146</v>
      </c>
      <c r="G33" s="955">
        <v>1096116.8400000001</v>
      </c>
      <c r="H33" s="955">
        <v>926837.73</v>
      </c>
      <c r="I33" s="363">
        <f>SUM(G33:H33)</f>
        <v>2022954.57</v>
      </c>
      <c r="J33" s="362"/>
    </row>
    <row r="34" spans="1:10" ht="15.6">
      <c r="A34" s="359" t="s">
        <v>147</v>
      </c>
      <c r="B34" s="955">
        <v>1364793.22</v>
      </c>
      <c r="C34" s="955">
        <v>363546.84</v>
      </c>
      <c r="D34" s="363">
        <f>SUM(B34:C34)</f>
        <v>1728340.06</v>
      </c>
      <c r="E34" s="360"/>
      <c r="F34" s="361" t="s">
        <v>148</v>
      </c>
      <c r="G34" s="955">
        <v>9141213.6199999992</v>
      </c>
      <c r="H34" s="955">
        <v>11082299.550000001</v>
      </c>
      <c r="I34" s="363">
        <f>SUM(G34:H34)</f>
        <v>20223513.170000002</v>
      </c>
      <c r="J34" s="362"/>
    </row>
    <row r="35" spans="1:10" ht="11.1" customHeight="1">
      <c r="A35" s="359"/>
      <c r="B35" s="955"/>
      <c r="C35" s="955"/>
      <c r="D35" s="363"/>
      <c r="E35" s="361"/>
      <c r="F35" s="361"/>
      <c r="G35" s="955"/>
      <c r="H35" s="955"/>
      <c r="I35" s="363"/>
    </row>
    <row r="36" spans="1:10" ht="15.6">
      <c r="A36" s="359" t="s">
        <v>149</v>
      </c>
      <c r="B36" s="955">
        <v>1994697.76</v>
      </c>
      <c r="C36" s="955">
        <v>827206.3</v>
      </c>
      <c r="D36" s="363">
        <f>SUM(B36:C36)</f>
        <v>2821904.06</v>
      </c>
      <c r="E36" s="360"/>
      <c r="F36" s="361" t="s">
        <v>150</v>
      </c>
      <c r="G36" s="955">
        <v>1734309.58</v>
      </c>
      <c r="H36" s="955">
        <v>1047430.78</v>
      </c>
      <c r="I36" s="363">
        <f>SUM(G36:H36)</f>
        <v>2781740.3600000003</v>
      </c>
      <c r="J36" s="362"/>
    </row>
    <row r="37" spans="1:10" ht="15.6">
      <c r="A37" s="359" t="s">
        <v>151</v>
      </c>
      <c r="B37" s="955">
        <v>3952098.59</v>
      </c>
      <c r="C37" s="955">
        <v>1367052.13</v>
      </c>
      <c r="D37" s="363">
        <f>SUM(B37:C37)</f>
        <v>5319150.72</v>
      </c>
      <c r="E37" s="360"/>
      <c r="F37" s="361" t="s">
        <v>152</v>
      </c>
      <c r="G37" s="955">
        <v>2526525.08</v>
      </c>
      <c r="H37" s="955">
        <v>1138778.6000000001</v>
      </c>
      <c r="I37" s="363">
        <f>SUM(G37:H37)</f>
        <v>3665303.68</v>
      </c>
      <c r="J37" s="362"/>
    </row>
    <row r="38" spans="1:10" ht="15.6">
      <c r="A38" s="359" t="s">
        <v>153</v>
      </c>
      <c r="B38" s="955">
        <v>1496714.02</v>
      </c>
      <c r="C38" s="955">
        <v>1762414.34</v>
      </c>
      <c r="D38" s="363">
        <f>SUM(B38:C38)</f>
        <v>3259128.3600000003</v>
      </c>
      <c r="E38" s="360"/>
      <c r="F38" s="361" t="s">
        <v>154</v>
      </c>
      <c r="G38" s="955">
        <v>1437315.12</v>
      </c>
      <c r="H38" s="955">
        <v>1272705.22</v>
      </c>
      <c r="I38" s="363">
        <f>SUM(G38:H38)</f>
        <v>2710020.34</v>
      </c>
      <c r="J38" s="362"/>
    </row>
    <row r="39" spans="1:10" ht="15.6">
      <c r="A39" s="359" t="s">
        <v>155</v>
      </c>
      <c r="B39" s="955">
        <v>150229474.24000001</v>
      </c>
      <c r="C39" s="955">
        <v>169322530.44999999</v>
      </c>
      <c r="D39" s="363">
        <f>SUM(B39:C39)</f>
        <v>319552004.69</v>
      </c>
      <c r="E39" s="360"/>
      <c r="F39" s="361" t="s">
        <v>156</v>
      </c>
      <c r="G39" s="955">
        <v>1236325.8600000001</v>
      </c>
      <c r="H39" s="955">
        <v>670007.57999999996</v>
      </c>
      <c r="I39" s="363">
        <f>SUM(G39:H39)</f>
        <v>1906333.44</v>
      </c>
      <c r="J39" s="362"/>
    </row>
    <row r="40" spans="1:10" ht="15.6">
      <c r="A40" s="359" t="s">
        <v>157</v>
      </c>
      <c r="B40" s="955">
        <v>10144087.960000001</v>
      </c>
      <c r="C40" s="955">
        <v>7634856.2800000003</v>
      </c>
      <c r="D40" s="363">
        <f>SUM(B40:C40)</f>
        <v>17778944.240000002</v>
      </c>
      <c r="E40" s="360"/>
      <c r="F40" s="361" t="s">
        <v>158</v>
      </c>
      <c r="G40" s="955">
        <v>1911124.94</v>
      </c>
      <c r="H40" s="955">
        <v>1357675.72</v>
      </c>
      <c r="I40" s="363">
        <f>SUM(G40:H40)</f>
        <v>3268800.66</v>
      </c>
      <c r="J40" s="362"/>
    </row>
    <row r="41" spans="1:10" ht="11.1" customHeight="1">
      <c r="A41" s="359"/>
      <c r="B41" s="955"/>
      <c r="C41" s="955"/>
      <c r="D41" s="363"/>
      <c r="E41" s="361"/>
      <c r="F41" s="361"/>
      <c r="G41" s="955"/>
      <c r="H41" s="955"/>
      <c r="I41" s="363"/>
    </row>
    <row r="42" spans="1:10" ht="15.6">
      <c r="A42" s="359" t="s">
        <v>159</v>
      </c>
      <c r="B42" s="955">
        <v>1953947.38</v>
      </c>
      <c r="C42" s="955">
        <v>739761.44</v>
      </c>
      <c r="D42" s="363">
        <f>SUM(B42:C42)</f>
        <v>2693708.82</v>
      </c>
      <c r="E42" s="360"/>
      <c r="F42" s="361" t="s">
        <v>160</v>
      </c>
      <c r="G42" s="955">
        <v>4498430.22</v>
      </c>
      <c r="H42" s="955">
        <v>2476714.63</v>
      </c>
      <c r="I42" s="363">
        <f>SUM(G42:H42)</f>
        <v>6975144.8499999996</v>
      </c>
      <c r="J42" s="362"/>
    </row>
    <row r="43" spans="1:10" ht="15.6">
      <c r="A43" s="359" t="s">
        <v>161</v>
      </c>
      <c r="B43" s="955">
        <v>3445826.58</v>
      </c>
      <c r="C43" s="955">
        <v>1266678.98</v>
      </c>
      <c r="D43" s="363">
        <f>SUM(B43:C43)</f>
        <v>4712505.5600000005</v>
      </c>
      <c r="E43" s="360"/>
      <c r="F43" s="361" t="s">
        <v>162</v>
      </c>
      <c r="G43" s="955">
        <v>3087361.14</v>
      </c>
      <c r="H43" s="955">
        <v>1736973.49</v>
      </c>
      <c r="I43" s="363">
        <f>SUM(G43:H43)</f>
        <v>4824334.63</v>
      </c>
      <c r="J43" s="362"/>
    </row>
    <row r="44" spans="1:10" ht="15.6">
      <c r="A44" s="359" t="s">
        <v>36</v>
      </c>
      <c r="B44" s="955">
        <v>7124413.9199999999</v>
      </c>
      <c r="C44" s="955">
        <v>4231082.9000000004</v>
      </c>
      <c r="D44" s="363">
        <f>SUM(B44:C44)</f>
        <v>11355496.82</v>
      </c>
      <c r="E44" s="360"/>
      <c r="F44" s="361" t="s">
        <v>163</v>
      </c>
      <c r="G44" s="955">
        <v>2137669.5</v>
      </c>
      <c r="H44" s="955">
        <v>1014686.21</v>
      </c>
      <c r="I44" s="363">
        <f>SUM(G44:H44)</f>
        <v>3152355.71</v>
      </c>
      <c r="J44" s="362"/>
    </row>
    <row r="45" spans="1:10" ht="15.6">
      <c r="A45" s="359" t="s">
        <v>164</v>
      </c>
      <c r="B45" s="955">
        <v>11800350.189999999</v>
      </c>
      <c r="C45" s="955">
        <v>11190552.720000001</v>
      </c>
      <c r="D45" s="363">
        <f>SUM(B45:C45)</f>
        <v>22990902.91</v>
      </c>
      <c r="E45" s="360"/>
      <c r="F45" s="361" t="s">
        <v>165</v>
      </c>
      <c r="G45" s="955">
        <v>8170801.4199999999</v>
      </c>
      <c r="H45" s="955">
        <v>2125606.69</v>
      </c>
      <c r="I45" s="363">
        <f>SUM(G45:H45)</f>
        <v>10296408.109999999</v>
      </c>
      <c r="J45" s="362"/>
    </row>
    <row r="46" spans="1:10" ht="15.6">
      <c r="A46" s="364" t="s">
        <v>166</v>
      </c>
      <c r="B46" s="956">
        <v>2247488.44</v>
      </c>
      <c r="C46" s="956">
        <v>1562015.89</v>
      </c>
      <c r="D46" s="365">
        <f>SUM(B46:C46)</f>
        <v>3809504.33</v>
      </c>
      <c r="E46" s="360"/>
      <c r="F46" s="366" t="s">
        <v>167</v>
      </c>
      <c r="G46" s="956">
        <v>4063989.48</v>
      </c>
      <c r="H46" s="956">
        <v>1920643.7</v>
      </c>
      <c r="I46" s="365">
        <f>SUM(G46:H46)</f>
        <v>5984633.1799999997</v>
      </c>
      <c r="J46" s="362"/>
    </row>
    <row r="47" spans="1:10" ht="17.399999999999999">
      <c r="A47" s="284" t="s">
        <v>89</v>
      </c>
      <c r="B47" s="367"/>
      <c r="C47" s="368"/>
      <c r="D47" s="368"/>
      <c r="E47" s="369"/>
      <c r="F47" s="369"/>
      <c r="G47" s="368"/>
      <c r="H47" s="368"/>
      <c r="I47" s="368"/>
    </row>
    <row r="48" spans="1:10">
      <c r="A48" s="798" t="s">
        <v>1099</v>
      </c>
      <c r="B48" s="367"/>
      <c r="C48" s="370"/>
      <c r="D48" s="370"/>
      <c r="E48" s="371"/>
      <c r="F48" s="371"/>
      <c r="G48" s="370"/>
      <c r="H48" s="370"/>
      <c r="I48" s="370"/>
    </row>
    <row r="49" spans="1:10" ht="13.8" thickBot="1">
      <c r="A49" s="798"/>
      <c r="B49" s="370"/>
      <c r="C49" s="370"/>
      <c r="D49" s="370"/>
      <c r="E49" s="371"/>
      <c r="F49" s="371"/>
      <c r="G49" s="370"/>
      <c r="H49" s="370"/>
      <c r="I49" s="370"/>
    </row>
    <row r="50" spans="1:10">
      <c r="A50" s="372"/>
      <c r="B50" s="353" t="s">
        <v>97</v>
      </c>
      <c r="C50" s="353" t="s">
        <v>76</v>
      </c>
      <c r="D50" s="353" t="s">
        <v>25</v>
      </c>
      <c r="E50" s="361"/>
      <c r="F50" s="373"/>
      <c r="G50" s="353" t="s">
        <v>97</v>
      </c>
      <c r="H50" s="353" t="s">
        <v>76</v>
      </c>
      <c r="I50" s="353" t="s">
        <v>25</v>
      </c>
    </row>
    <row r="51" spans="1:10">
      <c r="A51" s="356" t="s">
        <v>33</v>
      </c>
      <c r="B51" s="357" t="s">
        <v>98</v>
      </c>
      <c r="C51" s="357" t="s">
        <v>85</v>
      </c>
      <c r="D51" s="357" t="s">
        <v>30</v>
      </c>
      <c r="E51" s="361"/>
      <c r="F51" s="356" t="s">
        <v>35</v>
      </c>
      <c r="G51" s="357" t="s">
        <v>98</v>
      </c>
      <c r="H51" s="357" t="s">
        <v>85</v>
      </c>
      <c r="I51" s="357" t="s">
        <v>30</v>
      </c>
    </row>
    <row r="52" spans="1:10" ht="15.6">
      <c r="A52" s="359" t="s">
        <v>168</v>
      </c>
      <c r="B52" s="957">
        <v>2503041.7799999998</v>
      </c>
      <c r="C52" s="957">
        <v>3034794.44</v>
      </c>
      <c r="D52" s="359">
        <f>SUM(B52:C52)</f>
        <v>5537836.2199999997</v>
      </c>
      <c r="E52" s="360"/>
      <c r="F52" s="359" t="s">
        <v>169</v>
      </c>
      <c r="G52" s="958">
        <v>35168980.450000003</v>
      </c>
      <c r="H52" s="958">
        <v>34378369.640000001</v>
      </c>
      <c r="I52" s="359">
        <f>SUM(G52:H52)</f>
        <v>69547350.090000004</v>
      </c>
      <c r="J52" s="362"/>
    </row>
    <row r="53" spans="1:10" ht="15.6">
      <c r="A53" s="359" t="s">
        <v>170</v>
      </c>
      <c r="B53" s="955">
        <v>4951519.46</v>
      </c>
      <c r="C53" s="955">
        <v>1887052.49</v>
      </c>
      <c r="D53" s="363">
        <f>SUM(B53:C53)</f>
        <v>6838571.9500000002</v>
      </c>
      <c r="E53" s="360"/>
      <c r="F53" s="359" t="s">
        <v>171</v>
      </c>
      <c r="G53" s="955">
        <v>2378718.54</v>
      </c>
      <c r="H53" s="955">
        <v>7123345.2300000004</v>
      </c>
      <c r="I53" s="363">
        <f>SUM(G53:H53)</f>
        <v>9502063.7699999996</v>
      </c>
      <c r="J53" s="362"/>
    </row>
    <row r="54" spans="1:10" ht="15.6">
      <c r="A54" s="359" t="s">
        <v>172</v>
      </c>
      <c r="B54" s="955">
        <v>66532978.229999997</v>
      </c>
      <c r="C54" s="955">
        <v>55352100.369999997</v>
      </c>
      <c r="D54" s="363">
        <f>SUM(B54:C54)</f>
        <v>121885078.59999999</v>
      </c>
      <c r="E54" s="360"/>
      <c r="F54" s="359" t="s">
        <v>173</v>
      </c>
      <c r="G54" s="955">
        <v>768732.24</v>
      </c>
      <c r="H54" s="955">
        <v>1442226.79</v>
      </c>
      <c r="I54" s="363">
        <f>SUM(G54:H54)</f>
        <v>2210959.0300000003</v>
      </c>
      <c r="J54" s="362"/>
    </row>
    <row r="55" spans="1:10" ht="15.6">
      <c r="A55" s="359" t="s">
        <v>174</v>
      </c>
      <c r="B55" s="955">
        <v>4058464.01</v>
      </c>
      <c r="C55" s="955">
        <v>3546082.83</v>
      </c>
      <c r="D55" s="363">
        <f>SUM(B55:C55)</f>
        <v>7604546.8399999999</v>
      </c>
      <c r="E55" s="360"/>
      <c r="F55" s="361" t="s">
        <v>175</v>
      </c>
      <c r="G55" s="955">
        <v>5296171.24</v>
      </c>
      <c r="H55" s="955">
        <v>8082964.7599999998</v>
      </c>
      <c r="I55" s="363">
        <f>SUM(G55:H55)</f>
        <v>13379136</v>
      </c>
      <c r="J55" s="362"/>
    </row>
    <row r="56" spans="1:10" ht="15.6">
      <c r="A56" s="359" t="s">
        <v>176</v>
      </c>
      <c r="B56" s="955">
        <v>933805.88</v>
      </c>
      <c r="C56" s="955">
        <v>447330.61</v>
      </c>
      <c r="D56" s="363">
        <f>SUM(B56:C56)</f>
        <v>1381136.49</v>
      </c>
      <c r="E56" s="360"/>
      <c r="F56" s="361" t="s">
        <v>177</v>
      </c>
      <c r="G56" s="955">
        <v>906178.52</v>
      </c>
      <c r="H56" s="955">
        <v>1357016.51</v>
      </c>
      <c r="I56" s="363">
        <f>SUM(G56:H56)</f>
        <v>2263195.0300000003</v>
      </c>
      <c r="J56" s="362"/>
    </row>
    <row r="57" spans="1:10" ht="11.1" customHeight="1">
      <c r="A57" s="359"/>
      <c r="B57" s="955"/>
      <c r="C57" s="955"/>
      <c r="D57" s="363"/>
      <c r="E57" s="361"/>
      <c r="G57" s="350"/>
      <c r="H57" s="350"/>
      <c r="I57" s="350"/>
      <c r="J57" s="362"/>
    </row>
    <row r="58" spans="1:10" ht="15.6">
      <c r="A58" s="359" t="s">
        <v>178</v>
      </c>
      <c r="B58" s="955">
        <v>998730.28</v>
      </c>
      <c r="C58" s="955">
        <v>1208615.92</v>
      </c>
      <c r="D58" s="363">
        <f>SUM(B58:C58)</f>
        <v>2207346.2000000002</v>
      </c>
      <c r="E58" s="360"/>
      <c r="F58" s="361" t="s">
        <v>155</v>
      </c>
      <c r="G58" s="955">
        <v>2806252.45</v>
      </c>
      <c r="H58" s="955">
        <v>10259960.119999999</v>
      </c>
      <c r="I58" s="363">
        <f>SUM(G58:H58)</f>
        <v>13066212.57</v>
      </c>
      <c r="J58" s="362"/>
    </row>
    <row r="59" spans="1:10" ht="15.6">
      <c r="A59" s="359" t="s">
        <v>37</v>
      </c>
      <c r="B59" s="955">
        <v>12515899.66</v>
      </c>
      <c r="C59" s="955">
        <v>10885227.9</v>
      </c>
      <c r="D59" s="363">
        <f>SUM(B59:C59)</f>
        <v>23401127.560000002</v>
      </c>
      <c r="E59" s="360"/>
      <c r="F59" s="361" t="s">
        <v>179</v>
      </c>
      <c r="G59" s="955">
        <v>1826170.69</v>
      </c>
      <c r="H59" s="955">
        <v>3845474.76</v>
      </c>
      <c r="I59" s="363">
        <f>SUM(G59:H59)</f>
        <v>5671645.4499999993</v>
      </c>
      <c r="J59" s="362"/>
    </row>
    <row r="60" spans="1:10" ht="15.6">
      <c r="A60" s="359" t="s">
        <v>180</v>
      </c>
      <c r="B60" s="955">
        <v>2577635.7799999998</v>
      </c>
      <c r="C60" s="955">
        <v>2442587.35</v>
      </c>
      <c r="D60" s="363">
        <f>SUM(B60:C60)</f>
        <v>5020223.13</v>
      </c>
      <c r="E60" s="360"/>
      <c r="F60" s="361" t="s">
        <v>36</v>
      </c>
      <c r="G60" s="955">
        <v>1181761.74</v>
      </c>
      <c r="H60" s="955">
        <v>1785286.94</v>
      </c>
      <c r="I60" s="363">
        <f>SUM(G60:H60)</f>
        <v>2967048.6799999997</v>
      </c>
      <c r="J60" s="362"/>
    </row>
    <row r="61" spans="1:10" ht="15.6">
      <c r="A61" s="359" t="s">
        <v>181</v>
      </c>
      <c r="B61" s="955">
        <v>10363035.08</v>
      </c>
      <c r="C61" s="955">
        <v>5757911.6600000001</v>
      </c>
      <c r="D61" s="363">
        <f>SUM(B61:C61)</f>
        <v>16120946.74</v>
      </c>
      <c r="E61" s="360"/>
      <c r="F61" s="361" t="s">
        <v>182</v>
      </c>
      <c r="G61" s="955">
        <v>2484393.2799999998</v>
      </c>
      <c r="H61" s="955">
        <v>10639499.630000001</v>
      </c>
      <c r="I61" s="363">
        <f>SUM(G61:H61)</f>
        <v>13123892.91</v>
      </c>
      <c r="J61" s="362"/>
    </row>
    <row r="62" spans="1:10" ht="15.6">
      <c r="A62" s="359" t="s">
        <v>183</v>
      </c>
      <c r="B62" s="955">
        <v>3539069.06</v>
      </c>
      <c r="C62" s="955">
        <v>1888197.87</v>
      </c>
      <c r="D62" s="363">
        <f>SUM(B62:C62)</f>
        <v>5427266.9299999997</v>
      </c>
      <c r="E62" s="360"/>
      <c r="F62" s="361" t="s">
        <v>184</v>
      </c>
      <c r="G62" s="955">
        <v>913776.04</v>
      </c>
      <c r="H62" s="955">
        <v>2073051.47</v>
      </c>
      <c r="I62" s="363">
        <f>SUM(G62:H62)</f>
        <v>2986827.51</v>
      </c>
      <c r="J62" s="362"/>
    </row>
    <row r="63" spans="1:10" ht="11.1" customHeight="1">
      <c r="A63" s="359"/>
      <c r="B63" s="955"/>
      <c r="C63" s="955"/>
      <c r="D63" s="363"/>
      <c r="E63" s="361"/>
      <c r="G63" s="350"/>
      <c r="H63" s="350"/>
      <c r="I63" s="350"/>
    </row>
    <row r="64" spans="1:10" ht="15.6">
      <c r="A64" s="359" t="s">
        <v>185</v>
      </c>
      <c r="B64" s="955">
        <v>2666043.46</v>
      </c>
      <c r="C64" s="955">
        <v>1419205.59</v>
      </c>
      <c r="D64" s="363">
        <f>SUM(B64:C64)</f>
        <v>4085249.05</v>
      </c>
      <c r="E64" s="360"/>
      <c r="F64" s="361" t="s">
        <v>186</v>
      </c>
      <c r="G64" s="955">
        <v>18208523.940000001</v>
      </c>
      <c r="H64" s="955">
        <v>14190288.390000001</v>
      </c>
      <c r="I64" s="363">
        <f>SUM(G64:H64)</f>
        <v>32398812.330000002</v>
      </c>
      <c r="J64" s="362"/>
    </row>
    <row r="65" spans="1:10" ht="15.6">
      <c r="A65" s="359" t="s">
        <v>187</v>
      </c>
      <c r="B65" s="955">
        <v>5500613.9000000004</v>
      </c>
      <c r="C65" s="955">
        <v>4108978.81</v>
      </c>
      <c r="D65" s="363">
        <f>SUM(B65:C65)</f>
        <v>9609592.7100000009</v>
      </c>
      <c r="E65" s="360"/>
      <c r="F65" s="361" t="s">
        <v>188</v>
      </c>
      <c r="G65" s="955">
        <v>4452845.08</v>
      </c>
      <c r="H65" s="955">
        <v>11421592.74</v>
      </c>
      <c r="I65" s="363">
        <f>SUM(G65:H65)</f>
        <v>15874437.82</v>
      </c>
      <c r="J65" s="362"/>
    </row>
    <row r="66" spans="1:10" ht="15.6">
      <c r="A66" s="359" t="s">
        <v>189</v>
      </c>
      <c r="B66" s="955">
        <v>4084710.02</v>
      </c>
      <c r="C66" s="955">
        <v>2259885.48</v>
      </c>
      <c r="D66" s="363">
        <f>SUM(B66:C66)</f>
        <v>6344595.5</v>
      </c>
      <c r="E66" s="360"/>
      <c r="F66" s="361" t="s">
        <v>190</v>
      </c>
      <c r="G66" s="955">
        <v>3213065.8</v>
      </c>
      <c r="H66" s="955">
        <v>1969242.9</v>
      </c>
      <c r="I66" s="363">
        <f>SUM(G66:H66)</f>
        <v>5182308.6999999993</v>
      </c>
      <c r="J66" s="362"/>
    </row>
    <row r="67" spans="1:10" ht="15.6">
      <c r="A67" s="359" t="s">
        <v>191</v>
      </c>
      <c r="B67" s="955">
        <v>2397367</v>
      </c>
      <c r="C67" s="955">
        <v>677782</v>
      </c>
      <c r="D67" s="363">
        <f>SUM(B67:C67)</f>
        <v>3075149</v>
      </c>
      <c r="E67" s="360"/>
      <c r="F67" s="361" t="s">
        <v>192</v>
      </c>
      <c r="G67" s="955">
        <v>385402.1</v>
      </c>
      <c r="H67" s="955">
        <v>842522.37</v>
      </c>
      <c r="I67" s="363">
        <f>SUM(G67:H67)</f>
        <v>1227924.47</v>
      </c>
      <c r="J67" s="362"/>
    </row>
    <row r="68" spans="1:10" ht="15.6">
      <c r="A68" s="359" t="s">
        <v>193</v>
      </c>
      <c r="B68" s="955">
        <v>20742646.579999998</v>
      </c>
      <c r="C68" s="955">
        <v>15356553.23</v>
      </c>
      <c r="D68" s="363">
        <f>SUM(B68:C68)</f>
        <v>36099199.810000002</v>
      </c>
      <c r="E68" s="360"/>
      <c r="F68" s="361" t="s">
        <v>194</v>
      </c>
      <c r="G68" s="955">
        <v>7853086.4400000004</v>
      </c>
      <c r="H68" s="955">
        <v>13577537.33</v>
      </c>
      <c r="I68" s="363">
        <f>SUM(G68:H68)</f>
        <v>21430623.77</v>
      </c>
      <c r="J68" s="362"/>
    </row>
    <row r="69" spans="1:10" ht="11.1" customHeight="1">
      <c r="A69" s="359"/>
      <c r="B69" s="955"/>
      <c r="C69" s="955"/>
      <c r="D69" s="363"/>
      <c r="E69" s="361"/>
      <c r="G69" s="350"/>
      <c r="H69" s="350"/>
      <c r="I69" s="350"/>
    </row>
    <row r="70" spans="1:10" ht="15.6">
      <c r="A70" s="359" t="s">
        <v>195</v>
      </c>
      <c r="B70" s="955">
        <v>22992207.039999999</v>
      </c>
      <c r="C70" s="955">
        <v>11716833.609999999</v>
      </c>
      <c r="D70" s="363">
        <f>SUM(B70:C70)</f>
        <v>34709040.649999999</v>
      </c>
      <c r="E70" s="360"/>
      <c r="F70" s="361" t="s">
        <v>196</v>
      </c>
      <c r="G70" s="955">
        <v>6089768.0999999996</v>
      </c>
      <c r="H70" s="955">
        <v>7371302.4500000002</v>
      </c>
      <c r="I70" s="363">
        <f>SUM(G70:H70)</f>
        <v>13461070.550000001</v>
      </c>
      <c r="J70" s="362"/>
    </row>
    <row r="71" spans="1:10" ht="15.6">
      <c r="A71" s="359" t="s">
        <v>197</v>
      </c>
      <c r="B71" s="955">
        <v>913776.04</v>
      </c>
      <c r="C71" s="955">
        <v>537520.02</v>
      </c>
      <c r="D71" s="363">
        <f>SUM(B71:C71)</f>
        <v>1451296.06</v>
      </c>
      <c r="E71" s="360"/>
      <c r="F71" s="361" t="s">
        <v>198</v>
      </c>
      <c r="G71" s="955">
        <v>2208810.04</v>
      </c>
      <c r="H71" s="955">
        <v>1503022.8</v>
      </c>
      <c r="I71" s="363">
        <f>SUM(G71:H71)</f>
        <v>3711832.84</v>
      </c>
      <c r="J71" s="362"/>
    </row>
    <row r="72" spans="1:10" ht="15.6">
      <c r="A72" s="359" t="s">
        <v>199</v>
      </c>
      <c r="B72" s="955">
        <v>1231491.08</v>
      </c>
      <c r="C72" s="955">
        <v>832202.39</v>
      </c>
      <c r="D72" s="363">
        <f>SUM(B72:C72)</f>
        <v>2063693.4700000002</v>
      </c>
      <c r="E72" s="360"/>
      <c r="F72" s="361" t="s">
        <v>200</v>
      </c>
      <c r="G72" s="955">
        <v>1732237.56</v>
      </c>
      <c r="H72" s="955">
        <v>1878223.59</v>
      </c>
      <c r="I72" s="363">
        <f>SUM(G72:H72)</f>
        <v>3610461.1500000004</v>
      </c>
      <c r="J72" s="362"/>
    </row>
    <row r="73" spans="1:10" ht="15.6">
      <c r="A73" s="359" t="s">
        <v>201</v>
      </c>
      <c r="B73" s="955">
        <v>5473677.2400000002</v>
      </c>
      <c r="C73" s="955">
        <v>6070972.1399999997</v>
      </c>
      <c r="D73" s="363">
        <f>SUM(B73:C73)</f>
        <v>11544649.379999999</v>
      </c>
      <c r="E73" s="360"/>
      <c r="F73" s="361" t="s">
        <v>202</v>
      </c>
      <c r="G73" s="955">
        <v>24936484.789999999</v>
      </c>
      <c r="H73" s="955">
        <v>22434536.390000001</v>
      </c>
      <c r="I73" s="363">
        <f>SUM(G73:H73)</f>
        <v>47371021.18</v>
      </c>
      <c r="J73" s="362"/>
    </row>
    <row r="74" spans="1:10" ht="15.6">
      <c r="A74" s="359" t="s">
        <v>203</v>
      </c>
      <c r="B74" s="955">
        <v>5471605.1600000001</v>
      </c>
      <c r="C74" s="955">
        <v>7497771.2999999998</v>
      </c>
      <c r="D74" s="363">
        <f>SUM(B74:C74)</f>
        <v>12969376.460000001</v>
      </c>
      <c r="E74" s="360"/>
      <c r="F74" s="361" t="s">
        <v>204</v>
      </c>
      <c r="G74" s="955">
        <v>28463121.489999998</v>
      </c>
      <c r="H74" s="955">
        <v>27951071.75</v>
      </c>
      <c r="I74" s="363">
        <f>SUM(G74:H74)</f>
        <v>56414193.239999995</v>
      </c>
      <c r="J74" s="362"/>
    </row>
    <row r="75" spans="1:10" ht="11.1" customHeight="1">
      <c r="A75" s="359"/>
      <c r="B75" s="955"/>
      <c r="C75" s="955"/>
      <c r="D75" s="363"/>
      <c r="E75" s="361"/>
      <c r="G75" s="350"/>
      <c r="H75" s="350"/>
      <c r="I75" s="350"/>
    </row>
    <row r="76" spans="1:10" ht="15.6">
      <c r="A76" s="359" t="s">
        <v>205</v>
      </c>
      <c r="B76" s="955">
        <v>6631264.96</v>
      </c>
      <c r="C76" s="955">
        <v>7117166.21</v>
      </c>
      <c r="D76" s="363">
        <f>SUM(B76:C76)</f>
        <v>13748431.17</v>
      </c>
      <c r="E76" s="360"/>
      <c r="F76" s="361" t="s">
        <v>206</v>
      </c>
      <c r="G76" s="955">
        <v>521467</v>
      </c>
      <c r="H76" s="955">
        <v>1777582.79</v>
      </c>
      <c r="I76" s="363">
        <f>SUM(G76:H76)</f>
        <v>2299049.79</v>
      </c>
      <c r="J76" s="362"/>
    </row>
    <row r="77" spans="1:10" ht="15.6">
      <c r="A77" s="359" t="s">
        <v>207</v>
      </c>
      <c r="B77" s="955">
        <v>2082414.74</v>
      </c>
      <c r="C77" s="955">
        <v>861037.5</v>
      </c>
      <c r="D77" s="363">
        <f>SUM(B77:C77)</f>
        <v>2943452.24</v>
      </c>
      <c r="E77" s="360"/>
      <c r="F77" s="361" t="s">
        <v>208</v>
      </c>
      <c r="G77" s="955">
        <v>3849877.18</v>
      </c>
      <c r="H77" s="955">
        <v>3821130.55</v>
      </c>
      <c r="I77" s="363">
        <f>SUM(G77:H77)</f>
        <v>7671007.7300000004</v>
      </c>
      <c r="J77" s="362"/>
    </row>
    <row r="78" spans="1:10" ht="15.6">
      <c r="A78" s="359" t="s">
        <v>209</v>
      </c>
      <c r="B78" s="955">
        <v>5059266.3600000003</v>
      </c>
      <c r="C78" s="955">
        <v>3296313.17</v>
      </c>
      <c r="D78" s="363">
        <f>SUM(B78:C78)</f>
        <v>8355579.5300000003</v>
      </c>
      <c r="E78" s="360"/>
      <c r="F78" s="361" t="s">
        <v>210</v>
      </c>
      <c r="G78" s="955">
        <v>2004367.3</v>
      </c>
      <c r="H78" s="955">
        <v>587413.80000000005</v>
      </c>
      <c r="I78" s="363">
        <f>SUM(G78:H78)</f>
        <v>2591781.1</v>
      </c>
      <c r="J78" s="362"/>
    </row>
    <row r="79" spans="1:10" ht="15.6">
      <c r="A79" s="359" t="s">
        <v>211</v>
      </c>
      <c r="B79" s="955">
        <v>3589489.02</v>
      </c>
      <c r="C79" s="955">
        <v>4132031.73</v>
      </c>
      <c r="D79" s="363">
        <f>SUM(B79:C79)</f>
        <v>7721520.75</v>
      </c>
      <c r="E79" s="360"/>
      <c r="F79" s="361" t="s">
        <v>212</v>
      </c>
      <c r="G79" s="955">
        <v>12790792.220000001</v>
      </c>
      <c r="H79" s="955">
        <v>6830982.7199999997</v>
      </c>
      <c r="I79" s="363">
        <f>SUM(G79:H79)</f>
        <v>19621774.940000001</v>
      </c>
      <c r="J79" s="362"/>
    </row>
    <row r="80" spans="1:10" ht="15.6">
      <c r="A80" s="359" t="s">
        <v>213</v>
      </c>
      <c r="B80" s="955">
        <v>10959786.76</v>
      </c>
      <c r="C80" s="955">
        <v>9400939.6699999999</v>
      </c>
      <c r="D80" s="363">
        <f>SUM(B80:C80)</f>
        <v>20360726.43</v>
      </c>
      <c r="E80" s="360"/>
      <c r="F80" s="361" t="s">
        <v>214</v>
      </c>
      <c r="G80" s="955">
        <v>1067108.04</v>
      </c>
      <c r="H80" s="955">
        <v>956079.82</v>
      </c>
      <c r="I80" s="363">
        <f>SUM(G80:H80)</f>
        <v>2023187.8599999999</v>
      </c>
      <c r="J80" s="362"/>
    </row>
    <row r="81" spans="1:10" ht="11.1" customHeight="1">
      <c r="B81" s="350"/>
      <c r="C81" s="350"/>
      <c r="D81" s="350"/>
      <c r="E81" s="361"/>
      <c r="G81" s="350"/>
      <c r="H81" s="350"/>
      <c r="I81" s="350"/>
    </row>
    <row r="82" spans="1:10" ht="15.6">
      <c r="A82" s="374" t="s">
        <v>34</v>
      </c>
      <c r="B82" s="374">
        <f>SUM(B6:B46,G6:G46,B52:B80)</f>
        <v>774074654.33000004</v>
      </c>
      <c r="C82" s="374">
        <f>SUM(C6:C46,C52:C80,H6:H46)</f>
        <v>711341756.76000023</v>
      </c>
      <c r="D82" s="374">
        <f>SUM(G94:H94)</f>
        <v>1485416411.0900002</v>
      </c>
      <c r="E82" s="361"/>
      <c r="F82" s="361" t="s">
        <v>178</v>
      </c>
      <c r="G82" s="955">
        <v>21416064.260000002</v>
      </c>
      <c r="H82" s="955">
        <v>30561789.039999999</v>
      </c>
      <c r="I82" s="363">
        <f>SUM(G82:H82)</f>
        <v>51977853.299999997</v>
      </c>
      <c r="J82" s="362"/>
    </row>
    <row r="83" spans="1:10" ht="15.6">
      <c r="A83" s="361"/>
      <c r="B83" s="361"/>
      <c r="C83" s="361"/>
      <c r="D83" s="361"/>
      <c r="E83" s="361"/>
      <c r="F83" s="361" t="s">
        <v>37</v>
      </c>
      <c r="G83" s="955">
        <v>11582784.470000001</v>
      </c>
      <c r="H83" s="955">
        <v>19234584.190000001</v>
      </c>
      <c r="I83" s="363">
        <f>SUM(G83:H83)</f>
        <v>30817368.660000004</v>
      </c>
      <c r="J83" s="362"/>
    </row>
    <row r="84" spans="1:10" ht="16.2" thickBot="1">
      <c r="A84" s="359"/>
      <c r="B84" s="363"/>
      <c r="C84" s="363"/>
      <c r="D84" s="363"/>
      <c r="E84" s="361"/>
      <c r="F84" s="361" t="s">
        <v>215</v>
      </c>
      <c r="G84" s="955">
        <v>2945080.06</v>
      </c>
      <c r="H84" s="955">
        <v>6021764.4299999997</v>
      </c>
      <c r="I84" s="363">
        <f>SUM(G84:H84)</f>
        <v>8966844.4900000002</v>
      </c>
      <c r="J84" s="362"/>
    </row>
    <row r="85" spans="1:10" ht="15.6">
      <c r="A85" s="372"/>
      <c r="B85" s="353" t="s">
        <v>97</v>
      </c>
      <c r="C85" s="353" t="s">
        <v>76</v>
      </c>
      <c r="D85" s="353" t="s">
        <v>25</v>
      </c>
      <c r="E85" s="361"/>
      <c r="F85" s="361" t="s">
        <v>216</v>
      </c>
      <c r="G85" s="955">
        <v>2709556.56</v>
      </c>
      <c r="H85" s="955">
        <v>3703698.78</v>
      </c>
      <c r="I85" s="363">
        <f>SUM(G85:H85)</f>
        <v>6413255.3399999999</v>
      </c>
      <c r="J85" s="362"/>
    </row>
    <row r="86" spans="1:10" ht="15.6">
      <c r="A86" s="356" t="s">
        <v>35</v>
      </c>
      <c r="B86" s="357" t="s">
        <v>98</v>
      </c>
      <c r="C86" s="357" t="s">
        <v>85</v>
      </c>
      <c r="D86" s="357" t="s">
        <v>30</v>
      </c>
      <c r="E86" s="361"/>
      <c r="F86" s="361" t="s">
        <v>217</v>
      </c>
      <c r="G86" s="955">
        <v>13023552.98</v>
      </c>
      <c r="H86" s="955">
        <v>8001932.1500000004</v>
      </c>
      <c r="I86" s="363">
        <f>SUM(G86:H86)</f>
        <v>21025485.130000003</v>
      </c>
      <c r="J86" s="362"/>
    </row>
    <row r="87" spans="1:10" ht="11.1" customHeight="1">
      <c r="B87" s="350"/>
      <c r="C87" s="350"/>
      <c r="D87" s="350"/>
      <c r="E87" s="361"/>
      <c r="G87" s="350"/>
      <c r="H87" s="350"/>
      <c r="I87" s="350"/>
    </row>
    <row r="88" spans="1:10" ht="15.6">
      <c r="A88" s="359" t="s">
        <v>218</v>
      </c>
      <c r="B88" s="957">
        <v>11367981.48</v>
      </c>
      <c r="C88" s="957">
        <v>25439767.649999999</v>
      </c>
      <c r="D88" s="359">
        <f>SUM(B88:C88)</f>
        <v>36807749.129999995</v>
      </c>
      <c r="E88" s="360"/>
      <c r="F88" s="361" t="s">
        <v>38</v>
      </c>
      <c r="G88" s="955">
        <v>62246588.189999998</v>
      </c>
      <c r="H88" s="955">
        <v>54790861.659999996</v>
      </c>
      <c r="I88" s="363">
        <f>SUM(G88:H88)</f>
        <v>117037449.84999999</v>
      </c>
      <c r="J88" s="362"/>
    </row>
    <row r="89" spans="1:10" ht="15.6">
      <c r="A89" s="359" t="s">
        <v>117</v>
      </c>
      <c r="B89" s="955">
        <v>761134.64</v>
      </c>
      <c r="C89" s="955">
        <v>846287.8</v>
      </c>
      <c r="D89" s="363">
        <f>SUM(B89:C89)</f>
        <v>1607422.44</v>
      </c>
      <c r="E89" s="360"/>
      <c r="F89" s="361" t="s">
        <v>219</v>
      </c>
      <c r="G89" s="955">
        <v>2733730.52</v>
      </c>
      <c r="H89" s="955">
        <v>4803615.32</v>
      </c>
      <c r="I89" s="363">
        <f>SUM(G89:H89)</f>
        <v>7537345.8399999999</v>
      </c>
      <c r="J89" s="362"/>
    </row>
    <row r="90" spans="1:10" ht="15.6">
      <c r="A90" s="359" t="s">
        <v>220</v>
      </c>
      <c r="B90" s="955">
        <v>2082414.74</v>
      </c>
      <c r="C90" s="955">
        <v>3766920.5</v>
      </c>
      <c r="D90" s="363">
        <f>SUM(B90:C90)</f>
        <v>5849335.2400000002</v>
      </c>
      <c r="E90" s="360"/>
      <c r="F90" s="361" t="s">
        <v>221</v>
      </c>
      <c r="G90" s="955">
        <v>696210.26</v>
      </c>
      <c r="H90" s="955">
        <v>4143547.88</v>
      </c>
      <c r="I90" s="363">
        <f>SUM(G90:H90)</f>
        <v>4839758.1399999997</v>
      </c>
      <c r="J90" s="362"/>
    </row>
    <row r="91" spans="1:10" ht="15.6">
      <c r="A91" s="359" t="s">
        <v>222</v>
      </c>
      <c r="B91" s="955">
        <v>747320.92</v>
      </c>
      <c r="C91" s="955">
        <v>402427.09</v>
      </c>
      <c r="D91" s="363">
        <f>SUM(B91:C91)</f>
        <v>1149748.01</v>
      </c>
      <c r="E91" s="360"/>
      <c r="F91" s="361" t="s">
        <v>223</v>
      </c>
      <c r="G91" s="955">
        <v>3213756.48</v>
      </c>
      <c r="H91" s="955">
        <v>8695903.9700000007</v>
      </c>
      <c r="I91" s="363">
        <f>SUM(G91:H91)</f>
        <v>11909660.450000001</v>
      </c>
      <c r="J91" s="362"/>
    </row>
    <row r="92" spans="1:10" ht="15.6">
      <c r="A92" s="359" t="s">
        <v>224</v>
      </c>
      <c r="B92" s="955">
        <v>2681238.48</v>
      </c>
      <c r="C92" s="955">
        <v>9888525.9900000002</v>
      </c>
      <c r="D92" s="363">
        <f>SUM(B92:C92)</f>
        <v>12569764.470000001</v>
      </c>
      <c r="E92" s="360"/>
      <c r="G92" s="350"/>
      <c r="H92" s="350"/>
      <c r="I92" s="350"/>
    </row>
    <row r="93" spans="1:10">
      <c r="A93" s="375"/>
      <c r="B93" s="376"/>
      <c r="C93" s="376"/>
      <c r="D93" s="376"/>
      <c r="E93" s="375"/>
      <c r="F93" s="377" t="s">
        <v>39</v>
      </c>
      <c r="G93" s="374">
        <f>SUM(B88:B92,G52:G91)</f>
        <v>309715506.31</v>
      </c>
      <c r="H93" s="890">
        <f>SUM(C88:C92,H52:H91)</f>
        <v>378401352.69000012</v>
      </c>
      <c r="I93" s="374">
        <f>SUM(G93:H93)</f>
        <v>688116859.00000012</v>
      </c>
    </row>
    <row r="94" spans="1:10">
      <c r="A94" s="371"/>
      <c r="B94" s="370"/>
      <c r="C94" s="370"/>
      <c r="D94" s="370"/>
      <c r="E94" s="371"/>
      <c r="F94" s="358" t="s">
        <v>34</v>
      </c>
      <c r="G94" s="358">
        <f>SUM(B6:B46,G6:G46,B52:B80)</f>
        <v>774074654.33000004</v>
      </c>
      <c r="H94" s="358">
        <f>SUM(C6:C46,C52:C80,H6:H46)</f>
        <v>711341756.76000023</v>
      </c>
      <c r="I94" s="358">
        <f>SUM(G94:H94)</f>
        <v>1485416411.0900002</v>
      </c>
    </row>
    <row r="95" spans="1:10" ht="11.1" customHeight="1">
      <c r="A95" s="371"/>
      <c r="B95" s="370"/>
      <c r="C95" s="370"/>
      <c r="D95" s="370"/>
      <c r="E95" s="371"/>
      <c r="G95" s="350"/>
      <c r="H95" s="350"/>
      <c r="I95" s="350"/>
    </row>
    <row r="96" spans="1:10">
      <c r="A96" s="371"/>
      <c r="B96" s="370"/>
      <c r="C96" s="370"/>
      <c r="D96" s="370"/>
      <c r="E96" s="371"/>
      <c r="F96" s="377" t="s">
        <v>40</v>
      </c>
      <c r="G96" s="374">
        <f>SUM(G93:G94)</f>
        <v>1083790160.6400001</v>
      </c>
      <c r="H96" s="374">
        <f>SUM(H93:H94)</f>
        <v>1089743109.4500003</v>
      </c>
      <c r="I96" s="374">
        <f>SUM(I93:I94)</f>
        <v>2173533270.0900002</v>
      </c>
    </row>
    <row r="97" spans="1:9">
      <c r="A97" s="371"/>
      <c r="B97" s="370"/>
      <c r="C97" s="370"/>
      <c r="D97" s="370"/>
      <c r="E97" s="371"/>
      <c r="F97" s="371"/>
      <c r="G97" s="370"/>
      <c r="H97" s="370"/>
      <c r="I97" s="370"/>
    </row>
    <row r="98" spans="1:9">
      <c r="A98" s="371"/>
      <c r="B98" s="370"/>
      <c r="C98" s="370"/>
      <c r="D98" s="370"/>
      <c r="E98" s="371"/>
      <c r="F98" s="371"/>
      <c r="G98" s="370"/>
      <c r="H98" s="370"/>
      <c r="I98" s="370"/>
    </row>
    <row r="99" spans="1:9">
      <c r="A99" s="371"/>
      <c r="B99" s="370"/>
      <c r="C99" s="370"/>
      <c r="D99" s="370"/>
      <c r="E99" s="371"/>
      <c r="F99" s="371"/>
      <c r="G99" s="370"/>
      <c r="H99" s="370"/>
      <c r="I99" s="370"/>
    </row>
    <row r="100" spans="1:9">
      <c r="A100" s="371"/>
      <c r="B100" s="370"/>
      <c r="C100" s="370"/>
      <c r="D100" s="370"/>
      <c r="E100" s="371"/>
      <c r="F100" s="371"/>
      <c r="G100" s="370"/>
      <c r="H100" s="370"/>
      <c r="I100" s="370"/>
    </row>
    <row r="101" spans="1:9">
      <c r="A101" s="371"/>
      <c r="B101" s="370"/>
      <c r="C101" s="370"/>
      <c r="D101" s="370"/>
      <c r="E101" s="371"/>
      <c r="F101" s="371"/>
      <c r="G101" s="370"/>
      <c r="H101" s="370"/>
      <c r="I101" s="370"/>
    </row>
    <row r="102" spans="1:9">
      <c r="A102" s="371"/>
      <c r="B102" s="370"/>
      <c r="C102" s="370"/>
      <c r="D102" s="370"/>
      <c r="E102" s="371"/>
      <c r="F102" s="371"/>
      <c r="G102" s="370"/>
      <c r="H102" s="370"/>
      <c r="I102" s="370"/>
    </row>
    <row r="103" spans="1:9">
      <c r="A103" s="371"/>
      <c r="B103" s="370"/>
      <c r="C103" s="370"/>
      <c r="D103" s="370"/>
      <c r="E103" s="371"/>
      <c r="F103" s="371"/>
      <c r="G103" s="370"/>
      <c r="H103" s="370"/>
      <c r="I103" s="370"/>
    </row>
    <row r="104" spans="1:9">
      <c r="A104" s="371"/>
      <c r="B104" s="370"/>
      <c r="C104" s="370"/>
      <c r="D104" s="370"/>
      <c r="E104" s="371"/>
      <c r="F104" s="371"/>
      <c r="G104" s="370"/>
      <c r="H104" s="370"/>
      <c r="I104" s="370"/>
    </row>
    <row r="105" spans="1:9">
      <c r="A105" s="371"/>
      <c r="B105" s="370"/>
      <c r="C105" s="370"/>
      <c r="D105" s="370"/>
      <c r="E105" s="371"/>
      <c r="F105" s="371"/>
      <c r="G105" s="370"/>
      <c r="H105" s="370"/>
      <c r="I105" s="370"/>
    </row>
    <row r="106" spans="1:9">
      <c r="A106" s="371"/>
      <c r="B106" s="370"/>
      <c r="C106" s="370"/>
      <c r="D106" s="370"/>
      <c r="E106" s="371"/>
      <c r="F106" s="371"/>
      <c r="G106" s="370"/>
      <c r="H106" s="370"/>
      <c r="I106" s="370"/>
    </row>
    <row r="107" spans="1:9">
      <c r="A107" s="371"/>
      <c r="B107" s="370"/>
      <c r="C107" s="370"/>
      <c r="D107" s="370"/>
      <c r="E107" s="371"/>
      <c r="F107" s="371"/>
      <c r="G107" s="370"/>
      <c r="H107" s="370"/>
      <c r="I107" s="370"/>
    </row>
    <row r="108" spans="1:9">
      <c r="F108" s="371"/>
      <c r="G108" s="370"/>
      <c r="H108" s="370"/>
      <c r="I108" s="370"/>
    </row>
    <row r="109" spans="1:9">
      <c r="F109" s="371"/>
      <c r="G109" s="370"/>
      <c r="H109" s="370"/>
      <c r="I109" s="370"/>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sheetPr codeName="Sheet1"/>
  <dimension ref="A1:E50"/>
  <sheetViews>
    <sheetView zoomScaleNormal="100" workbookViewId="0"/>
  </sheetViews>
  <sheetFormatPr defaultColWidth="9.109375" defaultRowHeight="11.4"/>
  <cols>
    <col min="1" max="1" width="7.44140625" style="655" customWidth="1"/>
    <col min="2" max="2" width="88.88671875" style="655" customWidth="1"/>
    <col min="3" max="3" width="4.44140625" style="655" customWidth="1"/>
    <col min="4" max="4" width="4.6640625" style="655" customWidth="1"/>
    <col min="5" max="5" width="5.33203125" style="655" customWidth="1"/>
    <col min="6" max="16384" width="9.109375" style="655"/>
  </cols>
  <sheetData>
    <row r="1" spans="1:5" s="654" customFormat="1" ht="13.2">
      <c r="A1" s="653" t="s">
        <v>998</v>
      </c>
    </row>
    <row r="2" spans="1:5" ht="11.25" customHeight="1"/>
    <row r="3" spans="1:5" ht="10.5" customHeight="1"/>
    <row r="4" spans="1:5" ht="13.2">
      <c r="A4" s="656" t="s">
        <v>999</v>
      </c>
    </row>
    <row r="5" spans="1:5">
      <c r="B5" s="655" t="s">
        <v>1000</v>
      </c>
      <c r="E5" s="655">
        <v>1</v>
      </c>
    </row>
    <row r="6" spans="1:5">
      <c r="B6" s="655" t="s">
        <v>1001</v>
      </c>
      <c r="E6" s="655">
        <v>2</v>
      </c>
    </row>
    <row r="7" spans="1:5" ht="10.5" customHeight="1"/>
    <row r="8" spans="1:5" ht="13.2">
      <c r="A8" s="656" t="s">
        <v>4</v>
      </c>
    </row>
    <row r="9" spans="1:5">
      <c r="A9" s="655">
        <v>1.1000000000000001</v>
      </c>
      <c r="B9" s="655" t="s">
        <v>1002</v>
      </c>
      <c r="E9" s="655">
        <v>3</v>
      </c>
    </row>
    <row r="10" spans="1:5">
      <c r="A10" s="655">
        <v>1.2</v>
      </c>
      <c r="B10" s="655" t="s">
        <v>1003</v>
      </c>
      <c r="E10" s="655">
        <v>4</v>
      </c>
    </row>
    <row r="11" spans="1:5">
      <c r="A11" s="655">
        <v>1.3</v>
      </c>
      <c r="B11" s="655" t="s">
        <v>1004</v>
      </c>
      <c r="E11" s="655">
        <v>5</v>
      </c>
    </row>
    <row r="12" spans="1:5">
      <c r="A12" s="655">
        <v>1.4</v>
      </c>
      <c r="B12" s="655" t="s">
        <v>1005</v>
      </c>
      <c r="E12" s="655">
        <v>6</v>
      </c>
    </row>
    <row r="13" spans="1:5">
      <c r="A13" s="655">
        <v>1.5</v>
      </c>
      <c r="B13" s="655" t="s">
        <v>1006</v>
      </c>
      <c r="E13" s="655">
        <v>7</v>
      </c>
    </row>
    <row r="14" spans="1:5">
      <c r="A14" s="655">
        <v>1.6</v>
      </c>
      <c r="B14" s="655" t="s">
        <v>1007</v>
      </c>
      <c r="E14" s="655">
        <v>12</v>
      </c>
    </row>
    <row r="15" spans="1:5">
      <c r="A15" s="657">
        <v>1.7</v>
      </c>
      <c r="B15" s="655" t="s">
        <v>1008</v>
      </c>
      <c r="E15" s="655">
        <v>17</v>
      </c>
    </row>
    <row r="16" spans="1:5">
      <c r="A16" s="657">
        <v>1.8</v>
      </c>
      <c r="B16" s="655" t="s">
        <v>1009</v>
      </c>
      <c r="E16" s="655">
        <v>22</v>
      </c>
    </row>
    <row r="17" spans="1:5">
      <c r="A17" s="658">
        <v>1.9</v>
      </c>
      <c r="B17" s="655" t="s">
        <v>1010</v>
      </c>
      <c r="E17" s="655">
        <v>22</v>
      </c>
    </row>
    <row r="18" spans="1:5">
      <c r="A18" s="657" t="s">
        <v>1011</v>
      </c>
      <c r="B18" s="655" t="s">
        <v>1012</v>
      </c>
      <c r="E18" s="655">
        <v>23</v>
      </c>
    </row>
    <row r="19" spans="1:5" ht="10.5" customHeight="1"/>
    <row r="20" spans="1:5" ht="13.2">
      <c r="A20" s="656" t="s">
        <v>1013</v>
      </c>
    </row>
    <row r="21" spans="1:5">
      <c r="A21" s="655">
        <v>2.1</v>
      </c>
      <c r="B21" s="655" t="s">
        <v>1014</v>
      </c>
      <c r="E21" s="655">
        <v>24</v>
      </c>
    </row>
    <row r="22" spans="1:5">
      <c r="A22" s="655">
        <v>2.2000000000000002</v>
      </c>
      <c r="B22" s="655" t="s">
        <v>1015</v>
      </c>
      <c r="E22" s="655">
        <v>25</v>
      </c>
    </row>
    <row r="23" spans="1:5" ht="10.5" customHeight="1"/>
    <row r="24" spans="1:5" ht="13.2" customHeight="1">
      <c r="A24" s="656" t="s">
        <v>1016</v>
      </c>
    </row>
    <row r="25" spans="1:5" ht="10.5" customHeight="1">
      <c r="A25" s="655">
        <v>3.1</v>
      </c>
      <c r="B25" s="655" t="s">
        <v>1017</v>
      </c>
      <c r="E25" s="655">
        <v>26</v>
      </c>
    </row>
    <row r="26" spans="1:5" ht="10.5" customHeight="1"/>
    <row r="27" spans="1:5" ht="13.2">
      <c r="A27" s="656" t="s">
        <v>3</v>
      </c>
    </row>
    <row r="28" spans="1:5">
      <c r="A28" s="655">
        <v>4.0999999999999996</v>
      </c>
      <c r="B28" s="655" t="s">
        <v>1018</v>
      </c>
      <c r="E28" s="655">
        <v>27</v>
      </c>
    </row>
    <row r="29" spans="1:5">
      <c r="A29" s="657" t="s">
        <v>1019</v>
      </c>
      <c r="B29" s="655" t="s">
        <v>1020</v>
      </c>
      <c r="E29" s="655">
        <v>28</v>
      </c>
    </row>
    <row r="30" spans="1:5">
      <c r="A30" s="657" t="s">
        <v>1021</v>
      </c>
      <c r="B30" s="655" t="s">
        <v>1022</v>
      </c>
      <c r="E30" s="655">
        <v>29</v>
      </c>
    </row>
    <row r="31" spans="1:5">
      <c r="A31" s="657" t="s">
        <v>1023</v>
      </c>
      <c r="B31" s="655" t="s">
        <v>1024</v>
      </c>
      <c r="E31" s="655">
        <v>31</v>
      </c>
    </row>
    <row r="32" spans="1:5" ht="10.5" customHeight="1"/>
    <row r="33" spans="1:5" ht="13.2">
      <c r="A33" s="656" t="s">
        <v>1025</v>
      </c>
    </row>
    <row r="34" spans="1:5">
      <c r="A34" s="655">
        <v>5.0999999999999996</v>
      </c>
      <c r="B34" s="655" t="s">
        <v>1026</v>
      </c>
      <c r="E34" s="655">
        <v>32</v>
      </c>
    </row>
    <row r="35" spans="1:5">
      <c r="A35" s="655">
        <v>5.2</v>
      </c>
      <c r="B35" s="655" t="s">
        <v>1027</v>
      </c>
      <c r="E35" s="655">
        <v>33</v>
      </c>
    </row>
    <row r="36" spans="1:5">
      <c r="A36" s="657" t="s">
        <v>1028</v>
      </c>
      <c r="B36" s="655" t="s">
        <v>1029</v>
      </c>
      <c r="E36" s="655">
        <v>35</v>
      </c>
    </row>
    <row r="37" spans="1:5">
      <c r="A37" s="657" t="s">
        <v>1030</v>
      </c>
      <c r="B37" s="655" t="s">
        <v>1031</v>
      </c>
      <c r="E37" s="655">
        <v>35</v>
      </c>
    </row>
    <row r="38" spans="1:5">
      <c r="A38" s="657" t="s">
        <v>1032</v>
      </c>
      <c r="B38" s="655" t="s">
        <v>1033</v>
      </c>
      <c r="E38" s="655">
        <v>36</v>
      </c>
    </row>
    <row r="39" spans="1:5">
      <c r="A39" s="657" t="s">
        <v>1034</v>
      </c>
      <c r="B39" s="655" t="s">
        <v>1035</v>
      </c>
      <c r="E39" s="655">
        <v>41</v>
      </c>
    </row>
    <row r="40" spans="1:5" ht="10.5" customHeight="1"/>
    <row r="41" spans="1:5" ht="13.2">
      <c r="A41" s="656" t="s">
        <v>1036</v>
      </c>
    </row>
    <row r="42" spans="1:5">
      <c r="A42" s="655">
        <v>6.1</v>
      </c>
      <c r="B42" s="655" t="s">
        <v>1037</v>
      </c>
      <c r="E42" s="655">
        <v>43</v>
      </c>
    </row>
    <row r="43" spans="1:5">
      <c r="A43" s="655">
        <v>6.2</v>
      </c>
      <c r="B43" s="655" t="s">
        <v>1038</v>
      </c>
      <c r="E43" s="655">
        <v>44</v>
      </c>
    </row>
    <row r="44" spans="1:5">
      <c r="A44" s="655">
        <v>6.3</v>
      </c>
      <c r="B44" s="655" t="s">
        <v>1039</v>
      </c>
      <c r="E44" s="655">
        <v>49</v>
      </c>
    </row>
    <row r="45" spans="1:5">
      <c r="A45" s="655">
        <v>6.4</v>
      </c>
      <c r="B45" s="655" t="s">
        <v>1040</v>
      </c>
      <c r="E45" s="655">
        <v>54</v>
      </c>
    </row>
    <row r="46" spans="1:5" ht="10.5" customHeight="1"/>
    <row r="47" spans="1:5" ht="13.2">
      <c r="A47" s="911" t="s">
        <v>1073</v>
      </c>
      <c r="B47" s="912"/>
      <c r="C47" s="912"/>
      <c r="D47" s="912"/>
      <c r="E47" s="912"/>
    </row>
    <row r="48" spans="1:5" ht="10.5" customHeight="1">
      <c r="A48" s="912">
        <v>7.1</v>
      </c>
      <c r="B48" s="912" t="s">
        <v>1074</v>
      </c>
      <c r="C48" s="912"/>
      <c r="D48" s="912"/>
      <c r="E48" s="912">
        <v>59</v>
      </c>
    </row>
    <row r="49" spans="1:5" ht="10.5" customHeight="1"/>
    <row r="50" spans="1:5" ht="13.2">
      <c r="A50" s="656" t="s">
        <v>379</v>
      </c>
      <c r="E50" s="655">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6:A39 A29:A31" numberStoredAsText="1"/>
  </ignoredErrors>
</worksheet>
</file>

<file path=xl/worksheets/sheet20.xml><?xml version="1.0" encoding="utf-8"?>
<worksheet xmlns="http://schemas.openxmlformats.org/spreadsheetml/2006/main" xmlns:r="http://schemas.openxmlformats.org/officeDocument/2006/relationships">
  <sheetPr codeName="Sheet20">
    <pageSetUpPr fitToPage="1"/>
  </sheetPr>
  <dimension ref="A1:P30"/>
  <sheetViews>
    <sheetView zoomScaleNormal="100" workbookViewId="0"/>
  </sheetViews>
  <sheetFormatPr defaultColWidth="8.88671875" defaultRowHeight="13.2"/>
  <cols>
    <col min="1" max="1" width="25.6640625" style="769" bestFit="1" customWidth="1"/>
    <col min="2" max="4" width="11.109375" style="769" bestFit="1" customWidth="1"/>
    <col min="5" max="5" width="11.109375" style="769" customWidth="1"/>
    <col min="6" max="6" width="10.88671875" style="769" bestFit="1" customWidth="1"/>
    <col min="7" max="7" width="8.88671875" style="769"/>
    <col min="8" max="8" width="9.33203125" style="769" bestFit="1" customWidth="1"/>
    <col min="9" max="16384" width="8.88671875" style="769"/>
  </cols>
  <sheetData>
    <row r="1" spans="1:10" ht="17.399999999999999">
      <c r="A1" s="767" t="s">
        <v>373</v>
      </c>
      <c r="B1" s="768"/>
      <c r="C1" s="768"/>
      <c r="D1" s="768"/>
      <c r="E1" s="768"/>
      <c r="F1" s="768"/>
    </row>
    <row r="2" spans="1:10">
      <c r="A2" s="770" t="s">
        <v>225</v>
      </c>
      <c r="B2" s="768"/>
      <c r="C2" s="768"/>
      <c r="D2" s="768"/>
      <c r="E2" s="768"/>
      <c r="F2" s="768"/>
    </row>
    <row r="3" spans="1:10" ht="13.8" thickBot="1"/>
    <row r="4" spans="1:10">
      <c r="A4" s="771" t="s">
        <v>226</v>
      </c>
      <c r="B4" s="772" t="s">
        <v>6</v>
      </c>
      <c r="C4" s="772" t="s">
        <v>9</v>
      </c>
      <c r="D4" s="772" t="s">
        <v>438</v>
      </c>
      <c r="E4" s="772" t="s">
        <v>1058</v>
      </c>
      <c r="F4" s="772" t="s">
        <v>1091</v>
      </c>
    </row>
    <row r="5" spans="1:10">
      <c r="A5" s="773"/>
      <c r="B5" s="146"/>
      <c r="C5" s="774"/>
      <c r="D5" s="774"/>
    </row>
    <row r="6" spans="1:10">
      <c r="A6" s="773" t="s">
        <v>227</v>
      </c>
      <c r="B6" s="775">
        <v>3310687.66</v>
      </c>
      <c r="C6" s="775">
        <v>3116089.15</v>
      </c>
      <c r="D6" s="775">
        <v>3919086.0599999996</v>
      </c>
      <c r="E6" s="775">
        <v>3948027.43</v>
      </c>
      <c r="F6" s="775">
        <v>4707536.26</v>
      </c>
      <c r="G6" s="1033"/>
      <c r="H6" s="777"/>
      <c r="I6" s="777"/>
      <c r="J6" s="777"/>
    </row>
    <row r="7" spans="1:10">
      <c r="A7" s="773" t="s">
        <v>228</v>
      </c>
      <c r="B7" s="778">
        <v>21161192.670000002</v>
      </c>
      <c r="C7" s="778">
        <v>20238696.34</v>
      </c>
      <c r="D7" s="778">
        <v>22908710.459999997</v>
      </c>
      <c r="E7" s="778">
        <v>26596033.450000003</v>
      </c>
      <c r="F7" s="778">
        <v>27371083.539999999</v>
      </c>
      <c r="G7" s="1033"/>
      <c r="H7" s="777"/>
      <c r="I7" s="777"/>
      <c r="J7" s="777"/>
    </row>
    <row r="8" spans="1:10">
      <c r="A8" s="773" t="s">
        <v>229</v>
      </c>
      <c r="B8" s="778">
        <v>8185362.830000001</v>
      </c>
      <c r="C8" s="778">
        <v>7910011.1400000006</v>
      </c>
      <c r="D8" s="778">
        <v>9464579.2700000014</v>
      </c>
      <c r="E8" s="778">
        <v>10427164.9</v>
      </c>
      <c r="F8" s="778">
        <v>11100821.680000002</v>
      </c>
      <c r="G8" s="1033"/>
      <c r="H8" s="777"/>
      <c r="I8" s="777"/>
      <c r="J8" s="777"/>
    </row>
    <row r="9" spans="1:10">
      <c r="A9" s="773" t="s">
        <v>230</v>
      </c>
      <c r="B9" s="778">
        <v>2361610.98</v>
      </c>
      <c r="C9" s="778">
        <v>2638904.17</v>
      </c>
      <c r="D9" s="778">
        <v>3260035.48</v>
      </c>
      <c r="E9" s="778">
        <v>3079060.31</v>
      </c>
      <c r="F9" s="778">
        <v>3353718.84</v>
      </c>
      <c r="G9" s="1033"/>
      <c r="H9" s="777"/>
      <c r="I9" s="777"/>
      <c r="J9" s="777"/>
    </row>
    <row r="10" spans="1:10">
      <c r="A10" s="773" t="s">
        <v>231</v>
      </c>
      <c r="B10" s="778">
        <v>1108262.8700000001</v>
      </c>
      <c r="C10" s="778">
        <v>1656956.7</v>
      </c>
      <c r="D10" s="778">
        <v>2467877.7999999998</v>
      </c>
      <c r="E10" s="778">
        <v>2561784.73</v>
      </c>
      <c r="F10" s="778">
        <v>1815652.7299999995</v>
      </c>
      <c r="G10" s="1033"/>
      <c r="H10" s="777"/>
      <c r="I10" s="777"/>
      <c r="J10" s="777"/>
    </row>
    <row r="11" spans="1:10">
      <c r="A11" s="773" t="s">
        <v>232</v>
      </c>
      <c r="B11" s="778">
        <v>330402.42</v>
      </c>
      <c r="C11" s="778">
        <v>558849.47</v>
      </c>
      <c r="D11" s="778">
        <v>1002005.3900000001</v>
      </c>
      <c r="E11" s="778">
        <v>522204.22</v>
      </c>
      <c r="F11" s="778">
        <v>726057.62</v>
      </c>
      <c r="G11" s="1033"/>
      <c r="H11" s="777"/>
      <c r="I11" s="777"/>
      <c r="J11" s="777"/>
    </row>
    <row r="12" spans="1:10">
      <c r="A12" s="779" t="s">
        <v>233</v>
      </c>
      <c r="B12" s="780"/>
      <c r="C12" s="780"/>
      <c r="D12" s="780"/>
      <c r="E12" s="780"/>
      <c r="F12" s="780"/>
      <c r="G12" s="1034"/>
    </row>
    <row r="13" spans="1:10">
      <c r="A13" s="781" t="s">
        <v>234</v>
      </c>
      <c r="B13" s="782">
        <v>36457519.43</v>
      </c>
      <c r="C13" s="782">
        <v>36119506.969999999</v>
      </c>
      <c r="D13" s="782">
        <v>43022294.459999993</v>
      </c>
      <c r="E13" s="782">
        <f>SUM(E6:E11)</f>
        <v>47134275.039999999</v>
      </c>
      <c r="F13" s="782">
        <f>SUM(F6:F11)</f>
        <v>49074870.669999987</v>
      </c>
      <c r="G13" s="1033"/>
      <c r="H13" s="777"/>
      <c r="I13" s="777"/>
      <c r="J13" s="777"/>
    </row>
    <row r="14" spans="1:10">
      <c r="A14" s="773"/>
      <c r="B14" s="146"/>
      <c r="C14" s="774"/>
      <c r="D14" s="774"/>
      <c r="E14" s="774"/>
      <c r="F14" s="774"/>
      <c r="G14" s="1035"/>
      <c r="H14" s="777"/>
      <c r="I14" s="777"/>
      <c r="J14" s="777"/>
    </row>
    <row r="15" spans="1:10">
      <c r="A15" s="773" t="s">
        <v>235</v>
      </c>
      <c r="B15" s="783">
        <v>11784557.789999999</v>
      </c>
      <c r="C15" s="775">
        <v>11543386.120000001</v>
      </c>
      <c r="D15" s="775">
        <v>13749156.109999998</v>
      </c>
      <c r="E15" s="775">
        <v>16500996.119999999</v>
      </c>
      <c r="F15" s="775">
        <v>16567869.92</v>
      </c>
      <c r="G15" s="1033"/>
      <c r="H15" s="777"/>
      <c r="I15" s="777"/>
      <c r="J15" s="777"/>
    </row>
    <row r="16" spans="1:10">
      <c r="A16" s="773" t="s">
        <v>236</v>
      </c>
      <c r="B16" s="784">
        <v>3768232.82</v>
      </c>
      <c r="C16" s="778">
        <v>3926165.6</v>
      </c>
      <c r="D16" s="778">
        <v>5011443.32</v>
      </c>
      <c r="E16" s="778">
        <v>5695304.9799999986</v>
      </c>
      <c r="F16" s="778">
        <v>5594475.1000000006</v>
      </c>
      <c r="G16" s="1033"/>
      <c r="H16" s="777"/>
      <c r="I16" s="777"/>
      <c r="J16" s="777"/>
    </row>
    <row r="17" spans="1:16">
      <c r="A17" s="773" t="s">
        <v>237</v>
      </c>
      <c r="B17" s="784">
        <v>1379537.37</v>
      </c>
      <c r="C17" s="778">
        <v>1322784.47</v>
      </c>
      <c r="D17" s="778">
        <v>1873488.0199999998</v>
      </c>
      <c r="E17" s="778">
        <v>2090679.3600000003</v>
      </c>
      <c r="F17" s="778">
        <v>1741997.98</v>
      </c>
      <c r="G17" s="1033"/>
      <c r="H17" s="777"/>
      <c r="I17" s="777"/>
      <c r="J17" s="777"/>
    </row>
    <row r="18" spans="1:16">
      <c r="A18" s="773" t="s">
        <v>238</v>
      </c>
      <c r="B18" s="784">
        <v>1413530.39</v>
      </c>
      <c r="C18" s="778">
        <v>1727327.25</v>
      </c>
      <c r="D18" s="778">
        <v>2024665.13</v>
      </c>
      <c r="E18" s="778">
        <v>1899917.8500000003</v>
      </c>
      <c r="F18" s="778">
        <v>1402291.59</v>
      </c>
      <c r="G18" s="1033"/>
      <c r="H18" s="777"/>
      <c r="I18" s="777"/>
      <c r="J18" s="777"/>
    </row>
    <row r="19" spans="1:16">
      <c r="A19" s="773" t="s">
        <v>239</v>
      </c>
      <c r="B19" s="784">
        <v>948388.28</v>
      </c>
      <c r="C19" s="784">
        <v>703088.1</v>
      </c>
      <c r="D19" s="778">
        <v>689391.67999999993</v>
      </c>
      <c r="E19" s="778">
        <v>1006995.4800000001</v>
      </c>
      <c r="F19" s="778">
        <v>1071519.1499999999</v>
      </c>
      <c r="G19" s="1033"/>
      <c r="H19" s="777"/>
      <c r="I19" s="777"/>
      <c r="J19" s="777"/>
    </row>
    <row r="20" spans="1:16">
      <c r="A20" s="773" t="s">
        <v>240</v>
      </c>
      <c r="B20" s="785" t="s">
        <v>241</v>
      </c>
      <c r="C20" s="785">
        <v>928906.23999999999</v>
      </c>
      <c r="D20" s="785">
        <v>3152620.57</v>
      </c>
      <c r="E20" s="778">
        <v>4022495.59</v>
      </c>
      <c r="F20" s="778">
        <v>4367023.22</v>
      </c>
      <c r="G20" s="1033"/>
      <c r="H20" s="777"/>
      <c r="I20" s="777"/>
      <c r="J20" s="777"/>
    </row>
    <row r="21" spans="1:16">
      <c r="A21" s="779" t="s">
        <v>242</v>
      </c>
      <c r="B21" s="786"/>
      <c r="C21" s="786"/>
      <c r="D21" s="786"/>
      <c r="E21" s="786"/>
      <c r="F21" s="786"/>
      <c r="G21" s="1035"/>
      <c r="H21" s="777"/>
      <c r="I21" s="777"/>
      <c r="J21" s="777"/>
    </row>
    <row r="22" spans="1:16">
      <c r="A22" s="781" t="s">
        <v>234</v>
      </c>
      <c r="B22" s="782">
        <v>19294246.650000002</v>
      </c>
      <c r="C22" s="782">
        <v>20151657.780000001</v>
      </c>
      <c r="D22" s="782">
        <v>26500764.829999998</v>
      </c>
      <c r="E22" s="782">
        <f>SUM(E15:E20)</f>
        <v>31216389.379999999</v>
      </c>
      <c r="F22" s="782">
        <f>SUM(F15:F20)</f>
        <v>30745176.959999997</v>
      </c>
      <c r="G22" s="1033"/>
      <c r="H22" s="777"/>
      <c r="I22" s="777"/>
      <c r="J22" s="777"/>
    </row>
    <row r="23" spans="1:16">
      <c r="A23" s="787"/>
      <c r="B23" s="788"/>
      <c r="C23" s="774"/>
      <c r="D23" s="774"/>
      <c r="E23" s="774"/>
      <c r="F23" s="774"/>
      <c r="G23" s="1034"/>
      <c r="I23" s="1073"/>
      <c r="J23" s="1073"/>
      <c r="K23" s="1073"/>
    </row>
    <row r="24" spans="1:16">
      <c r="A24" s="789" t="s">
        <v>40</v>
      </c>
      <c r="B24" s="788">
        <v>55751766.079999998</v>
      </c>
      <c r="C24" s="788">
        <v>56271164.75</v>
      </c>
      <c r="D24" s="788">
        <v>69523059.289999992</v>
      </c>
      <c r="E24" s="788">
        <f>E13+E22</f>
        <v>78350664.420000002</v>
      </c>
      <c r="F24" s="788">
        <f>F13+F22</f>
        <v>79820047.62999998</v>
      </c>
      <c r="G24" s="1033"/>
      <c r="H24" s="790"/>
      <c r="I24" s="1024"/>
      <c r="J24" s="793"/>
      <c r="K24" s="1025"/>
      <c r="L24" s="1026"/>
      <c r="M24" s="777"/>
      <c r="N24" s="777"/>
      <c r="O24" s="777"/>
      <c r="P24" s="777"/>
    </row>
    <row r="25" spans="1:16">
      <c r="A25" s="774"/>
      <c r="B25" s="774"/>
      <c r="C25" s="774"/>
      <c r="D25" s="774"/>
      <c r="E25" s="774"/>
      <c r="F25" s="774"/>
      <c r="I25" s="791">
        <v>2009</v>
      </c>
      <c r="J25" s="792">
        <f>B13/1000000</f>
        <v>36.457519429999998</v>
      </c>
      <c r="K25" s="793">
        <f>B22/1000000</f>
        <v>19.294246650000002</v>
      </c>
      <c r="L25" s="1025"/>
    </row>
    <row r="26" spans="1:16" ht="12.75" customHeight="1">
      <c r="A26" s="1131" t="s">
        <v>800</v>
      </c>
      <c r="B26" s="1131"/>
      <c r="C26" s="1131"/>
      <c r="D26" s="1131"/>
      <c r="E26" s="1131"/>
      <c r="F26" s="1131"/>
      <c r="I26" s="791">
        <v>2010</v>
      </c>
      <c r="J26" s="792">
        <f>C13/1000000</f>
        <v>36.119506969999996</v>
      </c>
      <c r="K26" s="793">
        <f>C22/1000000</f>
        <v>20.151657780000001</v>
      </c>
      <c r="L26" s="1025"/>
    </row>
    <row r="27" spans="1:16">
      <c r="A27" s="1131"/>
      <c r="B27" s="1131"/>
      <c r="C27" s="1131"/>
      <c r="D27" s="1131"/>
      <c r="E27" s="1131"/>
      <c r="F27" s="1131"/>
      <c r="I27" s="791">
        <v>2011</v>
      </c>
      <c r="J27" s="792">
        <f>D13/1000000</f>
        <v>43.022294459999991</v>
      </c>
      <c r="K27" s="793">
        <f>D22/1000000</f>
        <v>26.500764829999998</v>
      </c>
      <c r="L27" s="1025"/>
    </row>
    <row r="28" spans="1:16">
      <c r="A28" s="1131"/>
      <c r="B28" s="1131"/>
      <c r="C28" s="1131"/>
      <c r="D28" s="1131"/>
      <c r="E28" s="1131"/>
      <c r="F28" s="1131"/>
      <c r="I28" s="791">
        <v>2012</v>
      </c>
      <c r="J28" s="792">
        <f>E13/1000000</f>
        <v>47.134275039999999</v>
      </c>
      <c r="K28" s="793">
        <f>E22/1000000</f>
        <v>31.216389379999999</v>
      </c>
      <c r="L28" s="1025"/>
    </row>
    <row r="29" spans="1:16">
      <c r="A29" s="1131"/>
      <c r="B29" s="1131"/>
      <c r="C29" s="1131"/>
      <c r="D29" s="1131"/>
      <c r="E29" s="1131"/>
      <c r="F29" s="1131"/>
      <c r="I29" s="791">
        <v>2013</v>
      </c>
      <c r="J29" s="792">
        <f>F13/1000000</f>
        <v>49.074870669999989</v>
      </c>
      <c r="K29" s="792">
        <f>F22/1000000</f>
        <v>30.745176959999998</v>
      </c>
      <c r="L29" s="1025"/>
    </row>
    <row r="30" spans="1:16">
      <c r="I30" s="1025"/>
      <c r="J30" s="1025"/>
      <c r="K30" s="1025"/>
      <c r="L30" s="1025"/>
    </row>
  </sheetData>
  <customSheetViews>
    <customSheetView guid="{E6BBE5A7-0B25-4EE8-BA45-5EA5DBAF3AD4}" showPageBreaks="1" fitToPage="1" printArea="1">
      <pageMargins left="0.75" right="0.75" top="0.5" bottom="0.75" header="0.5" footer="0.5"/>
      <printOptions horizontalCentered="1"/>
      <pageSetup scale="83" orientation="landscape" r:id="rId1"/>
      <headerFooter alignWithMargins="0"/>
    </customSheetView>
  </customSheetViews>
  <mergeCells count="1">
    <mergeCell ref="A26:F29"/>
  </mergeCells>
  <printOptions horizontalCentered="1"/>
  <pageMargins left="0.75" right="0.75" top="0.5" bottom="0.75" header="0.5" footer="0.5"/>
  <pageSetup scale="83" orientation="landscape" r:id="rId2"/>
  <headerFooter alignWithMargins="0"/>
  <drawing r:id="rId3"/>
</worksheet>
</file>

<file path=xl/worksheets/sheet21.xml><?xml version="1.0" encoding="utf-8"?>
<worksheet xmlns="http://schemas.openxmlformats.org/spreadsheetml/2006/main" xmlns:r="http://schemas.openxmlformats.org/officeDocument/2006/relationships">
  <sheetPr codeName="Sheet17"/>
  <dimension ref="A1:G25"/>
  <sheetViews>
    <sheetView zoomScaleNormal="100" workbookViewId="0"/>
  </sheetViews>
  <sheetFormatPr defaultRowHeight="13.2"/>
  <cols>
    <col min="1" max="1" width="12.88671875" customWidth="1"/>
    <col min="2" max="7" width="15" customWidth="1"/>
  </cols>
  <sheetData>
    <row r="1" spans="1:7" ht="17.399999999999999">
      <c r="A1" s="152" t="s">
        <v>374</v>
      </c>
      <c r="B1" s="13"/>
      <c r="C1" s="13"/>
      <c r="D1" s="13"/>
      <c r="E1" s="15"/>
      <c r="F1" s="153"/>
      <c r="G1" s="13"/>
    </row>
    <row r="2" spans="1:7" ht="15.6">
      <c r="A2" s="154" t="s">
        <v>244</v>
      </c>
      <c r="B2" s="13"/>
      <c r="C2" s="13"/>
      <c r="D2" s="13"/>
      <c r="E2" s="15"/>
      <c r="F2" s="155"/>
      <c r="G2" s="13"/>
    </row>
    <row r="3" spans="1:7">
      <c r="A3" s="55"/>
      <c r="B3" s="13"/>
      <c r="C3" s="13"/>
      <c r="D3" s="13"/>
      <c r="E3" s="15"/>
      <c r="F3" s="55"/>
      <c r="G3" s="13"/>
    </row>
    <row r="4" spans="1:7" ht="13.8" thickBot="1">
      <c r="A4" s="55"/>
      <c r="B4" s="13"/>
      <c r="C4" s="13"/>
      <c r="D4" s="13"/>
      <c r="E4" s="15"/>
      <c r="F4" s="156"/>
      <c r="G4" s="13"/>
    </row>
    <row r="5" spans="1:7" ht="13.8" thickTop="1">
      <c r="A5" s="157"/>
      <c r="B5" s="158" t="s">
        <v>245</v>
      </c>
      <c r="C5" s="158" t="s">
        <v>246</v>
      </c>
      <c r="D5" s="158" t="s">
        <v>247</v>
      </c>
      <c r="E5" s="159" t="s">
        <v>248</v>
      </c>
      <c r="F5" s="158" t="s">
        <v>249</v>
      </c>
      <c r="G5" s="160" t="s">
        <v>250</v>
      </c>
    </row>
    <row r="6" spans="1:7">
      <c r="A6" s="161" t="s">
        <v>44</v>
      </c>
      <c r="B6" s="162" t="s">
        <v>251</v>
      </c>
      <c r="C6" s="162" t="s">
        <v>252</v>
      </c>
      <c r="D6" s="163" t="s">
        <v>253</v>
      </c>
      <c r="E6" s="164" t="s">
        <v>31</v>
      </c>
      <c r="F6" s="165" t="s">
        <v>31</v>
      </c>
      <c r="G6" s="163" t="s">
        <v>254</v>
      </c>
    </row>
    <row r="7" spans="1:7">
      <c r="A7" s="166">
        <v>2003</v>
      </c>
      <c r="B7" s="1084">
        <v>278119000</v>
      </c>
      <c r="C7" s="1085">
        <v>4942000</v>
      </c>
      <c r="D7" s="1085">
        <v>15314000</v>
      </c>
      <c r="E7" s="1084">
        <v>143325000</v>
      </c>
      <c r="F7" s="1084">
        <v>5757000</v>
      </c>
      <c r="G7" s="1085">
        <v>5115000</v>
      </c>
    </row>
    <row r="8" spans="1:7">
      <c r="A8" s="166">
        <v>2004</v>
      </c>
      <c r="B8" s="167">
        <v>331364000</v>
      </c>
      <c r="C8" s="55">
        <v>5315000</v>
      </c>
      <c r="D8" s="55">
        <v>16118000</v>
      </c>
      <c r="E8" s="167">
        <v>149648000</v>
      </c>
      <c r="F8" s="167">
        <v>6540000</v>
      </c>
      <c r="G8" s="55">
        <v>5216000</v>
      </c>
    </row>
    <row r="9" spans="1:7">
      <c r="A9" s="166">
        <v>2005</v>
      </c>
      <c r="B9" s="167">
        <v>572252000</v>
      </c>
      <c r="C9" s="55">
        <v>5481000</v>
      </c>
      <c r="D9" s="55">
        <v>6329000</v>
      </c>
      <c r="E9" s="167">
        <v>149962000</v>
      </c>
      <c r="F9" s="167">
        <v>7101000</v>
      </c>
      <c r="G9" s="55">
        <v>5208000</v>
      </c>
    </row>
    <row r="10" spans="1:7">
      <c r="A10" s="166">
        <v>2006</v>
      </c>
      <c r="B10" s="168">
        <f>ROUND(622474721+47335290.49,-3)</f>
        <v>669810000</v>
      </c>
      <c r="C10" s="156">
        <f>ROUND(5202995.87+110184.61+537645.21,-3)</f>
        <v>5851000</v>
      </c>
      <c r="D10" s="156">
        <v>0</v>
      </c>
      <c r="E10" s="156">
        <f>ROUND(160305097.92+101538.27,-3)</f>
        <v>160407000</v>
      </c>
      <c r="F10" s="168">
        <f>ROUND(7693435.38,-3)</f>
        <v>7693000</v>
      </c>
      <c r="G10" s="156">
        <f>ROUND(4216560.57+750188.35,-3)</f>
        <v>4967000</v>
      </c>
    </row>
    <row r="11" spans="1:7">
      <c r="A11" s="169">
        <v>2007</v>
      </c>
      <c r="B11" s="168">
        <f>ROUND(522249922.53+38795621.51,-3)</f>
        <v>561046000</v>
      </c>
      <c r="C11" s="156">
        <f>ROUND(5543222.73+614.5+636711.31,-3)</f>
        <v>6181000</v>
      </c>
      <c r="D11" s="156">
        <v>0</v>
      </c>
      <c r="E11" s="156">
        <f>ROUND(193850.62+152670079.13,-3)</f>
        <v>152864000</v>
      </c>
      <c r="F11" s="168">
        <f>ROUND(7084431.43,-3)</f>
        <v>7084000</v>
      </c>
      <c r="G11" s="156">
        <f>ROUND(4501107.04+783076.26,-3)</f>
        <v>5284000</v>
      </c>
    </row>
    <row r="12" spans="1:7">
      <c r="A12" s="169">
        <v>2008</v>
      </c>
      <c r="B12" s="168">
        <f>ROUND(32227383.72+405781521.26,-3)</f>
        <v>438009000</v>
      </c>
      <c r="C12" s="156">
        <f>ROUND(5557528.16+419.7+629019.18,-3)</f>
        <v>6187000</v>
      </c>
      <c r="D12" s="156">
        <v>0</v>
      </c>
      <c r="E12" s="156">
        <f>ROUND(2299446.42+151078352.83,-3)</f>
        <v>153378000</v>
      </c>
      <c r="F12" s="168">
        <f>ROUND(5871954.4,-3)</f>
        <v>5872000</v>
      </c>
      <c r="G12" s="156">
        <f>ROUND(4894761.32+751088.74,-3)</f>
        <v>5646000</v>
      </c>
    </row>
    <row r="13" spans="1:7">
      <c r="A13" s="169">
        <v>2009</v>
      </c>
      <c r="B13" s="168">
        <f>ROUND(25246826.19+273150874.53,-3)</f>
        <v>298398000</v>
      </c>
      <c r="C13" s="156">
        <f>ROUND(5192067.9+169.6+670047.82,-3)</f>
        <v>5862000</v>
      </c>
      <c r="D13" s="156">
        <v>0</v>
      </c>
      <c r="E13" s="156">
        <f>ROUND(147313.47+5858401.96,-3)</f>
        <v>6006000</v>
      </c>
      <c r="F13" s="168">
        <f>ROUND(4611928.48,-3)</f>
        <v>4612000</v>
      </c>
      <c r="G13" s="156">
        <f>ROUND(5201126.66+950074.03,-3)</f>
        <v>6151000</v>
      </c>
    </row>
    <row r="14" spans="1:7">
      <c r="A14" s="169">
        <v>2010</v>
      </c>
      <c r="B14" s="168">
        <f>ROUND(24567862.44+250770264.43,-3)</f>
        <v>275338000</v>
      </c>
      <c r="C14" s="168">
        <f>ROUND(4933649.47+134+701491.65,-3)</f>
        <v>5635000</v>
      </c>
      <c r="D14" s="156">
        <v>0</v>
      </c>
      <c r="E14" s="156">
        <f>ROUND(479756.38+5191118.81,-3)</f>
        <v>5671000</v>
      </c>
      <c r="F14" s="168">
        <f>ROUND(3617995.04,-3)</f>
        <v>3618000</v>
      </c>
      <c r="G14" s="156">
        <f>ROUND(3939854.1+2283083.33,-3)</f>
        <v>6223000</v>
      </c>
    </row>
    <row r="15" spans="1:7">
      <c r="A15" s="169">
        <v>2011</v>
      </c>
      <c r="B15" s="168">
        <f>ROUND(23234390.98+253337973.33,-3)</f>
        <v>276572000</v>
      </c>
      <c r="C15" s="168">
        <f>ROUND(5509770.17+0+666706.85,-3)</f>
        <v>6176000</v>
      </c>
      <c r="D15" s="156">
        <v>0</v>
      </c>
      <c r="E15" s="156">
        <f>ROUND(281873.69+2431026.12,-3)</f>
        <v>2713000</v>
      </c>
      <c r="F15" s="168">
        <f>ROUND(3477013.65,-3)</f>
        <v>3477000</v>
      </c>
      <c r="G15" s="156">
        <f>ROUND(5153374+831911.5,-3)</f>
        <v>5985000</v>
      </c>
    </row>
    <row r="16" spans="1:7">
      <c r="A16" s="169">
        <v>2012</v>
      </c>
      <c r="B16" s="168">
        <f>ROUND(23768885.04+283380301.74,-3)</f>
        <v>307149000</v>
      </c>
      <c r="C16" s="168">
        <f>ROUND(5657361.58+0+596716.79,-3)</f>
        <v>6254000</v>
      </c>
      <c r="D16" s="156">
        <v>0</v>
      </c>
      <c r="E16" s="156">
        <f>ROUND(81746.01+216589.41,-3)</f>
        <v>298000</v>
      </c>
      <c r="F16" s="168">
        <f>ROUND(3676330.46,-3)</f>
        <v>3676000</v>
      </c>
      <c r="G16" s="156">
        <f>ROUND(6023687.18+856583.43,-3)</f>
        <v>6880000</v>
      </c>
    </row>
    <row r="17" spans="1:7">
      <c r="A17" s="169">
        <v>2013</v>
      </c>
      <c r="B17" s="168">
        <f>ROUND(26500659.22+333608136.81,-3)</f>
        <v>360109000</v>
      </c>
      <c r="C17" s="168">
        <f>ROUND(5611654.88+0+569421.63,-3)</f>
        <v>6181000</v>
      </c>
      <c r="D17" s="156">
        <v>0</v>
      </c>
      <c r="E17" s="168">
        <f>ROUND(49498+-317566.72,-3)</f>
        <v>-268000</v>
      </c>
      <c r="F17" s="168">
        <f>ROUND(5513696.65,-3)</f>
        <v>5514000</v>
      </c>
      <c r="G17" s="156">
        <f>ROUND(6522696.1+804757.7,-3)</f>
        <v>7327000</v>
      </c>
    </row>
    <row r="18" spans="1:7">
      <c r="A18" s="170"/>
      <c r="B18" s="972"/>
      <c r="C18" s="972"/>
      <c r="D18" s="972"/>
      <c r="E18" s="972"/>
      <c r="F18" s="972"/>
      <c r="G18" s="972"/>
    </row>
    <row r="19" spans="1:7">
      <c r="A19" s="171" t="s">
        <v>2</v>
      </c>
      <c r="B19" s="9"/>
      <c r="C19" s="9"/>
      <c r="D19" s="9"/>
      <c r="E19" s="9"/>
      <c r="F19" s="172"/>
      <c r="G19" s="9"/>
    </row>
    <row r="20" spans="1:7" ht="79.5" customHeight="1">
      <c r="A20" s="1133" t="s">
        <v>1053</v>
      </c>
      <c r="B20" s="1133"/>
      <c r="C20" s="1133"/>
      <c r="D20" s="1133"/>
      <c r="E20" s="1133"/>
      <c r="F20" s="1133"/>
      <c r="G20" s="1133"/>
    </row>
    <row r="21" spans="1:7" ht="42" customHeight="1">
      <c r="A21" s="1134" t="s">
        <v>257</v>
      </c>
      <c r="B21" s="1134"/>
      <c r="C21" s="1134"/>
      <c r="D21" s="1134"/>
      <c r="E21" s="1134"/>
      <c r="F21" s="1134"/>
      <c r="G21" s="1134"/>
    </row>
    <row r="22" spans="1:7" ht="54.75" customHeight="1">
      <c r="A22" s="1132" t="s">
        <v>258</v>
      </c>
      <c r="B22" s="1132"/>
      <c r="C22" s="1132"/>
      <c r="D22" s="1132"/>
      <c r="E22" s="1132"/>
      <c r="F22" s="1132"/>
      <c r="G22" s="1132"/>
    </row>
    <row r="23" spans="1:7" ht="76.95" customHeight="1">
      <c r="A23" s="1135" t="s">
        <v>1112</v>
      </c>
      <c r="B23" s="1132"/>
      <c r="C23" s="1132"/>
      <c r="D23" s="1132"/>
      <c r="E23" s="1132"/>
      <c r="F23" s="1132"/>
      <c r="G23" s="1132"/>
    </row>
    <row r="24" spans="1:7" ht="15.75" customHeight="1">
      <c r="A24" s="1132" t="s">
        <v>255</v>
      </c>
      <c r="B24" s="1132"/>
      <c r="C24" s="1132"/>
      <c r="D24" s="1132"/>
      <c r="E24" s="1132"/>
      <c r="F24" s="1132"/>
      <c r="G24" s="1132"/>
    </row>
    <row r="25" spans="1:7" ht="28.5" customHeight="1">
      <c r="A25" s="1132" t="s">
        <v>256</v>
      </c>
      <c r="B25" s="1132"/>
      <c r="C25" s="1132"/>
      <c r="D25" s="1132"/>
      <c r="E25" s="1132"/>
      <c r="F25" s="1132"/>
      <c r="G25" s="1132"/>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4:G24"/>
    <mergeCell ref="A25:G25"/>
    <mergeCell ref="A20:G20"/>
    <mergeCell ref="A21:G21"/>
    <mergeCell ref="A22:G22"/>
    <mergeCell ref="A23:G23"/>
  </mergeCells>
  <phoneticPr fontId="13" type="noConversion"/>
  <printOptions horizontalCentered="1"/>
  <pageMargins left="0.75" right="0.75" top="0.75" bottom="1" header="0.5" footer="0.5"/>
  <pageSetup scale="88" orientation="landscape" r:id="rId2"/>
  <headerFooter alignWithMargins="0"/>
</worksheet>
</file>

<file path=xl/worksheets/sheet22.xml><?xml version="1.0" encoding="utf-8"?>
<worksheet xmlns="http://schemas.openxmlformats.org/spreadsheetml/2006/main" xmlns:r="http://schemas.openxmlformats.org/officeDocument/2006/relationships">
  <sheetPr codeName="Sheet19"/>
  <dimension ref="A1:J51"/>
  <sheetViews>
    <sheetView zoomScaleNormal="100" workbookViewId="0"/>
  </sheetViews>
  <sheetFormatPr defaultRowHeight="13.2"/>
  <cols>
    <col min="1" max="5" width="11.6640625" bestFit="1" customWidth="1"/>
    <col min="6" max="6" width="13.109375" customWidth="1"/>
    <col min="7" max="7" width="14.5546875" customWidth="1"/>
    <col min="8" max="8" width="11.88671875" bestFit="1" customWidth="1"/>
  </cols>
  <sheetData>
    <row r="1" spans="1:9" ht="17.399999999999999" customHeight="1">
      <c r="A1" s="173" t="s">
        <v>375</v>
      </c>
      <c r="B1" s="13"/>
      <c r="C1" s="13"/>
      <c r="D1" s="13"/>
      <c r="E1" s="13"/>
      <c r="F1" s="15"/>
      <c r="G1" s="13"/>
      <c r="H1" s="13"/>
    </row>
    <row r="2" spans="1:9" ht="15.6" customHeight="1">
      <c r="A2" s="8" t="s">
        <v>259</v>
      </c>
      <c r="B2" s="13"/>
      <c r="C2" s="13"/>
      <c r="D2" s="13"/>
      <c r="E2" s="13"/>
      <c r="F2" s="15"/>
      <c r="G2" s="13"/>
      <c r="H2" s="13"/>
    </row>
    <row r="3" spans="1:9" ht="15" customHeight="1" thickBot="1">
      <c r="A3" s="13"/>
      <c r="B3" s="13"/>
      <c r="C3" s="13"/>
      <c r="D3" s="13"/>
      <c r="E3" s="13"/>
      <c r="F3" s="13"/>
      <c r="G3" s="15"/>
      <c r="H3" s="15"/>
    </row>
    <row r="4" spans="1:9" ht="15" customHeight="1" thickTop="1">
      <c r="A4" s="157"/>
      <c r="B4" s="160" t="s">
        <v>260</v>
      </c>
      <c r="C4" s="158" t="s">
        <v>261</v>
      </c>
      <c r="D4" s="158" t="s">
        <v>262</v>
      </c>
      <c r="E4" s="174"/>
      <c r="F4" s="160" t="s">
        <v>263</v>
      </c>
      <c r="G4" s="160" t="s">
        <v>264</v>
      </c>
      <c r="H4" s="157"/>
    </row>
    <row r="5" spans="1:9" ht="15" customHeight="1">
      <c r="A5" s="163" t="s">
        <v>44</v>
      </c>
      <c r="B5" s="163" t="s">
        <v>265</v>
      </c>
      <c r="C5" s="163" t="s">
        <v>266</v>
      </c>
      <c r="D5" s="163" t="s">
        <v>253</v>
      </c>
      <c r="E5" s="163" t="s">
        <v>267</v>
      </c>
      <c r="F5" s="163" t="s">
        <v>31</v>
      </c>
      <c r="G5" s="163" t="s">
        <v>268</v>
      </c>
      <c r="H5" s="163" t="s">
        <v>269</v>
      </c>
    </row>
    <row r="6" spans="1:9" ht="15" customHeight="1">
      <c r="A6" s="166">
        <v>2003</v>
      </c>
      <c r="B6" s="1085">
        <v>2560000</v>
      </c>
      <c r="C6" s="1085">
        <v>149000</v>
      </c>
      <c r="D6" s="1085">
        <v>153000</v>
      </c>
      <c r="E6" s="1085">
        <v>309000</v>
      </c>
      <c r="F6" s="175" t="s">
        <v>88</v>
      </c>
      <c r="G6" s="175" t="s">
        <v>88</v>
      </c>
      <c r="H6" s="1084">
        <v>4683000</v>
      </c>
    </row>
    <row r="7" spans="1:9" ht="15" customHeight="1">
      <c r="A7" s="166">
        <v>2004</v>
      </c>
      <c r="B7" s="55">
        <v>4454000</v>
      </c>
      <c r="C7" s="55">
        <v>161000</v>
      </c>
      <c r="D7" s="55">
        <v>92000</v>
      </c>
      <c r="E7" s="55">
        <v>515000</v>
      </c>
      <c r="F7" s="175" t="s">
        <v>88</v>
      </c>
      <c r="G7" s="175" t="s">
        <v>88</v>
      </c>
      <c r="H7" s="167">
        <v>5979000</v>
      </c>
    </row>
    <row r="8" spans="1:9" ht="15" customHeight="1">
      <c r="A8" s="166">
        <v>2005</v>
      </c>
      <c r="B8" s="55">
        <v>5224000</v>
      </c>
      <c r="C8" s="55">
        <v>182000</v>
      </c>
      <c r="D8" s="55">
        <v>169000</v>
      </c>
      <c r="E8" s="55">
        <v>240000</v>
      </c>
      <c r="F8" s="55">
        <v>103164000</v>
      </c>
      <c r="G8" s="55">
        <v>3627000</v>
      </c>
      <c r="H8" s="167">
        <v>6944000</v>
      </c>
    </row>
    <row r="9" spans="1:9" ht="15" customHeight="1">
      <c r="A9" s="169">
        <v>2006</v>
      </c>
      <c r="B9" s="156">
        <f>ROUND(5042499.13,-3)</f>
        <v>5042000</v>
      </c>
      <c r="C9" s="156">
        <f>ROUND(149431.82,-3)</f>
        <v>149000</v>
      </c>
      <c r="D9" s="156">
        <f>ROUND(128909.39,-3)</f>
        <v>129000</v>
      </c>
      <c r="E9" s="156">
        <f>ROUND(211640.48,-3)</f>
        <v>212000</v>
      </c>
      <c r="F9" s="156">
        <f>ROUND(172108943.14,-3)</f>
        <v>172109000</v>
      </c>
      <c r="G9" s="156">
        <f>ROUND(14975028.86,-3)</f>
        <v>14975000</v>
      </c>
      <c r="H9" s="168">
        <f>ROUND(6540262.74,-3)</f>
        <v>6540000</v>
      </c>
    </row>
    <row r="10" spans="1:9" ht="15" customHeight="1">
      <c r="A10" s="169">
        <v>2007</v>
      </c>
      <c r="B10" s="156">
        <f>ROUND(5108638.52,-3)</f>
        <v>5109000</v>
      </c>
      <c r="C10" s="156">
        <f>ROUND(183368.78,-3)</f>
        <v>183000</v>
      </c>
      <c r="D10" s="156">
        <f>ROUND(58718.22,-3)</f>
        <v>59000</v>
      </c>
      <c r="E10" s="156">
        <f>ROUND(285999.65,-3)</f>
        <v>286000</v>
      </c>
      <c r="F10" s="156">
        <f>ROUND(171991791.12,-3)</f>
        <v>171992000</v>
      </c>
      <c r="G10" s="156">
        <f>ROUND(14927736.05,-3)</f>
        <v>14928000</v>
      </c>
      <c r="H10" s="168">
        <f>ROUND(7886077.07,-3)</f>
        <v>7886000</v>
      </c>
    </row>
    <row r="11" spans="1:9" ht="15" customHeight="1">
      <c r="A11" s="169">
        <v>2008</v>
      </c>
      <c r="B11" s="156">
        <f>ROUND(5028039.92,-3)</f>
        <v>5028000</v>
      </c>
      <c r="C11" s="156">
        <f>ROUND(155902.57,-3)</f>
        <v>156000</v>
      </c>
      <c r="D11" s="156">
        <f>ROUND(132532.74,-3)</f>
        <v>133000</v>
      </c>
      <c r="E11" s="156">
        <f>ROUND(353308.71,-3)</f>
        <v>353000</v>
      </c>
      <c r="F11" s="156">
        <f>ROUND(168034699.73,-3)</f>
        <v>168035000</v>
      </c>
      <c r="G11" s="156">
        <f>ROUND(15911028.52,-3)</f>
        <v>15911000</v>
      </c>
      <c r="H11" s="168">
        <f>ROUND(5302778.95,-3)</f>
        <v>5303000</v>
      </c>
    </row>
    <row r="12" spans="1:9" ht="15" customHeight="1">
      <c r="A12" s="169">
        <v>2009</v>
      </c>
      <c r="B12" s="156">
        <f>ROUND(4667896.48,-3)</f>
        <v>4668000</v>
      </c>
      <c r="C12" s="156">
        <f>ROUND(151095.56,-3)</f>
        <v>151000</v>
      </c>
      <c r="D12" s="156">
        <f>ROUND(79825.13,-3)</f>
        <v>80000</v>
      </c>
      <c r="E12" s="156">
        <f>ROUND(388112.8,-3)</f>
        <v>388000</v>
      </c>
      <c r="F12" s="156">
        <f>ROUND(167496585.4,-3)</f>
        <v>167497000</v>
      </c>
      <c r="G12" s="156">
        <f>ROUND(16252948.62,-3)</f>
        <v>16253000</v>
      </c>
      <c r="H12" s="168">
        <f>ROUND(3565491.87,-3)</f>
        <v>3565000</v>
      </c>
      <c r="I12" s="25"/>
    </row>
    <row r="13" spans="1:9" ht="15" customHeight="1">
      <c r="A13" s="169">
        <v>2010</v>
      </c>
      <c r="B13" s="156">
        <f>ROUND(5106701.94,-3)</f>
        <v>5107000</v>
      </c>
      <c r="C13" s="156">
        <f>ROUND(145943.73,-3)</f>
        <v>146000</v>
      </c>
      <c r="D13" s="156">
        <f>ROUND(99479.68,-3)</f>
        <v>99000</v>
      </c>
      <c r="E13" s="156">
        <f>ROUND(548944.69,-3)</f>
        <v>549000</v>
      </c>
      <c r="F13" s="156">
        <f>ROUND(158389138.81,-3)</f>
        <v>158389000</v>
      </c>
      <c r="G13" s="156">
        <f>ROUND(17667767.24,-3)</f>
        <v>17668000</v>
      </c>
      <c r="H13" s="168">
        <f>ROUND(8308749.36,-3)</f>
        <v>8309000</v>
      </c>
      <c r="I13" s="25"/>
    </row>
    <row r="14" spans="1:9" ht="15" customHeight="1">
      <c r="A14" s="169">
        <v>2011</v>
      </c>
      <c r="B14" s="156">
        <f>ROUND(5143025.35,-3)</f>
        <v>5143000</v>
      </c>
      <c r="C14" s="156">
        <f>ROUND(151003.54,-3)</f>
        <v>151000</v>
      </c>
      <c r="D14" s="156">
        <f>ROUND(101961.2,-3)</f>
        <v>102000</v>
      </c>
      <c r="E14" s="156">
        <f>ROUND(423508.74,-3)</f>
        <v>424000</v>
      </c>
      <c r="F14" s="156">
        <f>ROUND(155718956.45,-3)</f>
        <v>155719000</v>
      </c>
      <c r="G14" s="156">
        <f>ROUND(18012294.99,-3)</f>
        <v>18012000</v>
      </c>
      <c r="H14" s="168">
        <f>ROUND(6449304.41,-3)</f>
        <v>6449000</v>
      </c>
      <c r="I14" s="25"/>
    </row>
    <row r="15" spans="1:9" ht="15" customHeight="1">
      <c r="A15" s="169">
        <v>2012</v>
      </c>
      <c r="B15" s="156">
        <f>ROUND(3411527.32,-3)</f>
        <v>3412000</v>
      </c>
      <c r="C15" s="156">
        <f>ROUND(148584.25,-3)</f>
        <v>149000</v>
      </c>
      <c r="D15" s="156">
        <f>ROUND(171961.84,-3)</f>
        <v>172000</v>
      </c>
      <c r="E15" s="156">
        <f>ROUND(595811.49,-3)</f>
        <v>596000</v>
      </c>
      <c r="F15" s="156">
        <f>ROUND(173910917.18,-3)</f>
        <v>173911000</v>
      </c>
      <c r="G15" s="156">
        <f>ROUND(18541582.66,-3)</f>
        <v>18542000</v>
      </c>
      <c r="H15" s="168">
        <f>ROUND(4724757.12,-3)</f>
        <v>4725000</v>
      </c>
      <c r="I15" s="25"/>
    </row>
    <row r="16" spans="1:9" ht="15" customHeight="1">
      <c r="A16" s="169">
        <v>2013</v>
      </c>
      <c r="B16" s="156">
        <f>ROUND(2543872.57,-3)</f>
        <v>2544000</v>
      </c>
      <c r="C16" s="156">
        <f>ROUND(159898.62,-3)</f>
        <v>160000</v>
      </c>
      <c r="D16" s="156">
        <f>ROUND(264911.05,-3)</f>
        <v>265000</v>
      </c>
      <c r="E16" s="168">
        <f>ROUND(894575.84,-3)</f>
        <v>895000</v>
      </c>
      <c r="F16" s="156">
        <f>ROUND(169297002.8,-3)</f>
        <v>169297000</v>
      </c>
      <c r="G16" s="156">
        <f>ROUND(18576970.89,-3)</f>
        <v>18577000</v>
      </c>
      <c r="H16" s="168">
        <f>ROUND(5752559.72,-3)</f>
        <v>5753000</v>
      </c>
      <c r="I16" s="25"/>
    </row>
    <row r="17" spans="1:10" ht="15" customHeight="1">
      <c r="A17" s="176"/>
      <c r="B17" s="972"/>
      <c r="C17" s="972"/>
      <c r="D17" s="972"/>
      <c r="E17" s="972"/>
      <c r="F17" s="972"/>
      <c r="G17" s="972"/>
      <c r="H17" s="972"/>
    </row>
    <row r="18" spans="1:10" s="177" customFormat="1" ht="13.2" customHeight="1">
      <c r="A18" s="172" t="s">
        <v>2</v>
      </c>
      <c r="B18" s="13"/>
      <c r="C18" s="13"/>
      <c r="D18" s="13"/>
      <c r="E18" s="13"/>
      <c r="F18" s="13"/>
      <c r="G18" s="13"/>
      <c r="H18" s="13"/>
    </row>
    <row r="19" spans="1:10" s="177" customFormat="1" ht="38.4" customHeight="1">
      <c r="A19" s="1138" t="s">
        <v>1087</v>
      </c>
      <c r="B19" s="1137"/>
      <c r="C19" s="1137"/>
      <c r="D19" s="1137"/>
      <c r="E19" s="1137"/>
      <c r="F19" s="1137"/>
      <c r="G19" s="1137"/>
      <c r="H19" s="1137"/>
    </row>
    <row r="20" spans="1:10" s="177" customFormat="1" ht="28.5" customHeight="1">
      <c r="A20" s="1136" t="s">
        <v>270</v>
      </c>
      <c r="B20" s="1137"/>
      <c r="C20" s="1137"/>
      <c r="D20" s="1137"/>
      <c r="E20" s="1137"/>
      <c r="F20" s="1137"/>
      <c r="G20" s="1137"/>
      <c r="H20" s="1137"/>
    </row>
    <row r="21" spans="1:10" s="177" customFormat="1" ht="28.5" customHeight="1">
      <c r="A21" s="1136" t="s">
        <v>1085</v>
      </c>
      <c r="B21" s="1137"/>
      <c r="C21" s="1137"/>
      <c r="D21" s="1137"/>
      <c r="E21" s="1137"/>
      <c r="F21" s="1137"/>
      <c r="G21" s="1137"/>
      <c r="H21" s="1137"/>
    </row>
    <row r="22" spans="1:10" s="177" customFormat="1" ht="28.5" customHeight="1">
      <c r="A22" s="1136" t="s">
        <v>271</v>
      </c>
      <c r="B22" s="1137"/>
      <c r="C22" s="1137"/>
      <c r="D22" s="1137"/>
      <c r="E22" s="1137"/>
      <c r="F22" s="1137"/>
      <c r="G22" s="1137"/>
      <c r="H22" s="1137"/>
    </row>
    <row r="23" spans="1:10" s="177" customFormat="1" ht="54" customHeight="1">
      <c r="A23" s="1136" t="s">
        <v>368</v>
      </c>
      <c r="B23" s="1137"/>
      <c r="C23" s="1137"/>
      <c r="D23" s="1137"/>
      <c r="E23" s="1137"/>
      <c r="F23" s="1137"/>
      <c r="G23" s="1137"/>
      <c r="H23" s="1137"/>
    </row>
    <row r="24" spans="1:10" s="177" customFormat="1" ht="54" customHeight="1">
      <c r="A24" s="1136" t="s">
        <v>369</v>
      </c>
      <c r="B24" s="1137"/>
      <c r="C24" s="1137"/>
      <c r="D24" s="1137"/>
      <c r="E24" s="1137"/>
      <c r="F24" s="1137"/>
      <c r="G24" s="1137"/>
      <c r="H24" s="1137"/>
    </row>
    <row r="25" spans="1:10" s="177" customFormat="1" ht="42" customHeight="1">
      <c r="A25" s="1136" t="s">
        <v>353</v>
      </c>
      <c r="B25" s="1137"/>
      <c r="C25" s="1137"/>
      <c r="D25" s="1137"/>
      <c r="E25" s="1137"/>
      <c r="F25" s="1137"/>
      <c r="G25" s="1137"/>
      <c r="H25" s="1137"/>
    </row>
    <row r="26" spans="1:10" ht="17.399999999999999">
      <c r="A26" s="173" t="s">
        <v>376</v>
      </c>
      <c r="B26" s="13"/>
      <c r="C26" s="13"/>
      <c r="D26" s="13"/>
      <c r="E26" s="13"/>
      <c r="F26" s="15"/>
      <c r="G26" s="13"/>
      <c r="H26" s="13"/>
    </row>
    <row r="27" spans="1:10" ht="15.6">
      <c r="A27" s="8" t="s">
        <v>259</v>
      </c>
      <c r="B27" s="13"/>
      <c r="C27" s="13"/>
      <c r="D27" s="13"/>
      <c r="E27" s="13"/>
      <c r="F27" s="15"/>
      <c r="G27" s="13"/>
      <c r="H27" s="13"/>
    </row>
    <row r="28" spans="1:10" ht="13.8" thickBot="1">
      <c r="A28" s="13"/>
      <c r="B28" s="13"/>
      <c r="C28" s="13"/>
      <c r="D28" s="13"/>
      <c r="E28" s="13"/>
      <c r="F28" s="13"/>
      <c r="G28" s="15"/>
      <c r="H28" s="15"/>
    </row>
    <row r="29" spans="1:10" ht="13.8" thickTop="1">
      <c r="A29" s="157"/>
      <c r="B29" s="160" t="s">
        <v>354</v>
      </c>
      <c r="C29" s="160" t="s">
        <v>407</v>
      </c>
      <c r="D29" s="160" t="s">
        <v>355</v>
      </c>
      <c r="E29" s="160" t="s">
        <v>356</v>
      </c>
      <c r="F29" s="160" t="s">
        <v>357</v>
      </c>
      <c r="G29" s="160" t="s">
        <v>358</v>
      </c>
      <c r="H29" s="160" t="s">
        <v>408</v>
      </c>
      <c r="I29" s="160" t="s">
        <v>405</v>
      </c>
    </row>
    <row r="30" spans="1:10">
      <c r="A30" s="163" t="s">
        <v>44</v>
      </c>
      <c r="B30" s="163" t="s">
        <v>31</v>
      </c>
      <c r="C30" s="163" t="s">
        <v>31</v>
      </c>
      <c r="D30" s="163" t="s">
        <v>359</v>
      </c>
      <c r="E30" s="163" t="s">
        <v>268</v>
      </c>
      <c r="F30" s="163" t="s">
        <v>253</v>
      </c>
      <c r="G30" s="163" t="s">
        <v>31</v>
      </c>
      <c r="H30" s="163" t="s">
        <v>31</v>
      </c>
      <c r="I30" s="163" t="s">
        <v>31</v>
      </c>
    </row>
    <row r="31" spans="1:10">
      <c r="A31" s="166">
        <v>2003</v>
      </c>
      <c r="B31" s="1085">
        <v>173000.37</v>
      </c>
      <c r="C31" s="1085">
        <v>75000</v>
      </c>
      <c r="D31" s="1085">
        <v>155000</v>
      </c>
      <c r="E31" s="1085">
        <v>1582000</v>
      </c>
      <c r="F31" s="1085">
        <v>127000</v>
      </c>
      <c r="G31" s="1085">
        <v>718000</v>
      </c>
      <c r="H31" s="1085">
        <v>16000</v>
      </c>
      <c r="I31" s="178" t="s">
        <v>88</v>
      </c>
    </row>
    <row r="32" spans="1:10">
      <c r="A32" s="166">
        <v>2004</v>
      </c>
      <c r="B32" s="55">
        <v>263000</v>
      </c>
      <c r="C32" s="55">
        <v>91000</v>
      </c>
      <c r="D32" s="55">
        <v>102000</v>
      </c>
      <c r="E32" s="55">
        <v>1661000</v>
      </c>
      <c r="F32" s="55">
        <v>210000</v>
      </c>
      <c r="G32" s="55">
        <v>792000</v>
      </c>
      <c r="H32" s="55">
        <v>11000</v>
      </c>
      <c r="I32" s="178" t="s">
        <v>88</v>
      </c>
      <c r="J32" s="776"/>
    </row>
    <row r="33" spans="1:10">
      <c r="A33" s="166">
        <v>2005</v>
      </c>
      <c r="B33" s="55">
        <v>306000</v>
      </c>
      <c r="C33" s="55">
        <v>121000</v>
      </c>
      <c r="D33" s="55">
        <v>136000</v>
      </c>
      <c r="E33" s="55">
        <v>1715000</v>
      </c>
      <c r="F33" s="55">
        <v>202000</v>
      </c>
      <c r="G33" s="55">
        <v>1254000</v>
      </c>
      <c r="H33" s="55">
        <v>12000</v>
      </c>
      <c r="I33" s="178" t="s">
        <v>88</v>
      </c>
      <c r="J33" s="776"/>
    </row>
    <row r="34" spans="1:10">
      <c r="A34" s="169">
        <v>2006</v>
      </c>
      <c r="B34" s="156">
        <f>ROUND(304393.79,-3)</f>
        <v>304000</v>
      </c>
      <c r="C34" s="156">
        <f>ROUND(150429.41,-3)</f>
        <v>150000</v>
      </c>
      <c r="D34" s="156">
        <f>ROUND(147730.34,-3)</f>
        <v>148000</v>
      </c>
      <c r="E34" s="156">
        <f>ROUND(474768.91+1297863.65, -3)</f>
        <v>1773000</v>
      </c>
      <c r="F34" s="156">
        <f>ROUND(181007.27,-3)</f>
        <v>181000</v>
      </c>
      <c r="G34" s="156">
        <f>ROUND(884906.69,-3)</f>
        <v>885000</v>
      </c>
      <c r="H34" s="156">
        <f>ROUND(11702.49,-3)</f>
        <v>12000</v>
      </c>
      <c r="I34" s="178" t="s">
        <v>88</v>
      </c>
      <c r="J34" s="776"/>
    </row>
    <row r="35" spans="1:10">
      <c r="A35" s="169">
        <v>2007</v>
      </c>
      <c r="B35" s="156">
        <f>ROUND(302184.6,-3)</f>
        <v>302000</v>
      </c>
      <c r="C35" s="156">
        <f>ROUND(134392.7,-3)</f>
        <v>134000</v>
      </c>
      <c r="D35" s="156">
        <f>ROUND(173209.72,-3)</f>
        <v>173000</v>
      </c>
      <c r="E35" s="156">
        <f>ROUND(1545847.11+432551.51, -3)</f>
        <v>1978000</v>
      </c>
      <c r="F35" s="156">
        <f>ROUND(218810.12,-3)</f>
        <v>219000</v>
      </c>
      <c r="G35" s="156">
        <f>ROUND(884226.77,-3)</f>
        <v>884000</v>
      </c>
      <c r="H35" s="156">
        <f>ROUND(11931.97,-3)</f>
        <v>12000</v>
      </c>
      <c r="I35" s="156">
        <f>ROUND(130363.84,-3)</f>
        <v>130000</v>
      </c>
      <c r="J35" s="776"/>
    </row>
    <row r="36" spans="1:10">
      <c r="A36" s="169">
        <v>2008</v>
      </c>
      <c r="B36" s="156">
        <f>ROUND(250921.11,-3)</f>
        <v>251000</v>
      </c>
      <c r="C36" s="156">
        <f>ROUND(92780.8,-3)</f>
        <v>93000</v>
      </c>
      <c r="D36" s="156">
        <f>ROUND(249555.02,-3)</f>
        <v>250000</v>
      </c>
      <c r="E36" s="156">
        <f>ROUND(1596313.43+451896.39, -3)</f>
        <v>2048000</v>
      </c>
      <c r="F36" s="156">
        <f>ROUND(207990.81,-3)</f>
        <v>208000</v>
      </c>
      <c r="G36" s="156">
        <f>ROUND(892988.18,-3)</f>
        <v>893000</v>
      </c>
      <c r="H36" s="156">
        <f>ROUND(12310.44,-3)</f>
        <v>12000</v>
      </c>
      <c r="I36" s="156">
        <f>ROUND(123171.37,-3)</f>
        <v>123000</v>
      </c>
      <c r="J36" s="776"/>
    </row>
    <row r="37" spans="1:10">
      <c r="A37" s="169">
        <v>2009</v>
      </c>
      <c r="B37" s="168">
        <f>ROUND(213537.15,-3)</f>
        <v>214000</v>
      </c>
      <c r="C37" s="156">
        <f>ROUND(99785.45,-3)</f>
        <v>100000</v>
      </c>
      <c r="D37" s="156">
        <f>ROUND(535643.4,-3)</f>
        <v>536000</v>
      </c>
      <c r="E37" s="156">
        <f>ROUND(1497298.16+474088.33, -3)</f>
        <v>1971000</v>
      </c>
      <c r="F37" s="156">
        <f>ROUND(199427.16,-3)</f>
        <v>199000</v>
      </c>
      <c r="G37" s="156">
        <f>ROUND(895865.34,-3)</f>
        <v>896000</v>
      </c>
      <c r="H37" s="156">
        <f>ROUND(11892.95,-3)</f>
        <v>12000</v>
      </c>
      <c r="I37" s="156">
        <f>ROUND(125988.75,-3)</f>
        <v>126000</v>
      </c>
      <c r="J37" s="776"/>
    </row>
    <row r="38" spans="1:10">
      <c r="A38" s="169">
        <v>2010</v>
      </c>
      <c r="B38" s="168">
        <f>ROUND(286633.07,-3)</f>
        <v>287000</v>
      </c>
      <c r="C38" s="156">
        <f>ROUND(116565,-3)</f>
        <v>117000</v>
      </c>
      <c r="D38" s="156">
        <f>ROUND(271891.39,-3)</f>
        <v>272000</v>
      </c>
      <c r="E38" s="168">
        <f>ROUND(1437691.69+437133.02, -3)</f>
        <v>1875000</v>
      </c>
      <c r="F38" s="156">
        <f>ROUND(200061.94,-3)</f>
        <v>200000</v>
      </c>
      <c r="G38" s="156">
        <f>ROUND(994142.88,-3)</f>
        <v>994000</v>
      </c>
      <c r="H38" s="156">
        <f>ROUND(11097.58,-3)</f>
        <v>11000</v>
      </c>
      <c r="I38" s="168">
        <f>ROUND(115329.72,-3)</f>
        <v>115000</v>
      </c>
      <c r="J38" s="776"/>
    </row>
    <row r="39" spans="1:10">
      <c r="A39" s="169">
        <v>2011</v>
      </c>
      <c r="B39" s="168">
        <f>ROUND(239694.11,-3)</f>
        <v>240000</v>
      </c>
      <c r="C39" s="156">
        <f>ROUND(102660.85,-3)</f>
        <v>103000</v>
      </c>
      <c r="D39" s="156">
        <f>ROUND(192148.14,-3)</f>
        <v>192000</v>
      </c>
      <c r="E39" s="168">
        <f>ROUND(1469636.65+379627.71, -3)</f>
        <v>1849000</v>
      </c>
      <c r="F39" s="156">
        <f>ROUND(174236.37,-3)</f>
        <v>174000</v>
      </c>
      <c r="G39" s="156">
        <f>ROUND(887573.99,-3)</f>
        <v>888000</v>
      </c>
      <c r="H39" s="156">
        <f>ROUND(9385.64,-3)</f>
        <v>9000</v>
      </c>
      <c r="I39" s="168">
        <f>ROUND(93817.1,-3)</f>
        <v>94000</v>
      </c>
      <c r="J39" s="776"/>
    </row>
    <row r="40" spans="1:10">
      <c r="A40" s="169">
        <v>2012</v>
      </c>
      <c r="B40" s="168">
        <f>ROUND(300696.67,-3)</f>
        <v>301000</v>
      </c>
      <c r="C40" s="156">
        <f>ROUND(130891,-3)</f>
        <v>131000</v>
      </c>
      <c r="D40" s="168">
        <f>ROUND(536806.91,-3)</f>
        <v>537000</v>
      </c>
      <c r="E40" s="168">
        <f>ROUND(1400267.8+436293.59, -3)</f>
        <v>1837000</v>
      </c>
      <c r="F40" s="156">
        <f>ROUND(190864.24,-3)</f>
        <v>191000</v>
      </c>
      <c r="G40" s="156">
        <f>ROUND(930708.28,-3)</f>
        <v>931000</v>
      </c>
      <c r="H40" s="156">
        <f>ROUND(7901.16,-3)</f>
        <v>8000</v>
      </c>
      <c r="I40" s="168">
        <f>ROUND(123476.82,-3)</f>
        <v>123000</v>
      </c>
      <c r="J40" s="776"/>
    </row>
    <row r="41" spans="1:10">
      <c r="A41" s="169">
        <v>2013</v>
      </c>
      <c r="B41" s="168">
        <f>ROUND(290990.01,-3)</f>
        <v>291000</v>
      </c>
      <c r="C41" s="156">
        <f>ROUND(167769.03,-3)</f>
        <v>168000</v>
      </c>
      <c r="D41" s="168">
        <f>ROUND(500060.93,-3)</f>
        <v>500000</v>
      </c>
      <c r="E41" s="168">
        <f>ROUND(1609654.13+426051.95, -3)</f>
        <v>2036000</v>
      </c>
      <c r="F41" s="156">
        <f>ROUND(194236.95,-3)</f>
        <v>194000</v>
      </c>
      <c r="G41" s="156">
        <f>ROUND(843740.9,-3)</f>
        <v>844000</v>
      </c>
      <c r="H41" s="156">
        <f>ROUND(8879.08,-3)</f>
        <v>9000</v>
      </c>
      <c r="I41" s="168">
        <f>ROUND(93171.85,-3)</f>
        <v>93000</v>
      </c>
      <c r="J41" s="776"/>
    </row>
    <row r="42" spans="1:10">
      <c r="A42" s="25"/>
      <c r="B42" s="972"/>
      <c r="C42" s="972"/>
      <c r="D42" s="972"/>
      <c r="E42" s="972"/>
      <c r="F42" s="972"/>
      <c r="G42" s="972"/>
      <c r="H42" s="972"/>
      <c r="I42" s="972"/>
      <c r="J42" s="776"/>
    </row>
    <row r="43" spans="1:10">
      <c r="A43" s="150" t="s">
        <v>2</v>
      </c>
      <c r="B43" s="150"/>
      <c r="C43" s="150"/>
      <c r="D43" s="150"/>
      <c r="E43" s="150"/>
      <c r="F43" s="150"/>
      <c r="G43" s="150"/>
      <c r="H43" s="150"/>
      <c r="J43" s="776"/>
    </row>
    <row r="44" spans="1:10" ht="28.5" customHeight="1">
      <c r="A44" s="1139" t="s">
        <v>360</v>
      </c>
      <c r="B44" s="1139"/>
      <c r="C44" s="1139"/>
      <c r="D44" s="1139"/>
      <c r="E44" s="1139"/>
      <c r="F44" s="1139"/>
      <c r="G44" s="1139"/>
      <c r="H44" s="1139"/>
      <c r="I44" s="1140"/>
    </row>
    <row r="45" spans="1:10" ht="28.5" customHeight="1">
      <c r="A45" s="1139" t="s">
        <v>361</v>
      </c>
      <c r="B45" s="1139"/>
      <c r="C45" s="1139"/>
      <c r="D45" s="1139"/>
      <c r="E45" s="1139"/>
      <c r="F45" s="1139"/>
      <c r="G45" s="1139"/>
      <c r="H45" s="1139"/>
      <c r="I45" s="1140"/>
    </row>
    <row r="46" spans="1:10" ht="28.5" customHeight="1">
      <c r="A46" s="1139" t="s">
        <v>362</v>
      </c>
      <c r="B46" s="1139"/>
      <c r="C46" s="1139"/>
      <c r="D46" s="1139"/>
      <c r="E46" s="1139"/>
      <c r="F46" s="1139"/>
      <c r="G46" s="1139"/>
      <c r="H46" s="1139"/>
      <c r="I46" s="1140"/>
    </row>
    <row r="47" spans="1:10" ht="28.5" customHeight="1">
      <c r="A47" s="1139" t="s">
        <v>363</v>
      </c>
      <c r="B47" s="1139"/>
      <c r="C47" s="1139"/>
      <c r="D47" s="1139"/>
      <c r="E47" s="1139"/>
      <c r="F47" s="1139"/>
      <c r="G47" s="1139"/>
      <c r="H47" s="1139"/>
      <c r="I47" s="1140"/>
    </row>
    <row r="48" spans="1:10" ht="28.5" customHeight="1">
      <c r="A48" s="1139" t="s">
        <v>364</v>
      </c>
      <c r="B48" s="1139"/>
      <c r="C48" s="1139"/>
      <c r="D48" s="1139"/>
      <c r="E48" s="1139"/>
      <c r="F48" s="1139"/>
      <c r="G48" s="1139"/>
      <c r="H48" s="1139"/>
      <c r="I48" s="1140"/>
    </row>
    <row r="49" spans="1:9" ht="28.5" customHeight="1">
      <c r="A49" s="1139" t="s">
        <v>365</v>
      </c>
      <c r="B49" s="1139"/>
      <c r="C49" s="1139"/>
      <c r="D49" s="1139"/>
      <c r="E49" s="1139"/>
      <c r="F49" s="1139"/>
      <c r="G49" s="1139"/>
      <c r="H49" s="1139"/>
      <c r="I49" s="1140"/>
    </row>
    <row r="50" spans="1:9" ht="28.5" customHeight="1">
      <c r="A50" s="1139" t="s">
        <v>366</v>
      </c>
      <c r="B50" s="1139"/>
      <c r="C50" s="1139"/>
      <c r="D50" s="1139"/>
      <c r="E50" s="1139"/>
      <c r="F50" s="1139"/>
      <c r="G50" s="1139"/>
      <c r="H50" s="1139"/>
      <c r="I50" s="1140"/>
    </row>
    <row r="51" spans="1:9" ht="28.5" customHeight="1">
      <c r="A51" s="1137" t="s">
        <v>367</v>
      </c>
      <c r="B51" s="1137"/>
      <c r="C51" s="1137"/>
      <c r="D51" s="1137"/>
      <c r="E51" s="1137"/>
      <c r="F51" s="1137"/>
      <c r="G51" s="1137"/>
      <c r="H51" s="1137"/>
      <c r="I51" s="1137"/>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5:H25"/>
    <mergeCell ref="A44:I44"/>
    <mergeCell ref="A49:I49"/>
    <mergeCell ref="A50:I50"/>
    <mergeCell ref="A51:I51"/>
    <mergeCell ref="A45:I45"/>
    <mergeCell ref="A46:I46"/>
    <mergeCell ref="A47:I47"/>
    <mergeCell ref="A48:I48"/>
    <mergeCell ref="A24:H24"/>
    <mergeCell ref="A19:H19"/>
    <mergeCell ref="A20:H20"/>
    <mergeCell ref="A21:H21"/>
    <mergeCell ref="A22:H22"/>
    <mergeCell ref="A23:H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3.xml><?xml version="1.0" encoding="utf-8"?>
<worksheet xmlns="http://schemas.openxmlformats.org/spreadsheetml/2006/main" xmlns:r="http://schemas.openxmlformats.org/officeDocument/2006/relationships">
  <sheetPr codeName="Sheet21"/>
  <dimension ref="A1:G41"/>
  <sheetViews>
    <sheetView zoomScaleNormal="100" workbookViewId="0"/>
  </sheetViews>
  <sheetFormatPr defaultColWidth="9.33203125" defaultRowHeight="13.2"/>
  <cols>
    <col min="1" max="1" width="26" style="213" customWidth="1"/>
    <col min="2" max="2" width="29.88671875" style="213" customWidth="1"/>
    <col min="3" max="3" width="22.109375" style="213" customWidth="1"/>
    <col min="4" max="4" width="18.6640625" style="213" bestFit="1" customWidth="1"/>
    <col min="5" max="5" width="19.109375" style="213" bestFit="1" customWidth="1"/>
    <col min="6" max="6" width="20.109375" style="213" bestFit="1" customWidth="1"/>
    <col min="7" max="16384" width="9.33203125" style="213"/>
  </cols>
  <sheetData>
    <row r="1" spans="1:7" ht="17.399999999999999">
      <c r="A1" s="212" t="s">
        <v>443</v>
      </c>
      <c r="B1" s="212"/>
      <c r="C1" s="212"/>
    </row>
    <row r="2" spans="1:7" ht="15.6">
      <c r="A2" s="214" t="s">
        <v>1100</v>
      </c>
      <c r="B2" s="214"/>
      <c r="C2" s="214"/>
    </row>
    <row r="4" spans="1:7">
      <c r="A4" s="215"/>
      <c r="B4" s="215"/>
      <c r="C4" s="215"/>
      <c r="D4" s="216" t="s">
        <v>444</v>
      </c>
      <c r="E4" s="216" t="s">
        <v>445</v>
      </c>
      <c r="F4" s="216" t="s">
        <v>25</v>
      </c>
    </row>
    <row r="5" spans="1:7">
      <c r="A5" s="217" t="s">
        <v>446</v>
      </c>
      <c r="B5" s="217"/>
      <c r="C5" s="217"/>
      <c r="D5" s="218">
        <v>280359878782</v>
      </c>
      <c r="E5" s="219">
        <v>420651778702</v>
      </c>
      <c r="F5" s="218">
        <f>SUM(D5:E5)</f>
        <v>701011657484</v>
      </c>
    </row>
    <row r="6" spans="1:7">
      <c r="A6" s="220" t="s">
        <v>447</v>
      </c>
      <c r="B6" s="220"/>
      <c r="C6" s="220"/>
      <c r="D6" s="221">
        <v>10780514034</v>
      </c>
      <c r="E6" s="222">
        <v>14352404439</v>
      </c>
      <c r="F6" s="221">
        <f t="shared" ref="F6:F15" si="0">SUM(D6:E6)</f>
        <v>25132918473</v>
      </c>
    </row>
    <row r="7" spans="1:7">
      <c r="A7" s="220" t="s">
        <v>448</v>
      </c>
      <c r="B7" s="220"/>
      <c r="C7" s="220"/>
      <c r="D7" s="221">
        <v>-1049886658</v>
      </c>
      <c r="E7" s="222">
        <v>0</v>
      </c>
      <c r="F7" s="221">
        <f t="shared" si="0"/>
        <v>-1049886658</v>
      </c>
      <c r="G7" s="801"/>
    </row>
    <row r="8" spans="1:7">
      <c r="A8" s="217" t="s">
        <v>449</v>
      </c>
      <c r="B8" s="217"/>
      <c r="C8" s="217"/>
      <c r="D8" s="221">
        <v>13081717810</v>
      </c>
      <c r="E8" s="222">
        <v>8043464601</v>
      </c>
      <c r="F8" s="221">
        <f t="shared" si="0"/>
        <v>21125182411</v>
      </c>
    </row>
    <row r="9" spans="1:7">
      <c r="A9" s="213" t="s">
        <v>450</v>
      </c>
      <c r="D9" s="221">
        <v>101966858381</v>
      </c>
      <c r="E9" s="222">
        <v>128126050712</v>
      </c>
      <c r="F9" s="221">
        <f t="shared" si="0"/>
        <v>230092909093</v>
      </c>
    </row>
    <row r="10" spans="1:7">
      <c r="A10" s="213" t="s">
        <v>451</v>
      </c>
      <c r="D10" s="221">
        <v>28977317968</v>
      </c>
      <c r="E10" s="222">
        <v>81453680679</v>
      </c>
      <c r="F10" s="221">
        <f t="shared" si="0"/>
        <v>110430998647</v>
      </c>
    </row>
    <row r="11" spans="1:7">
      <c r="A11" s="217" t="s">
        <v>452</v>
      </c>
      <c r="B11" s="217"/>
      <c r="C11" s="217"/>
      <c r="D11" s="221">
        <v>265328</v>
      </c>
      <c r="E11" s="222">
        <v>7144000000</v>
      </c>
      <c r="F11" s="221">
        <f t="shared" si="0"/>
        <v>7144265328</v>
      </c>
    </row>
    <row r="12" spans="1:7">
      <c r="A12" s="217" t="s">
        <v>453</v>
      </c>
      <c r="B12" s="217"/>
      <c r="C12" s="217"/>
      <c r="D12" s="221">
        <v>146064346671</v>
      </c>
      <c r="E12" s="221">
        <v>210236987149</v>
      </c>
      <c r="F12" s="221">
        <f t="shared" si="0"/>
        <v>356301333820</v>
      </c>
    </row>
    <row r="13" spans="1:7">
      <c r="A13" s="217" t="s">
        <v>454</v>
      </c>
      <c r="B13" s="217"/>
      <c r="C13" s="217"/>
      <c r="D13" s="221">
        <v>6472995640</v>
      </c>
      <c r="E13" s="222">
        <v>8410076863</v>
      </c>
      <c r="F13" s="221">
        <f>SUM(D13:E13)</f>
        <v>14883072503</v>
      </c>
    </row>
    <row r="14" spans="1:7">
      <c r="A14" s="217" t="s">
        <v>455</v>
      </c>
      <c r="B14" s="217"/>
      <c r="C14" s="217"/>
      <c r="D14" s="221">
        <v>1407921480</v>
      </c>
      <c r="E14" s="223">
        <v>1712976613</v>
      </c>
      <c r="F14" s="221">
        <f t="shared" si="0"/>
        <v>3120898093</v>
      </c>
    </row>
    <row r="15" spans="1:7">
      <c r="A15" s="217" t="s">
        <v>456</v>
      </c>
      <c r="B15" s="217"/>
      <c r="C15" s="217"/>
      <c r="D15" s="221">
        <v>37801067</v>
      </c>
      <c r="E15" s="223">
        <v>676118318</v>
      </c>
      <c r="F15" s="224">
        <f t="shared" si="0"/>
        <v>713919385</v>
      </c>
    </row>
    <row r="16" spans="1:7">
      <c r="A16" s="225" t="s">
        <v>457</v>
      </c>
      <c r="B16" s="225"/>
      <c r="C16" s="225"/>
      <c r="D16" s="226">
        <f>D13-D14-D15</f>
        <v>5027273093</v>
      </c>
      <c r="E16" s="226">
        <f>E13-E14-E15</f>
        <v>6020981932</v>
      </c>
      <c r="F16" s="227">
        <f>SUM(D16:E16)</f>
        <v>11048255025</v>
      </c>
    </row>
    <row r="17" spans="1:7">
      <c r="A17" s="217"/>
      <c r="B17" s="217"/>
      <c r="C17" s="217"/>
      <c r="D17" s="228"/>
      <c r="E17" s="219"/>
      <c r="F17" s="218"/>
    </row>
    <row r="18" spans="1:7">
      <c r="A18" s="229"/>
      <c r="B18" s="229"/>
      <c r="C18" s="229"/>
      <c r="D18" s="218"/>
      <c r="E18" s="219"/>
      <c r="F18" s="218"/>
    </row>
    <row r="19" spans="1:7">
      <c r="A19" s="217" t="s">
        <v>66</v>
      </c>
      <c r="B19" s="217"/>
      <c r="C19" s="217"/>
      <c r="D19" s="218">
        <v>50574902</v>
      </c>
      <c r="E19" s="230">
        <v>60781393</v>
      </c>
      <c r="F19" s="218">
        <f>SUM(D19:E19)</f>
        <v>111356295</v>
      </c>
    </row>
    <row r="20" spans="1:7">
      <c r="A20" s="217" t="s">
        <v>458</v>
      </c>
      <c r="B20" s="217"/>
      <c r="C20" s="217"/>
      <c r="D20" s="221">
        <v>40459921.600000001</v>
      </c>
      <c r="E20" s="221">
        <v>48625114.400000006</v>
      </c>
      <c r="F20" s="218">
        <f>SUM(D20:E20)</f>
        <v>89085036</v>
      </c>
    </row>
    <row r="21" spans="1:7">
      <c r="A21" s="229" t="s">
        <v>459</v>
      </c>
      <c r="B21" s="217"/>
      <c r="C21" s="217"/>
      <c r="D21" s="221"/>
      <c r="E21" s="221"/>
      <c r="F21" s="221"/>
    </row>
    <row r="22" spans="1:7">
      <c r="A22" s="217" t="s">
        <v>371</v>
      </c>
      <c r="B22" s="217"/>
      <c r="C22" s="217"/>
      <c r="D22" s="221">
        <v>5949</v>
      </c>
      <c r="E22" s="221">
        <v>399196</v>
      </c>
      <c r="F22" s="221">
        <v>405145</v>
      </c>
    </row>
    <row r="23" spans="1:7">
      <c r="A23" s="217" t="s">
        <v>460</v>
      </c>
      <c r="B23" s="217"/>
      <c r="C23" s="217"/>
      <c r="D23" s="221">
        <v>0</v>
      </c>
      <c r="E23" s="231">
        <v>0</v>
      </c>
      <c r="F23" s="221">
        <v>0</v>
      </c>
    </row>
    <row r="24" spans="1:7">
      <c r="A24" s="213" t="s">
        <v>461</v>
      </c>
      <c r="D24" s="882">
        <v>0</v>
      </c>
      <c r="E24" s="882">
        <v>0</v>
      </c>
      <c r="F24" s="221">
        <v>0</v>
      </c>
      <c r="G24" s="801"/>
    </row>
    <row r="25" spans="1:7">
      <c r="A25" s="213" t="s">
        <v>372</v>
      </c>
      <c r="D25" s="232">
        <v>675429</v>
      </c>
      <c r="E25" s="231">
        <v>989018</v>
      </c>
      <c r="F25" s="221">
        <v>1664447</v>
      </c>
    </row>
    <row r="26" spans="1:7">
      <c r="A26" s="213" t="s">
        <v>462</v>
      </c>
      <c r="D26" s="232">
        <v>0</v>
      </c>
      <c r="E26" s="233">
        <v>0</v>
      </c>
      <c r="F26" s="221">
        <v>0</v>
      </c>
    </row>
    <row r="27" spans="1:7">
      <c r="A27" s="213" t="s">
        <v>463</v>
      </c>
      <c r="D27" s="232">
        <v>0</v>
      </c>
      <c r="E27" s="233">
        <v>0</v>
      </c>
      <c r="F27" s="224">
        <v>0</v>
      </c>
    </row>
    <row r="28" spans="1:7">
      <c r="A28" s="234" t="s">
        <v>464</v>
      </c>
      <c r="B28" s="234"/>
      <c r="C28" s="234"/>
      <c r="D28" s="1028">
        <f>D19-D20-D22-D23-D24-D25-D26-D27</f>
        <v>9433602.3999999985</v>
      </c>
      <c r="E28" s="235">
        <f>E19-E20-E22-E23-E24-E25-E26-E27</f>
        <v>10768064.599999994</v>
      </c>
      <c r="F28" s="236">
        <f>SUM(D28:E28)</f>
        <v>20201666.999999993</v>
      </c>
    </row>
    <row r="31" spans="1:7" ht="17.399999999999999">
      <c r="A31" s="237" t="s">
        <v>465</v>
      </c>
      <c r="B31" s="237"/>
      <c r="C31" s="237"/>
      <c r="D31" s="238"/>
      <c r="E31" s="238"/>
      <c r="F31" s="239"/>
      <c r="G31" s="239"/>
    </row>
    <row r="32" spans="1:7" ht="15.6">
      <c r="A32" s="240" t="s">
        <v>466</v>
      </c>
      <c r="B32" s="240"/>
      <c r="C32" s="240"/>
      <c r="D32" s="241"/>
      <c r="E32" s="241"/>
      <c r="F32" s="239"/>
      <c r="G32" s="239"/>
    </row>
    <row r="33" spans="1:7" ht="13.8" thickBot="1">
      <c r="A33" s="242"/>
      <c r="B33" s="242"/>
      <c r="C33" s="242"/>
      <c r="D33" s="241"/>
      <c r="E33" s="241"/>
      <c r="F33" s="239"/>
      <c r="G33" s="239"/>
    </row>
    <row r="34" spans="1:7">
      <c r="A34" s="243"/>
      <c r="B34" s="243"/>
      <c r="C34" s="244"/>
      <c r="D34" s="245"/>
      <c r="E34" s="244"/>
      <c r="F34" s="239"/>
      <c r="G34" s="239"/>
    </row>
    <row r="35" spans="1:7">
      <c r="A35" s="246" t="s">
        <v>44</v>
      </c>
      <c r="B35" s="247" t="s">
        <v>467</v>
      </c>
      <c r="C35" s="248"/>
      <c r="D35" s="249"/>
      <c r="E35" s="248"/>
      <c r="F35" s="239"/>
      <c r="G35" s="239"/>
    </row>
    <row r="36" spans="1:7">
      <c r="A36" s="250">
        <v>2009</v>
      </c>
      <c r="B36" s="1086">
        <v>21273000</v>
      </c>
      <c r="C36" s="250"/>
      <c r="E36" s="251"/>
      <c r="F36" s="239"/>
      <c r="G36" s="239"/>
    </row>
    <row r="37" spans="1:7">
      <c r="A37" s="250">
        <v>2010</v>
      </c>
      <c r="B37" s="252">
        <v>24343000</v>
      </c>
      <c r="C37" s="250"/>
      <c r="E37" s="251"/>
      <c r="F37" s="239"/>
      <c r="G37" s="239"/>
    </row>
    <row r="38" spans="1:7">
      <c r="A38" s="250">
        <v>2011</v>
      </c>
      <c r="B38" s="253">
        <v>24580000</v>
      </c>
      <c r="C38" s="250"/>
      <c r="E38" s="251"/>
      <c r="F38" s="239"/>
      <c r="G38" s="239"/>
    </row>
    <row r="39" spans="1:7">
      <c r="A39" s="250">
        <v>2012</v>
      </c>
      <c r="B39" s="253">
        <v>19570000</v>
      </c>
      <c r="C39" s="239"/>
      <c r="D39" s="239"/>
      <c r="E39" s="239"/>
      <c r="F39" s="239"/>
      <c r="G39" s="239"/>
    </row>
    <row r="40" spans="1:7">
      <c r="A40" s="250">
        <v>2013</v>
      </c>
      <c r="B40" s="253">
        <v>20202000</v>
      </c>
      <c r="C40" s="239"/>
      <c r="D40" s="239"/>
      <c r="E40" s="239"/>
      <c r="F40" s="239"/>
      <c r="G40" s="239"/>
    </row>
    <row r="41" spans="1:7">
      <c r="C41" s="239"/>
      <c r="D41" s="239"/>
      <c r="E41" s="239"/>
      <c r="F41" s="239"/>
      <c r="G41" s="239"/>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4.xml><?xml version="1.0" encoding="utf-8"?>
<worksheet xmlns="http://schemas.openxmlformats.org/spreadsheetml/2006/main" xmlns:r="http://schemas.openxmlformats.org/officeDocument/2006/relationships">
  <sheetPr codeName="Sheet22"/>
  <dimension ref="A1:P197"/>
  <sheetViews>
    <sheetView zoomScaleNormal="100" workbookViewId="0"/>
  </sheetViews>
  <sheetFormatPr defaultColWidth="11.33203125" defaultRowHeight="13.2"/>
  <cols>
    <col min="1" max="1" width="22.88671875" style="314" customWidth="1"/>
    <col min="2" max="5" width="15.6640625" style="314" customWidth="1"/>
    <col min="6" max="6" width="15.6640625" style="324" customWidth="1"/>
    <col min="7" max="7" width="11.33203125" style="314"/>
    <col min="8" max="8" width="14.109375" style="314" bestFit="1" customWidth="1"/>
    <col min="9" max="16384" width="11.33203125" style="314"/>
  </cols>
  <sheetData>
    <row r="1" spans="1:7" s="307" customFormat="1" ht="17.399999999999999" customHeight="1">
      <c r="A1" s="306" t="s">
        <v>795</v>
      </c>
      <c r="B1" s="306"/>
      <c r="C1" s="306"/>
      <c r="D1" s="306"/>
      <c r="F1" s="308"/>
    </row>
    <row r="2" spans="1:7" s="307" customFormat="1" ht="15.6" customHeight="1">
      <c r="A2" s="309" t="s">
        <v>796</v>
      </c>
      <c r="B2" s="309"/>
      <c r="C2" s="309"/>
      <c r="D2" s="309"/>
      <c r="F2" s="308"/>
    </row>
    <row r="3" spans="1:7" s="307" customFormat="1" ht="13.8" thickBot="1">
      <c r="A3" s="310"/>
      <c r="B3" s="310"/>
      <c r="C3" s="310"/>
      <c r="D3" s="310"/>
      <c r="F3" s="308"/>
    </row>
    <row r="4" spans="1:7" ht="15" customHeight="1" thickTop="1">
      <c r="A4" s="311"/>
      <c r="B4" s="312" t="s">
        <v>44</v>
      </c>
      <c r="C4" s="312" t="s">
        <v>44</v>
      </c>
      <c r="D4" s="313" t="s">
        <v>44</v>
      </c>
      <c r="E4" s="313" t="s">
        <v>44</v>
      </c>
      <c r="F4" s="313" t="s">
        <v>44</v>
      </c>
    </row>
    <row r="5" spans="1:7" ht="13.2" customHeight="1">
      <c r="A5" s="315" t="s">
        <v>33</v>
      </c>
      <c r="B5" s="316">
        <v>2009</v>
      </c>
      <c r="C5" s="316">
        <v>2010</v>
      </c>
      <c r="D5" s="317">
        <v>2011</v>
      </c>
      <c r="E5" s="317">
        <v>2012</v>
      </c>
      <c r="F5" s="317">
        <v>2013</v>
      </c>
    </row>
    <row r="6" spans="1:7" s="321" customFormat="1" ht="10.65" customHeight="1">
      <c r="A6" s="318"/>
      <c r="B6" s="319"/>
      <c r="C6" s="319"/>
      <c r="D6" s="319"/>
      <c r="E6" s="320"/>
      <c r="F6" s="320"/>
    </row>
    <row r="7" spans="1:7" ht="13.2" customHeight="1">
      <c r="A7" s="322" t="s">
        <v>99</v>
      </c>
      <c r="B7" s="323">
        <v>882027.6</v>
      </c>
      <c r="C7" s="323">
        <v>678623.5</v>
      </c>
      <c r="D7" s="323">
        <v>641445.5</v>
      </c>
      <c r="E7" s="324">
        <v>720725.18999999983</v>
      </c>
      <c r="F7" s="324">
        <v>659160.39</v>
      </c>
    </row>
    <row r="8" spans="1:7">
      <c r="A8" s="325" t="s">
        <v>101</v>
      </c>
      <c r="B8" s="326">
        <v>4509491.49</v>
      </c>
      <c r="C8" s="326">
        <v>4469166.78</v>
      </c>
      <c r="D8" s="326">
        <v>4586713.3600000003</v>
      </c>
      <c r="E8" s="327">
        <v>4763965.51</v>
      </c>
      <c r="F8" s="327">
        <v>5668590.669999999</v>
      </c>
    </row>
    <row r="9" spans="1:7">
      <c r="A9" s="325" t="s">
        <v>103</v>
      </c>
      <c r="B9" s="326">
        <v>215106.5</v>
      </c>
      <c r="C9" s="326">
        <v>180934.75</v>
      </c>
      <c r="D9" s="326">
        <v>227420.75</v>
      </c>
      <c r="E9" s="327">
        <v>177944</v>
      </c>
      <c r="F9" s="327">
        <v>186607.72</v>
      </c>
    </row>
    <row r="10" spans="1:7">
      <c r="A10" s="325" t="s">
        <v>105</v>
      </c>
      <c r="B10" s="326">
        <v>279948.09999999998</v>
      </c>
      <c r="C10" s="326">
        <v>263413.25</v>
      </c>
      <c r="D10" s="326">
        <v>246277.25</v>
      </c>
      <c r="E10" s="327">
        <v>274474.25</v>
      </c>
      <c r="F10" s="327">
        <v>279559.40000000002</v>
      </c>
    </row>
    <row r="11" spans="1:7">
      <c r="A11" s="325" t="s">
        <v>107</v>
      </c>
      <c r="B11" s="326">
        <v>584876</v>
      </c>
      <c r="C11" s="326">
        <v>499543.25</v>
      </c>
      <c r="D11" s="326">
        <v>528355.5</v>
      </c>
      <c r="E11" s="327">
        <v>447579.75</v>
      </c>
      <c r="F11" s="327">
        <v>562840.54999999981</v>
      </c>
    </row>
    <row r="12" spans="1:7" ht="10.65" customHeight="1">
      <c r="A12" s="325"/>
      <c r="B12" s="326"/>
      <c r="C12" s="326"/>
      <c r="D12" s="326"/>
      <c r="E12" s="327"/>
      <c r="F12" s="327"/>
    </row>
    <row r="13" spans="1:7">
      <c r="A13" s="325" t="s">
        <v>109</v>
      </c>
      <c r="B13" s="326">
        <v>286719.25</v>
      </c>
      <c r="C13" s="326">
        <v>280814.75</v>
      </c>
      <c r="D13" s="326">
        <v>221251</v>
      </c>
      <c r="E13" s="327">
        <v>232950</v>
      </c>
      <c r="F13" s="327">
        <v>293224.76000000007</v>
      </c>
    </row>
    <row r="14" spans="1:7">
      <c r="A14" s="325" t="s">
        <v>111</v>
      </c>
      <c r="B14" s="326">
        <v>15592093.260000015</v>
      </c>
      <c r="C14" s="326">
        <v>17367518.820000008</v>
      </c>
      <c r="D14" s="326">
        <v>20720493.950000007</v>
      </c>
      <c r="E14" s="327">
        <v>22136296.549999993</v>
      </c>
      <c r="F14" s="327">
        <v>23397459.460000012</v>
      </c>
    </row>
    <row r="15" spans="1:7">
      <c r="A15" s="325" t="s">
        <v>113</v>
      </c>
      <c r="B15" s="326">
        <v>1926753.25</v>
      </c>
      <c r="C15" s="326">
        <v>1860806.25</v>
      </c>
      <c r="D15" s="326">
        <v>1696229.75</v>
      </c>
      <c r="E15" s="327">
        <v>1537878.5</v>
      </c>
      <c r="F15" s="327">
        <v>1802162.9200000006</v>
      </c>
    </row>
    <row r="16" spans="1:7">
      <c r="A16" s="325" t="s">
        <v>115</v>
      </c>
      <c r="B16" s="326">
        <v>131303.25</v>
      </c>
      <c r="C16" s="326">
        <v>116042.85</v>
      </c>
      <c r="D16" s="326">
        <v>117229.25</v>
      </c>
      <c r="E16" s="893">
        <v>163526.5</v>
      </c>
      <c r="F16" s="893">
        <v>253308.84999999998</v>
      </c>
      <c r="G16" s="894"/>
    </row>
    <row r="17" spans="1:8">
      <c r="A17" s="325" t="s">
        <v>117</v>
      </c>
      <c r="B17" s="326">
        <v>2410638</v>
      </c>
      <c r="C17" s="326">
        <v>2197957</v>
      </c>
      <c r="D17" s="326">
        <v>2030171.25</v>
      </c>
      <c r="E17" s="327">
        <v>2112587</v>
      </c>
      <c r="F17" s="327">
        <v>2543125.4099999997</v>
      </c>
    </row>
    <row r="18" spans="1:8" ht="10.65" customHeight="1">
      <c r="A18" s="325"/>
      <c r="B18" s="326"/>
      <c r="C18" s="326"/>
      <c r="D18" s="326"/>
      <c r="E18" s="327"/>
      <c r="F18" s="327"/>
    </row>
    <row r="19" spans="1:8">
      <c r="A19" s="325" t="s">
        <v>119</v>
      </c>
      <c r="B19" s="326">
        <v>97429.5</v>
      </c>
      <c r="C19" s="326">
        <v>71168</v>
      </c>
      <c r="D19" s="326">
        <v>95961.75</v>
      </c>
      <c r="E19" s="327">
        <v>85641.75</v>
      </c>
      <c r="F19" s="327">
        <v>92539.53</v>
      </c>
    </row>
    <row r="20" spans="1:8">
      <c r="A20" s="325" t="s">
        <v>121</v>
      </c>
      <c r="B20" s="326">
        <v>1014666</v>
      </c>
      <c r="C20" s="326">
        <v>939205.25</v>
      </c>
      <c r="D20" s="326">
        <v>839630.75</v>
      </c>
      <c r="E20" s="327">
        <v>845594.5</v>
      </c>
      <c r="F20" s="327">
        <v>1049751.3000000005</v>
      </c>
    </row>
    <row r="21" spans="1:8">
      <c r="A21" s="325" t="s">
        <v>123</v>
      </c>
      <c r="B21" s="326">
        <v>232361</v>
      </c>
      <c r="C21" s="326">
        <v>185282.75</v>
      </c>
      <c r="D21" s="326">
        <v>200618.5</v>
      </c>
      <c r="E21" s="893">
        <v>308824.89</v>
      </c>
      <c r="F21" s="893">
        <v>318905.43</v>
      </c>
      <c r="G21" s="894"/>
    </row>
    <row r="22" spans="1:8" s="347" customFormat="1">
      <c r="A22" s="345" t="s">
        <v>125</v>
      </c>
      <c r="B22" s="346">
        <v>326989.94</v>
      </c>
      <c r="C22" s="346">
        <v>381120.5</v>
      </c>
      <c r="D22" s="346">
        <v>1177582.92</v>
      </c>
      <c r="E22" s="893">
        <v>274475.5</v>
      </c>
      <c r="F22" s="953">
        <v>99385.880000000019</v>
      </c>
      <c r="G22" s="900"/>
      <c r="H22" s="899"/>
    </row>
    <row r="23" spans="1:8">
      <c r="A23" s="325" t="s">
        <v>127</v>
      </c>
      <c r="B23" s="326">
        <v>265846</v>
      </c>
      <c r="C23" s="326">
        <v>250711.25</v>
      </c>
      <c r="D23" s="326">
        <v>190713.75</v>
      </c>
      <c r="E23" s="327">
        <v>197647.75</v>
      </c>
      <c r="F23" s="327">
        <v>222708.39</v>
      </c>
      <c r="H23" s="898"/>
    </row>
    <row r="24" spans="1:8" ht="10.65" customHeight="1">
      <c r="A24" s="325"/>
      <c r="B24" s="326"/>
      <c r="C24" s="326"/>
      <c r="D24" s="326"/>
      <c r="E24" s="327"/>
      <c r="F24" s="327"/>
    </row>
    <row r="25" spans="1:8">
      <c r="A25" s="325" t="s">
        <v>129</v>
      </c>
      <c r="B25" s="326">
        <v>1002176.5</v>
      </c>
      <c r="C25" s="326">
        <v>932939.25</v>
      </c>
      <c r="D25" s="326">
        <v>850637.5</v>
      </c>
      <c r="E25" s="327">
        <v>921533.5</v>
      </c>
      <c r="F25" s="327">
        <v>1263383.2100000007</v>
      </c>
      <c r="H25" s="899"/>
    </row>
    <row r="26" spans="1:8">
      <c r="A26" s="325" t="s">
        <v>131</v>
      </c>
      <c r="B26" s="326">
        <v>1019774.98</v>
      </c>
      <c r="C26" s="326">
        <v>845395.25</v>
      </c>
      <c r="D26" s="326">
        <v>761103.75</v>
      </c>
      <c r="E26" s="327">
        <v>742514.25</v>
      </c>
      <c r="F26" s="327">
        <v>1116108.5800000005</v>
      </c>
    </row>
    <row r="27" spans="1:8">
      <c r="A27" s="325" t="s">
        <v>133</v>
      </c>
      <c r="B27" s="326">
        <v>447435.15</v>
      </c>
      <c r="C27" s="326">
        <v>397483.75</v>
      </c>
      <c r="D27" s="326">
        <v>422952.75</v>
      </c>
      <c r="E27" s="327">
        <v>378906.5</v>
      </c>
      <c r="F27" s="327">
        <v>415348.2899999998</v>
      </c>
    </row>
    <row r="28" spans="1:8">
      <c r="A28" s="325" t="s">
        <v>135</v>
      </c>
      <c r="B28" s="326">
        <v>164460.82999999999</v>
      </c>
      <c r="C28" s="326">
        <v>109739</v>
      </c>
      <c r="D28" s="326">
        <v>137502.5</v>
      </c>
      <c r="E28" s="327">
        <v>115117</v>
      </c>
      <c r="F28" s="327">
        <v>113554.73999999999</v>
      </c>
    </row>
    <row r="29" spans="1:8">
      <c r="A29" s="325" t="s">
        <v>137</v>
      </c>
      <c r="B29" s="326">
        <v>138642</v>
      </c>
      <c r="C29" s="326">
        <v>139537</v>
      </c>
      <c r="D29" s="326">
        <v>150055.25</v>
      </c>
      <c r="E29" s="327">
        <v>129331.75</v>
      </c>
      <c r="F29" s="327">
        <v>148516.68000000002</v>
      </c>
    </row>
    <row r="30" spans="1:8" ht="10.65" customHeight="1">
      <c r="A30" s="325"/>
      <c r="B30" s="326"/>
      <c r="C30" s="326"/>
      <c r="D30" s="326"/>
      <c r="E30" s="327"/>
      <c r="F30" s="327"/>
    </row>
    <row r="31" spans="1:8">
      <c r="A31" s="325" t="s">
        <v>139</v>
      </c>
      <c r="B31" s="326">
        <v>11985723.560000001</v>
      </c>
      <c r="C31" s="326">
        <v>10824566.449999999</v>
      </c>
      <c r="D31" s="326">
        <v>9560447.7999999989</v>
      </c>
      <c r="E31" s="327">
        <v>11072962.15</v>
      </c>
      <c r="F31" s="327">
        <v>13056987.050000004</v>
      </c>
    </row>
    <row r="32" spans="1:8">
      <c r="A32" s="325" t="s">
        <v>141</v>
      </c>
      <c r="B32" s="326">
        <v>549927.75</v>
      </c>
      <c r="C32" s="326">
        <v>534618.25</v>
      </c>
      <c r="D32" s="326">
        <v>534960</v>
      </c>
      <c r="E32" s="327">
        <v>586903.25</v>
      </c>
      <c r="F32" s="327">
        <v>722643.72000000032</v>
      </c>
    </row>
    <row r="33" spans="1:6">
      <c r="A33" s="325" t="s">
        <v>143</v>
      </c>
      <c r="B33" s="326">
        <v>101997.5</v>
      </c>
      <c r="C33" s="326">
        <v>80867.25</v>
      </c>
      <c r="D33" s="326">
        <v>65074.5</v>
      </c>
      <c r="E33" s="327">
        <v>84821.33</v>
      </c>
      <c r="F33" s="327">
        <v>95934.319999999992</v>
      </c>
    </row>
    <row r="34" spans="1:6">
      <c r="A34" s="325" t="s">
        <v>145</v>
      </c>
      <c r="B34" s="326">
        <v>2000318.25</v>
      </c>
      <c r="C34" s="326">
        <v>1438696.75</v>
      </c>
      <c r="D34" s="326">
        <v>1336838</v>
      </c>
      <c r="E34" s="327">
        <v>1470436</v>
      </c>
      <c r="F34" s="327">
        <v>1820779.0500000007</v>
      </c>
    </row>
    <row r="35" spans="1:6">
      <c r="A35" s="325" t="s">
        <v>147</v>
      </c>
      <c r="B35" s="326">
        <v>170062.25</v>
      </c>
      <c r="C35" s="326">
        <v>146741.75</v>
      </c>
      <c r="D35" s="326">
        <v>136456</v>
      </c>
      <c r="E35" s="327">
        <v>119015</v>
      </c>
      <c r="F35" s="327">
        <v>158992.51</v>
      </c>
    </row>
    <row r="36" spans="1:6" ht="10.65" customHeight="1">
      <c r="A36" s="325"/>
      <c r="B36" s="326"/>
      <c r="C36" s="326"/>
      <c r="D36" s="326"/>
      <c r="E36" s="327"/>
      <c r="F36" s="327"/>
    </row>
    <row r="37" spans="1:6">
      <c r="A37" s="325" t="s">
        <v>149</v>
      </c>
      <c r="B37" s="326">
        <v>124644.64</v>
      </c>
      <c r="C37" s="326">
        <v>84526.75</v>
      </c>
      <c r="D37" s="326">
        <v>81536.75</v>
      </c>
      <c r="E37" s="327">
        <v>77622.75</v>
      </c>
      <c r="F37" s="327">
        <v>79648.600000000006</v>
      </c>
    </row>
    <row r="38" spans="1:6">
      <c r="A38" s="325" t="s">
        <v>151</v>
      </c>
      <c r="B38" s="326">
        <v>613164</v>
      </c>
      <c r="C38" s="326">
        <v>544861.75</v>
      </c>
      <c r="D38" s="326">
        <v>405190</v>
      </c>
      <c r="E38" s="327">
        <v>529712.25</v>
      </c>
      <c r="F38" s="327">
        <v>498055.26</v>
      </c>
    </row>
    <row r="39" spans="1:6">
      <c r="A39" s="325" t="s">
        <v>153</v>
      </c>
      <c r="B39" s="326">
        <v>312030.25</v>
      </c>
      <c r="C39" s="326">
        <v>298695.03000000003</v>
      </c>
      <c r="D39" s="326">
        <v>225365.25</v>
      </c>
      <c r="E39" s="327">
        <v>226897.5</v>
      </c>
      <c r="F39" s="327">
        <v>299918.02</v>
      </c>
    </row>
    <row r="40" spans="1:6">
      <c r="A40" s="325" t="s">
        <v>155</v>
      </c>
      <c r="B40" s="326">
        <v>68497921.459999993</v>
      </c>
      <c r="C40" s="326">
        <v>68070793.520000011</v>
      </c>
      <c r="D40" s="326">
        <v>73424665.420000017</v>
      </c>
      <c r="E40" s="327">
        <v>87954188.049999997</v>
      </c>
      <c r="F40" s="327">
        <v>95196584.789999977</v>
      </c>
    </row>
    <row r="41" spans="1:6">
      <c r="A41" s="325" t="s">
        <v>157</v>
      </c>
      <c r="B41" s="326">
        <v>3326807.77</v>
      </c>
      <c r="C41" s="326">
        <v>3025386.75</v>
      </c>
      <c r="D41" s="326">
        <v>3065485.5</v>
      </c>
      <c r="E41" s="327">
        <v>3313117.6</v>
      </c>
      <c r="F41" s="327">
        <v>4294453.5599999996</v>
      </c>
    </row>
    <row r="42" spans="1:6" ht="17.399999999999999">
      <c r="A42" s="1141" t="s">
        <v>797</v>
      </c>
      <c r="B42" s="1141"/>
      <c r="C42" s="1141"/>
      <c r="D42" s="1141"/>
    </row>
    <row r="43" spans="1:6" ht="15.6">
      <c r="A43" s="1142" t="s">
        <v>796</v>
      </c>
      <c r="B43" s="1142"/>
      <c r="C43" s="1142"/>
      <c r="D43" s="1142"/>
    </row>
    <row r="44" spans="1:6" ht="13.8" thickBot="1">
      <c r="A44" s="328"/>
      <c r="B44" s="328"/>
      <c r="C44" s="328"/>
      <c r="D44" s="328"/>
    </row>
    <row r="45" spans="1:6" ht="15" customHeight="1" thickTop="1">
      <c r="A45" s="311"/>
      <c r="B45" s="312" t="s">
        <v>44</v>
      </c>
      <c r="C45" s="312" t="s">
        <v>44</v>
      </c>
      <c r="D45" s="312" t="s">
        <v>44</v>
      </c>
      <c r="E45" s="312" t="s">
        <v>44</v>
      </c>
      <c r="F45" s="312" t="s">
        <v>44</v>
      </c>
    </row>
    <row r="46" spans="1:6">
      <c r="A46" s="315" t="s">
        <v>33</v>
      </c>
      <c r="B46" s="316">
        <v>2009</v>
      </c>
      <c r="C46" s="316">
        <v>2010</v>
      </c>
      <c r="D46" s="316">
        <v>2011</v>
      </c>
      <c r="E46" s="316">
        <v>2012</v>
      </c>
      <c r="F46" s="316">
        <v>2013</v>
      </c>
    </row>
    <row r="47" spans="1:6" s="321" customFormat="1" ht="10.65" customHeight="1">
      <c r="A47" s="318"/>
      <c r="B47" s="329"/>
      <c r="C47" s="329"/>
      <c r="D47" s="329"/>
      <c r="E47" s="320"/>
      <c r="F47" s="320"/>
    </row>
    <row r="48" spans="1:6">
      <c r="A48" s="325" t="s">
        <v>159</v>
      </c>
      <c r="B48" s="323">
        <v>250965.5</v>
      </c>
      <c r="C48" s="323">
        <v>226638.25</v>
      </c>
      <c r="D48" s="324">
        <v>224304.87</v>
      </c>
      <c r="E48" s="324">
        <v>238670.75</v>
      </c>
      <c r="F48" s="324">
        <v>270196.49</v>
      </c>
    </row>
    <row r="49" spans="1:6">
      <c r="A49" s="325" t="s">
        <v>161</v>
      </c>
      <c r="B49" s="326">
        <v>919673.25</v>
      </c>
      <c r="C49" s="326">
        <v>848280.25</v>
      </c>
      <c r="D49" s="327">
        <v>804245.5</v>
      </c>
      <c r="E49" s="327">
        <v>817203</v>
      </c>
      <c r="F49" s="327">
        <v>925255.13000000012</v>
      </c>
    </row>
    <row r="50" spans="1:6">
      <c r="A50" s="325" t="s">
        <v>36</v>
      </c>
      <c r="B50" s="326">
        <v>1965390.51</v>
      </c>
      <c r="C50" s="326">
        <v>1708694.75</v>
      </c>
      <c r="D50" s="327">
        <v>1713479.25</v>
      </c>
      <c r="E50" s="327">
        <v>1538017</v>
      </c>
      <c r="F50" s="327">
        <v>1709042.7300000004</v>
      </c>
    </row>
    <row r="51" spans="1:6">
      <c r="A51" s="325" t="s">
        <v>164</v>
      </c>
      <c r="B51" s="326">
        <v>3143688</v>
      </c>
      <c r="C51" s="326">
        <v>2889188.25</v>
      </c>
      <c r="D51" s="327">
        <v>2553236.5499999998</v>
      </c>
      <c r="E51" s="327">
        <v>2561460.5499999998</v>
      </c>
      <c r="F51" s="327">
        <v>3526473.66</v>
      </c>
    </row>
    <row r="52" spans="1:6">
      <c r="A52" s="325" t="s">
        <v>166</v>
      </c>
      <c r="B52" s="326">
        <v>241110.84</v>
      </c>
      <c r="C52" s="326">
        <v>222554</v>
      </c>
      <c r="D52" s="327">
        <v>203032.75</v>
      </c>
      <c r="E52" s="327">
        <v>208994.5</v>
      </c>
      <c r="F52" s="327">
        <v>254946.22999999998</v>
      </c>
    </row>
    <row r="53" spans="1:6" ht="10.65" customHeight="1">
      <c r="A53" s="325"/>
      <c r="B53" s="326"/>
      <c r="C53" s="326"/>
      <c r="D53" s="327"/>
      <c r="E53" s="327"/>
      <c r="F53" s="327"/>
    </row>
    <row r="54" spans="1:6">
      <c r="A54" s="325" t="s">
        <v>635</v>
      </c>
      <c r="B54" s="326">
        <v>1332199.25</v>
      </c>
      <c r="C54" s="326">
        <v>1206435.5</v>
      </c>
      <c r="D54" s="327">
        <v>1011234.25</v>
      </c>
      <c r="E54" s="327">
        <v>935331.67</v>
      </c>
      <c r="F54" s="327">
        <v>1274663.19</v>
      </c>
    </row>
    <row r="55" spans="1:6">
      <c r="A55" s="325" t="s">
        <v>637</v>
      </c>
      <c r="B55" s="326">
        <v>1079272</v>
      </c>
      <c r="C55" s="326">
        <v>971629.5</v>
      </c>
      <c r="D55" s="327">
        <v>940571.5</v>
      </c>
      <c r="E55" s="327">
        <v>958028.75</v>
      </c>
      <c r="F55" s="327">
        <v>1332969.4799999997</v>
      </c>
    </row>
    <row r="56" spans="1:6">
      <c r="A56" s="325" t="s">
        <v>639</v>
      </c>
      <c r="B56" s="326">
        <v>252497.5</v>
      </c>
      <c r="C56" s="326">
        <v>210508.75</v>
      </c>
      <c r="D56" s="327">
        <v>220338.25</v>
      </c>
      <c r="E56" s="327">
        <v>202695.75</v>
      </c>
      <c r="F56" s="327">
        <v>245987.97999999998</v>
      </c>
    </row>
    <row r="57" spans="1:6">
      <c r="A57" s="325" t="s">
        <v>106</v>
      </c>
      <c r="B57" s="326">
        <v>670072.75</v>
      </c>
      <c r="C57" s="326">
        <v>626577.75</v>
      </c>
      <c r="D57" s="327">
        <v>556614.25</v>
      </c>
      <c r="E57" s="327">
        <v>550490.5</v>
      </c>
      <c r="F57" s="327">
        <v>711978.25999999978</v>
      </c>
    </row>
    <row r="58" spans="1:6">
      <c r="A58" s="325" t="s">
        <v>645</v>
      </c>
      <c r="B58" s="326">
        <v>95956</v>
      </c>
      <c r="C58" s="326">
        <v>87417.5</v>
      </c>
      <c r="D58" s="327">
        <v>93189.75</v>
      </c>
      <c r="E58" s="327">
        <v>100098.5</v>
      </c>
      <c r="F58" s="327">
        <v>158205.53000000003</v>
      </c>
    </row>
    <row r="59" spans="1:6" ht="10.65" customHeight="1">
      <c r="B59" s="326"/>
      <c r="C59" s="326"/>
      <c r="D59" s="327"/>
      <c r="E59" s="327"/>
      <c r="F59" s="327"/>
    </row>
    <row r="60" spans="1:6" s="331" customFormat="1">
      <c r="A60" s="322" t="s">
        <v>798</v>
      </c>
      <c r="B60" s="330">
        <v>444967.75</v>
      </c>
      <c r="C60" s="326">
        <v>415995.25</v>
      </c>
      <c r="D60" s="327">
        <v>393328.25</v>
      </c>
      <c r="E60" s="327">
        <v>336149</v>
      </c>
      <c r="F60" s="327">
        <v>466990.89999999997</v>
      </c>
    </row>
    <row r="61" spans="1:6" s="331" customFormat="1">
      <c r="A61" s="325" t="s">
        <v>112</v>
      </c>
      <c r="B61" s="330">
        <v>3899275.26</v>
      </c>
      <c r="C61" s="326">
        <v>3475129</v>
      </c>
      <c r="D61" s="327">
        <v>3316689.36</v>
      </c>
      <c r="E61" s="327">
        <v>3563567.14</v>
      </c>
      <c r="F61" s="327">
        <v>5394233.8699999992</v>
      </c>
    </row>
    <row r="62" spans="1:6" s="331" customFormat="1">
      <c r="A62" s="325" t="s">
        <v>114</v>
      </c>
      <c r="B62" s="330">
        <v>10798632.260000002</v>
      </c>
      <c r="C62" s="326">
        <v>9973856.1500000004</v>
      </c>
      <c r="D62" s="327">
        <v>10107527.550000001</v>
      </c>
      <c r="E62" s="327">
        <v>11694429.719999999</v>
      </c>
      <c r="F62" s="327">
        <v>13899013.089999998</v>
      </c>
    </row>
    <row r="63" spans="1:6" s="331" customFormat="1">
      <c r="A63" s="325" t="s">
        <v>116</v>
      </c>
      <c r="B63" s="330">
        <v>540908.5</v>
      </c>
      <c r="C63" s="326">
        <v>658945.22</v>
      </c>
      <c r="D63" s="327">
        <v>513302.5</v>
      </c>
      <c r="E63" s="327">
        <v>510408.5</v>
      </c>
      <c r="F63" s="327">
        <v>511486.9699999998</v>
      </c>
    </row>
    <row r="64" spans="1:6" s="331" customFormat="1">
      <c r="A64" s="325" t="s">
        <v>118</v>
      </c>
      <c r="B64" s="330">
        <v>99825.5</v>
      </c>
      <c r="C64" s="326">
        <v>61481.25</v>
      </c>
      <c r="D64" s="327">
        <v>65104.5</v>
      </c>
      <c r="E64" s="327">
        <v>55117</v>
      </c>
      <c r="F64" s="327">
        <v>59674.130000000012</v>
      </c>
    </row>
    <row r="65" spans="1:6" s="331" customFormat="1" ht="10.65" customHeight="1">
      <c r="A65" s="325"/>
      <c r="B65" s="330"/>
      <c r="C65" s="326"/>
      <c r="D65" s="332"/>
      <c r="E65" s="332"/>
      <c r="F65" s="332"/>
    </row>
    <row r="66" spans="1:6">
      <c r="A66" s="325" t="s">
        <v>120</v>
      </c>
      <c r="B66" s="326">
        <v>1505546.5</v>
      </c>
      <c r="C66" s="326">
        <v>1398963.19</v>
      </c>
      <c r="D66" s="327">
        <v>1180412.2</v>
      </c>
      <c r="E66" s="327">
        <v>1357434.77</v>
      </c>
      <c r="F66" s="327">
        <v>1482398.4100000011</v>
      </c>
    </row>
    <row r="67" spans="1:6">
      <c r="A67" s="325" t="s">
        <v>122</v>
      </c>
      <c r="B67" s="326">
        <v>4167051.62</v>
      </c>
      <c r="C67" s="326">
        <v>3776590.65</v>
      </c>
      <c r="D67" s="327">
        <v>3888807.03</v>
      </c>
      <c r="E67" s="327">
        <v>3839907.91</v>
      </c>
      <c r="F67" s="327">
        <v>4849504.57</v>
      </c>
    </row>
    <row r="68" spans="1:6">
      <c r="A68" s="325" t="s">
        <v>124</v>
      </c>
      <c r="B68" s="326">
        <v>179413.75</v>
      </c>
      <c r="C68" s="326">
        <v>244561.5</v>
      </c>
      <c r="D68" s="327">
        <v>126311.25</v>
      </c>
      <c r="E68" s="327">
        <v>125841</v>
      </c>
      <c r="F68" s="327">
        <v>139842.65999999997</v>
      </c>
    </row>
    <row r="69" spans="1:6">
      <c r="A69" s="325" t="s">
        <v>126</v>
      </c>
      <c r="B69" s="326">
        <v>991506.36</v>
      </c>
      <c r="C69" s="326">
        <v>979390.5</v>
      </c>
      <c r="D69" s="327">
        <v>773290.68</v>
      </c>
      <c r="E69" s="327">
        <v>833583.75</v>
      </c>
      <c r="F69" s="327">
        <v>1029133.3099999999</v>
      </c>
    </row>
    <row r="70" spans="1:6">
      <c r="A70" s="325" t="s">
        <v>128</v>
      </c>
      <c r="B70" s="326">
        <v>537959</v>
      </c>
      <c r="C70" s="326">
        <v>419812.75</v>
      </c>
      <c r="D70" s="327">
        <v>373992.25</v>
      </c>
      <c r="E70" s="327">
        <v>421910.9</v>
      </c>
      <c r="F70" s="327">
        <v>473920.38000000018</v>
      </c>
    </row>
    <row r="71" spans="1:6" ht="10.65" customHeight="1">
      <c r="A71" s="325"/>
      <c r="B71" s="326"/>
      <c r="C71" s="326"/>
      <c r="D71" s="327"/>
      <c r="E71" s="327"/>
      <c r="F71" s="327"/>
    </row>
    <row r="72" spans="1:6">
      <c r="A72" s="325" t="s">
        <v>130</v>
      </c>
      <c r="B72" s="326">
        <v>554898.25</v>
      </c>
      <c r="C72" s="326">
        <v>529642.25</v>
      </c>
      <c r="D72" s="327">
        <v>517330</v>
      </c>
      <c r="E72" s="327">
        <v>572171.25</v>
      </c>
      <c r="F72" s="327">
        <v>632197.52</v>
      </c>
    </row>
    <row r="73" spans="1:6">
      <c r="A73" s="325" t="s">
        <v>132</v>
      </c>
      <c r="B73" s="326">
        <v>258580</v>
      </c>
      <c r="C73" s="326">
        <v>215473.75</v>
      </c>
      <c r="D73" s="327">
        <v>175688.58</v>
      </c>
      <c r="E73" s="327">
        <v>195846.75</v>
      </c>
      <c r="F73" s="327">
        <v>185941.15000000002</v>
      </c>
    </row>
    <row r="74" spans="1:6">
      <c r="A74" s="325" t="s">
        <v>134</v>
      </c>
      <c r="B74" s="326">
        <v>24937733.23</v>
      </c>
      <c r="C74" s="326">
        <v>25148911.18</v>
      </c>
      <c r="D74" s="327">
        <v>26690653.099999998</v>
      </c>
      <c r="E74" s="327">
        <v>29957486.769999996</v>
      </c>
      <c r="F74" s="327">
        <v>38598913.580000006</v>
      </c>
    </row>
    <row r="75" spans="1:6">
      <c r="A75" s="325" t="s">
        <v>136</v>
      </c>
      <c r="B75" s="326">
        <v>1536446.5</v>
      </c>
      <c r="C75" s="326">
        <v>1375806.33</v>
      </c>
      <c r="D75" s="327">
        <v>1064196.5</v>
      </c>
      <c r="E75" s="327">
        <v>1168955.05</v>
      </c>
      <c r="F75" s="327">
        <v>1459468.4399999992</v>
      </c>
    </row>
    <row r="76" spans="1:6">
      <c r="A76" s="325" t="s">
        <v>138</v>
      </c>
      <c r="B76" s="326">
        <v>132378.57999999999</v>
      </c>
      <c r="C76" s="326">
        <v>120483.51</v>
      </c>
      <c r="D76" s="327">
        <v>105835.4</v>
      </c>
      <c r="E76" s="327">
        <v>95328</v>
      </c>
      <c r="F76" s="327">
        <v>162142.24000000002</v>
      </c>
    </row>
    <row r="77" spans="1:6" ht="10.65" customHeight="1">
      <c r="A77" s="325"/>
      <c r="B77" s="326"/>
      <c r="C77" s="326"/>
      <c r="D77" s="327"/>
      <c r="E77" s="327"/>
      <c r="F77" s="327"/>
    </row>
    <row r="78" spans="1:6">
      <c r="A78" s="325" t="s">
        <v>140</v>
      </c>
      <c r="B78" s="326">
        <v>395637</v>
      </c>
      <c r="C78" s="326">
        <v>328207.5</v>
      </c>
      <c r="D78" s="327">
        <v>333686.75</v>
      </c>
      <c r="E78" s="327">
        <v>388945.5</v>
      </c>
      <c r="F78" s="327">
        <v>443728.4599999999</v>
      </c>
    </row>
    <row r="79" spans="1:6">
      <c r="A79" s="325" t="s">
        <v>142</v>
      </c>
      <c r="B79" s="326">
        <v>327216.25</v>
      </c>
      <c r="C79" s="326">
        <v>309480.25</v>
      </c>
      <c r="D79" s="327">
        <v>303176</v>
      </c>
      <c r="E79" s="327">
        <v>308798.75</v>
      </c>
      <c r="F79" s="327">
        <v>387232.74000000005</v>
      </c>
    </row>
    <row r="80" spans="1:6">
      <c r="A80" s="325" t="s">
        <v>144</v>
      </c>
      <c r="B80" s="326">
        <v>701622.16</v>
      </c>
      <c r="C80" s="326">
        <v>586999.75</v>
      </c>
      <c r="D80" s="327">
        <v>614744.25</v>
      </c>
      <c r="E80" s="327">
        <v>574368</v>
      </c>
      <c r="F80" s="327">
        <v>681546.54999999993</v>
      </c>
    </row>
    <row r="81" spans="1:6">
      <c r="A81" s="325" t="s">
        <v>146</v>
      </c>
      <c r="B81" s="326">
        <v>462148.5</v>
      </c>
      <c r="C81" s="326">
        <v>397218</v>
      </c>
      <c r="D81" s="327">
        <v>457231.75</v>
      </c>
      <c r="E81" s="327">
        <v>407509.25</v>
      </c>
      <c r="F81" s="327">
        <v>364839.67000000004</v>
      </c>
    </row>
    <row r="82" spans="1:6">
      <c r="A82" s="325" t="s">
        <v>148</v>
      </c>
      <c r="B82" s="326">
        <v>2350128.7200000002</v>
      </c>
      <c r="C82" s="326">
        <v>2080302.5</v>
      </c>
      <c r="D82" s="327">
        <v>1986099.17</v>
      </c>
      <c r="E82" s="327">
        <v>1968488.75</v>
      </c>
      <c r="F82" s="327">
        <v>2649268.7800000003</v>
      </c>
    </row>
    <row r="83" spans="1:6" ht="17.399999999999999">
      <c r="A83" s="1141" t="s">
        <v>797</v>
      </c>
      <c r="B83" s="1141"/>
      <c r="C83" s="1141"/>
      <c r="D83" s="1141"/>
      <c r="E83" s="333"/>
    </row>
    <row r="84" spans="1:6" ht="15.6">
      <c r="A84" s="1142" t="s">
        <v>796</v>
      </c>
      <c r="B84" s="1142"/>
      <c r="C84" s="1142"/>
      <c r="D84" s="1142"/>
    </row>
    <row r="85" spans="1:6" ht="13.8" thickBot="1">
      <c r="A85" s="328"/>
      <c r="B85" s="328"/>
      <c r="C85" s="328"/>
      <c r="D85" s="328"/>
    </row>
    <row r="86" spans="1:6" ht="15" customHeight="1" thickTop="1">
      <c r="A86" s="311"/>
      <c r="B86" s="312" t="s">
        <v>44</v>
      </c>
      <c r="C86" s="312" t="s">
        <v>44</v>
      </c>
      <c r="D86" s="312" t="s">
        <v>44</v>
      </c>
      <c r="E86" s="312" t="s">
        <v>44</v>
      </c>
      <c r="F86" s="312" t="s">
        <v>44</v>
      </c>
    </row>
    <row r="87" spans="1:6">
      <c r="A87" s="315" t="s">
        <v>33</v>
      </c>
      <c r="B87" s="316">
        <v>2009</v>
      </c>
      <c r="C87" s="316">
        <v>2010</v>
      </c>
      <c r="D87" s="316">
        <v>2011</v>
      </c>
      <c r="E87" s="316">
        <v>2012</v>
      </c>
      <c r="F87" s="316">
        <v>2013</v>
      </c>
    </row>
    <row r="88" spans="1:6" s="321" customFormat="1" ht="10.65" customHeight="1">
      <c r="A88" s="318"/>
      <c r="B88" s="329"/>
      <c r="C88" s="329"/>
      <c r="D88" s="329"/>
      <c r="E88" s="320"/>
      <c r="F88" s="320"/>
    </row>
    <row r="89" spans="1:6">
      <c r="A89" s="325" t="s">
        <v>150</v>
      </c>
      <c r="B89" s="323">
        <v>623208.5</v>
      </c>
      <c r="C89" s="323">
        <v>625045.26</v>
      </c>
      <c r="D89" s="324">
        <v>641506.99</v>
      </c>
      <c r="E89" s="324">
        <v>496411.15</v>
      </c>
      <c r="F89" s="324">
        <v>609368.34</v>
      </c>
    </row>
    <row r="90" spans="1:6">
      <c r="A90" s="325" t="s">
        <v>152</v>
      </c>
      <c r="B90" s="326">
        <v>820013.52</v>
      </c>
      <c r="C90" s="326">
        <v>814941.65</v>
      </c>
      <c r="D90" s="327">
        <v>690994.75</v>
      </c>
      <c r="E90" s="327">
        <v>748177.5</v>
      </c>
      <c r="F90" s="327">
        <v>1086004.1499999999</v>
      </c>
    </row>
    <row r="91" spans="1:6">
      <c r="A91" s="325" t="s">
        <v>154</v>
      </c>
      <c r="B91" s="326">
        <v>468316.7</v>
      </c>
      <c r="C91" s="326">
        <v>472126.25</v>
      </c>
      <c r="D91" s="327">
        <v>403906.3</v>
      </c>
      <c r="E91" s="327">
        <v>357643.25</v>
      </c>
      <c r="F91" s="327">
        <v>447686.98999999993</v>
      </c>
    </row>
    <row r="92" spans="1:6">
      <c r="A92" s="325" t="s">
        <v>156</v>
      </c>
      <c r="B92" s="326">
        <v>699667.75</v>
      </c>
      <c r="C92" s="326">
        <v>546615</v>
      </c>
      <c r="D92" s="327">
        <v>508041.5</v>
      </c>
      <c r="E92" s="327">
        <v>508848.75</v>
      </c>
      <c r="F92" s="327">
        <v>586303.52</v>
      </c>
    </row>
    <row r="93" spans="1:6">
      <c r="A93" s="325" t="s">
        <v>158</v>
      </c>
      <c r="B93" s="326">
        <v>211521.43</v>
      </c>
      <c r="C93" s="326">
        <v>151051.25</v>
      </c>
      <c r="D93" s="327">
        <v>135411</v>
      </c>
      <c r="E93" s="327">
        <v>153634.01</v>
      </c>
      <c r="F93" s="327">
        <v>166363.89000000001</v>
      </c>
    </row>
    <row r="94" spans="1:6" ht="10.65" customHeight="1">
      <c r="A94" s="325"/>
      <c r="B94" s="326"/>
      <c r="C94" s="326"/>
      <c r="D94" s="327"/>
      <c r="E94" s="327"/>
      <c r="F94" s="327"/>
    </row>
    <row r="95" spans="1:6">
      <c r="A95" s="325" t="s">
        <v>160</v>
      </c>
      <c r="B95" s="326">
        <v>1232698.75</v>
      </c>
      <c r="C95" s="326">
        <v>1180274</v>
      </c>
      <c r="D95" s="327">
        <v>1018577.5</v>
      </c>
      <c r="E95" s="327">
        <v>1025984.5</v>
      </c>
      <c r="F95" s="327">
        <v>1281456.8300000008</v>
      </c>
    </row>
    <row r="96" spans="1:6">
      <c r="A96" s="325" t="s">
        <v>162</v>
      </c>
      <c r="B96" s="326">
        <v>434691.25</v>
      </c>
      <c r="C96" s="326">
        <v>382656.75</v>
      </c>
      <c r="D96" s="327">
        <v>290794.5</v>
      </c>
      <c r="E96" s="327">
        <v>322108.75</v>
      </c>
      <c r="F96" s="327">
        <v>418595.8200000003</v>
      </c>
    </row>
    <row r="97" spans="1:6">
      <c r="A97" s="325" t="s">
        <v>163</v>
      </c>
      <c r="B97" s="326">
        <v>246964.25</v>
      </c>
      <c r="C97" s="326">
        <v>240272.5</v>
      </c>
      <c r="D97" s="327">
        <v>197477.5</v>
      </c>
      <c r="E97" s="327">
        <v>217151.5</v>
      </c>
      <c r="F97" s="327">
        <v>221532.10000000003</v>
      </c>
    </row>
    <row r="98" spans="1:6">
      <c r="A98" s="325" t="s">
        <v>165</v>
      </c>
      <c r="B98" s="326">
        <v>791768.19</v>
      </c>
      <c r="C98" s="326">
        <v>701324.78</v>
      </c>
      <c r="D98" s="327">
        <v>722157.54</v>
      </c>
      <c r="E98" s="327">
        <v>707048.41</v>
      </c>
      <c r="F98" s="327">
        <v>754512.41999999958</v>
      </c>
    </row>
    <row r="99" spans="1:6">
      <c r="A99" s="325" t="s">
        <v>167</v>
      </c>
      <c r="B99" s="326">
        <v>1155375.71</v>
      </c>
      <c r="C99" s="326">
        <v>940374.13</v>
      </c>
      <c r="D99" s="327">
        <v>871622</v>
      </c>
      <c r="E99" s="327">
        <v>931488.26</v>
      </c>
      <c r="F99" s="327">
        <v>1053732.77</v>
      </c>
    </row>
    <row r="100" spans="1:6" ht="10.65" customHeight="1">
      <c r="A100" s="325"/>
      <c r="B100" s="326"/>
      <c r="C100" s="326"/>
      <c r="D100" s="327"/>
      <c r="E100" s="327"/>
      <c r="F100" s="327"/>
    </row>
    <row r="101" spans="1:6">
      <c r="A101" s="325" t="s">
        <v>168</v>
      </c>
      <c r="B101" s="326">
        <v>422488.25</v>
      </c>
      <c r="C101" s="326">
        <v>302992.5</v>
      </c>
      <c r="D101" s="327">
        <v>276605.25</v>
      </c>
      <c r="E101" s="327">
        <v>231958.25</v>
      </c>
      <c r="F101" s="953">
        <v>459878.08999999973</v>
      </c>
    </row>
    <row r="102" spans="1:6">
      <c r="A102" s="325" t="s">
        <v>170</v>
      </c>
      <c r="B102" s="326">
        <v>826140</v>
      </c>
      <c r="C102" s="326">
        <v>709065</v>
      </c>
      <c r="D102" s="327">
        <v>664781.18999999994</v>
      </c>
      <c r="E102" s="327">
        <v>765907.25</v>
      </c>
      <c r="F102" s="327">
        <v>756028.9499999996</v>
      </c>
    </row>
    <row r="103" spans="1:6">
      <c r="A103" s="325" t="s">
        <v>172</v>
      </c>
      <c r="B103" s="326">
        <v>27283365.379999995</v>
      </c>
      <c r="C103" s="326">
        <v>21066031.139999989</v>
      </c>
      <c r="D103" s="327">
        <v>20460092.420000009</v>
      </c>
      <c r="E103" s="327">
        <v>22379391.109999996</v>
      </c>
      <c r="F103" s="327">
        <v>28358975.490000002</v>
      </c>
    </row>
    <row r="104" spans="1:6">
      <c r="A104" s="325" t="s">
        <v>174</v>
      </c>
      <c r="B104" s="326">
        <v>588557.75</v>
      </c>
      <c r="C104" s="326">
        <v>544945.75</v>
      </c>
      <c r="D104" s="327">
        <v>523701</v>
      </c>
      <c r="E104" s="327">
        <v>552427.75</v>
      </c>
      <c r="F104" s="327">
        <v>558805.49</v>
      </c>
    </row>
    <row r="105" spans="1:6">
      <c r="A105" s="325" t="s">
        <v>176</v>
      </c>
      <c r="B105" s="326">
        <v>410209</v>
      </c>
      <c r="C105" s="326">
        <v>296775</v>
      </c>
      <c r="D105" s="327">
        <v>334808.75</v>
      </c>
      <c r="E105" s="327">
        <v>381331.75</v>
      </c>
      <c r="F105" s="327">
        <v>399826.34999999992</v>
      </c>
    </row>
    <row r="106" spans="1:6" ht="10.65" customHeight="1">
      <c r="A106" s="325"/>
      <c r="B106" s="326"/>
      <c r="C106" s="326"/>
      <c r="D106" s="327"/>
      <c r="E106" s="327"/>
      <c r="F106" s="327"/>
    </row>
    <row r="107" spans="1:6">
      <c r="A107" s="325" t="s">
        <v>178</v>
      </c>
      <c r="B107" s="326">
        <v>166592</v>
      </c>
      <c r="C107" s="326">
        <v>122116.75</v>
      </c>
      <c r="D107" s="327">
        <v>119477.5</v>
      </c>
      <c r="E107" s="327">
        <v>125356.5</v>
      </c>
      <c r="F107" s="327">
        <v>134694.15</v>
      </c>
    </row>
    <row r="108" spans="1:6">
      <c r="A108" s="325" t="s">
        <v>37</v>
      </c>
      <c r="B108" s="326">
        <v>2735264.25</v>
      </c>
      <c r="C108" s="326">
        <v>2367521.75</v>
      </c>
      <c r="D108" s="327">
        <v>2158669.5</v>
      </c>
      <c r="E108" s="327">
        <v>2473916.75</v>
      </c>
      <c r="F108" s="327">
        <v>2957850.3399999994</v>
      </c>
    </row>
    <row r="109" spans="1:6">
      <c r="A109" s="325" t="s">
        <v>180</v>
      </c>
      <c r="B109" s="326">
        <v>548508.75</v>
      </c>
      <c r="C109" s="326">
        <v>539517.25</v>
      </c>
      <c r="D109" s="327">
        <v>510819.25</v>
      </c>
      <c r="E109" s="327">
        <v>531192.65</v>
      </c>
      <c r="F109" s="327">
        <v>547679.06999999983</v>
      </c>
    </row>
    <row r="110" spans="1:6">
      <c r="A110" s="325" t="s">
        <v>181</v>
      </c>
      <c r="B110" s="326">
        <v>2946743.51</v>
      </c>
      <c r="C110" s="326">
        <v>2382388.5499999998</v>
      </c>
      <c r="D110" s="327">
        <v>2185038.71</v>
      </c>
      <c r="E110" s="327">
        <v>2234784.5099999998</v>
      </c>
      <c r="F110" s="327">
        <v>3366259.0299999993</v>
      </c>
    </row>
    <row r="111" spans="1:6">
      <c r="A111" s="325" t="s">
        <v>183</v>
      </c>
      <c r="B111" s="326">
        <v>348812.04</v>
      </c>
      <c r="C111" s="326">
        <v>230159</v>
      </c>
      <c r="D111" s="327">
        <v>324460.49</v>
      </c>
      <c r="E111" s="327">
        <v>258458.25</v>
      </c>
      <c r="F111" s="327">
        <v>235449.09</v>
      </c>
    </row>
    <row r="112" spans="1:6" ht="10.65" customHeight="1">
      <c r="A112" s="325"/>
      <c r="B112" s="326"/>
      <c r="C112" s="326"/>
      <c r="D112" s="327"/>
      <c r="E112" s="327"/>
      <c r="F112" s="327"/>
    </row>
    <row r="113" spans="1:6">
      <c r="A113" s="322" t="s">
        <v>185</v>
      </c>
      <c r="B113" s="326">
        <v>237299.14</v>
      </c>
      <c r="C113" s="326">
        <v>189178.75</v>
      </c>
      <c r="D113" s="327">
        <v>159014.5</v>
      </c>
      <c r="E113" s="327">
        <v>188789.25</v>
      </c>
      <c r="F113" s="327">
        <v>253988.49000000011</v>
      </c>
    </row>
    <row r="114" spans="1:6">
      <c r="A114" s="325" t="s">
        <v>187</v>
      </c>
      <c r="B114" s="326">
        <v>1091301.25</v>
      </c>
      <c r="C114" s="326">
        <v>1118683.75</v>
      </c>
      <c r="D114" s="327">
        <v>974668.25</v>
      </c>
      <c r="E114" s="327">
        <v>870279.75</v>
      </c>
      <c r="F114" s="327">
        <v>1147810.9400000002</v>
      </c>
    </row>
    <row r="115" spans="1:6">
      <c r="A115" s="325" t="s">
        <v>189</v>
      </c>
      <c r="B115" s="326">
        <v>309668.32</v>
      </c>
      <c r="C115" s="326">
        <v>371157.25</v>
      </c>
      <c r="D115" s="327">
        <v>244818</v>
      </c>
      <c r="E115" s="327">
        <v>323550.75</v>
      </c>
      <c r="F115" s="327">
        <v>336689.56999999995</v>
      </c>
    </row>
    <row r="116" spans="1:6">
      <c r="A116" s="325" t="s">
        <v>191</v>
      </c>
      <c r="B116" s="326">
        <v>386402.5</v>
      </c>
      <c r="C116" s="326">
        <v>346217.75</v>
      </c>
      <c r="D116" s="327">
        <v>372330.25</v>
      </c>
      <c r="E116" s="327">
        <v>299533.25</v>
      </c>
      <c r="F116" s="327">
        <v>420465.03999999986</v>
      </c>
    </row>
    <row r="117" spans="1:6">
      <c r="A117" s="325" t="s">
        <v>193</v>
      </c>
      <c r="B117" s="326">
        <v>5988757.1300000008</v>
      </c>
      <c r="C117" s="326">
        <v>4952648.25</v>
      </c>
      <c r="D117" s="327">
        <v>4702104.7</v>
      </c>
      <c r="E117" s="327">
        <v>4746370.3000000007</v>
      </c>
      <c r="F117" s="327">
        <v>6169277</v>
      </c>
    </row>
    <row r="118" spans="1:6" ht="10.65" customHeight="1">
      <c r="A118" s="325"/>
      <c r="B118" s="326"/>
      <c r="C118" s="326"/>
      <c r="D118" s="327"/>
      <c r="E118" s="327"/>
      <c r="F118" s="327"/>
    </row>
    <row r="119" spans="1:6">
      <c r="A119" s="325" t="s">
        <v>195</v>
      </c>
      <c r="B119" s="326">
        <v>6246221.0100000007</v>
      </c>
      <c r="C119" s="326">
        <v>5965715</v>
      </c>
      <c r="D119" s="327">
        <v>6065342.4800000004</v>
      </c>
      <c r="E119" s="327">
        <v>6792016.6899999995</v>
      </c>
      <c r="F119" s="327">
        <v>8179063.9900000002</v>
      </c>
    </row>
    <row r="120" spans="1:6">
      <c r="A120" s="325" t="s">
        <v>197</v>
      </c>
      <c r="B120" s="326">
        <v>150097.5</v>
      </c>
      <c r="C120" s="326">
        <v>210219.75</v>
      </c>
      <c r="D120" s="327">
        <v>123938.25</v>
      </c>
      <c r="E120" s="327">
        <v>149556</v>
      </c>
      <c r="F120" s="327">
        <v>220697.49</v>
      </c>
    </row>
    <row r="121" spans="1:6">
      <c r="A121" s="325" t="s">
        <v>199</v>
      </c>
      <c r="B121" s="326">
        <v>148318.75</v>
      </c>
      <c r="C121" s="326">
        <v>197780.35</v>
      </c>
      <c r="D121" s="327">
        <v>148055.25</v>
      </c>
      <c r="E121" s="327">
        <v>159962.75</v>
      </c>
      <c r="F121" s="327">
        <v>146107.96</v>
      </c>
    </row>
    <row r="122" spans="1:6">
      <c r="A122" s="325" t="s">
        <v>201</v>
      </c>
      <c r="B122" s="326">
        <v>554177.65</v>
      </c>
      <c r="C122" s="326">
        <v>490646.75</v>
      </c>
      <c r="D122" s="327">
        <v>657914.24</v>
      </c>
      <c r="E122" s="327">
        <v>504525.5</v>
      </c>
      <c r="F122" s="327">
        <v>626128.58000000019</v>
      </c>
    </row>
    <row r="123" spans="1:6">
      <c r="A123" s="325" t="s">
        <v>203</v>
      </c>
      <c r="B123" s="326">
        <v>1571355.9</v>
      </c>
      <c r="C123" s="326">
        <v>1264258.75</v>
      </c>
      <c r="D123" s="327">
        <v>1099602.25</v>
      </c>
      <c r="E123" s="327">
        <v>1114068.5</v>
      </c>
      <c r="F123" s="327">
        <v>1566582.3999999997</v>
      </c>
    </row>
    <row r="124" spans="1:6" ht="17.399999999999999">
      <c r="A124" s="1141" t="s">
        <v>797</v>
      </c>
      <c r="B124" s="1141"/>
      <c r="C124" s="1141"/>
      <c r="D124" s="1141"/>
    </row>
    <row r="125" spans="1:6" ht="15.6">
      <c r="A125" s="1142" t="s">
        <v>796</v>
      </c>
      <c r="B125" s="1142"/>
      <c r="C125" s="1142"/>
      <c r="D125" s="1142"/>
    </row>
    <row r="126" spans="1:6" ht="13.8" thickBot="1">
      <c r="A126" s="328"/>
      <c r="B126" s="328"/>
      <c r="C126" s="328"/>
      <c r="D126" s="328"/>
    </row>
    <row r="127" spans="1:6" ht="15" customHeight="1" thickTop="1">
      <c r="A127" s="311"/>
      <c r="B127" s="312" t="s">
        <v>44</v>
      </c>
      <c r="C127" s="312" t="s">
        <v>44</v>
      </c>
      <c r="D127" s="312" t="s">
        <v>44</v>
      </c>
      <c r="E127" s="312" t="s">
        <v>44</v>
      </c>
      <c r="F127" s="312" t="s">
        <v>44</v>
      </c>
    </row>
    <row r="128" spans="1:6">
      <c r="A128" s="315" t="s">
        <v>33</v>
      </c>
      <c r="B128" s="316">
        <v>2009</v>
      </c>
      <c r="C128" s="316">
        <v>2010</v>
      </c>
      <c r="D128" s="316">
        <v>2011</v>
      </c>
      <c r="E128" s="316">
        <v>2012</v>
      </c>
      <c r="F128" s="316">
        <v>2013</v>
      </c>
    </row>
    <row r="129" spans="1:7" s="321" customFormat="1" ht="10.65" customHeight="1">
      <c r="A129" s="318"/>
      <c r="B129" s="329"/>
      <c r="C129" s="329"/>
      <c r="D129" s="329"/>
      <c r="E129" s="320"/>
      <c r="F129" s="320"/>
    </row>
    <row r="130" spans="1:7">
      <c r="A130" s="325" t="s">
        <v>205</v>
      </c>
      <c r="B130" s="323">
        <v>1037327</v>
      </c>
      <c r="C130" s="323">
        <v>1045915</v>
      </c>
      <c r="D130" s="323">
        <v>897946.75</v>
      </c>
      <c r="E130" s="324">
        <v>1008202.5</v>
      </c>
      <c r="F130" s="324">
        <v>1284357.01</v>
      </c>
    </row>
    <row r="131" spans="1:7">
      <c r="A131" s="325" t="s">
        <v>207</v>
      </c>
      <c r="B131" s="326">
        <v>626148.5</v>
      </c>
      <c r="C131" s="326">
        <v>597991.25</v>
      </c>
      <c r="D131" s="326">
        <v>462229.75</v>
      </c>
      <c r="E131" s="327">
        <v>567638.5</v>
      </c>
      <c r="F131" s="327">
        <v>594508.19000000006</v>
      </c>
    </row>
    <row r="132" spans="1:7">
      <c r="A132" s="325" t="s">
        <v>209</v>
      </c>
      <c r="B132" s="326">
        <v>464801.99</v>
      </c>
      <c r="C132" s="326">
        <v>314696.61</v>
      </c>
      <c r="D132" s="326">
        <v>317213.71000000002</v>
      </c>
      <c r="E132" s="327">
        <v>342002.51</v>
      </c>
      <c r="F132" s="327">
        <v>302793.93999999994</v>
      </c>
    </row>
    <row r="133" spans="1:7">
      <c r="A133" s="325" t="s">
        <v>211</v>
      </c>
      <c r="B133" s="326">
        <v>461528.25</v>
      </c>
      <c r="C133" s="326">
        <v>472931.71</v>
      </c>
      <c r="D133" s="326">
        <v>422675.88</v>
      </c>
      <c r="E133" s="327">
        <v>388468.25</v>
      </c>
      <c r="F133" s="327">
        <v>652788.22</v>
      </c>
    </row>
    <row r="134" spans="1:7">
      <c r="A134" s="325" t="s">
        <v>213</v>
      </c>
      <c r="B134" s="326">
        <v>3380817.53</v>
      </c>
      <c r="C134" s="326">
        <v>3292403.26</v>
      </c>
      <c r="D134" s="326">
        <v>2519238.17</v>
      </c>
      <c r="E134" s="327">
        <v>3325893.25</v>
      </c>
      <c r="F134" s="327">
        <v>3467555.8200000008</v>
      </c>
    </row>
    <row r="135" spans="1:7" s="321" customFormat="1" ht="10.65" customHeight="1">
      <c r="A135" s="334"/>
      <c r="B135" s="334"/>
      <c r="C135" s="334"/>
      <c r="D135" s="334"/>
      <c r="E135" s="320"/>
      <c r="F135" s="320"/>
    </row>
    <row r="136" spans="1:7">
      <c r="A136" s="335" t="s">
        <v>34</v>
      </c>
      <c r="B136" s="336">
        <f>SUM(B7:B41,B48:B82,B89:B123,B130:B134)</f>
        <v>249599166.72</v>
      </c>
      <c r="C136" s="336">
        <f t="shared" ref="C136:D136" si="0">SUM(C7:C41,C48:C82,C89:C123,C130:C134)</f>
        <v>234158970.87000003</v>
      </c>
      <c r="D136" s="336">
        <f t="shared" si="0"/>
        <v>238192056.26000005</v>
      </c>
      <c r="E136" s="336">
        <f>SUM(E7:E41,E48:E82,E89:E123,E130:E134)</f>
        <v>264674507.84999996</v>
      </c>
      <c r="F136" s="336">
        <f>SUM(F7:F41,F48:F82,F89:F123,F130:F134)</f>
        <v>310761252.65999991</v>
      </c>
    </row>
    <row r="137" spans="1:7" ht="13.8" thickBot="1">
      <c r="A137" s="337"/>
      <c r="B137" s="338"/>
      <c r="C137" s="338"/>
      <c r="D137" s="338"/>
    </row>
    <row r="138" spans="1:7" ht="15" customHeight="1" thickTop="1">
      <c r="A138" s="311"/>
      <c r="B138" s="312" t="s">
        <v>44</v>
      </c>
      <c r="C138" s="312" t="s">
        <v>44</v>
      </c>
      <c r="D138" s="312" t="s">
        <v>44</v>
      </c>
      <c r="E138" s="312" t="s">
        <v>44</v>
      </c>
      <c r="F138" s="312" t="s">
        <v>44</v>
      </c>
    </row>
    <row r="139" spans="1:7">
      <c r="A139" s="315" t="s">
        <v>35</v>
      </c>
      <c r="B139" s="316">
        <v>2009</v>
      </c>
      <c r="C139" s="316">
        <v>2010</v>
      </c>
      <c r="D139" s="316">
        <v>2011</v>
      </c>
      <c r="E139" s="316">
        <v>2012</v>
      </c>
      <c r="F139" s="316">
        <v>2013</v>
      </c>
    </row>
    <row r="140" spans="1:7" s="321" customFormat="1" ht="10.65" customHeight="1">
      <c r="A140" s="318"/>
      <c r="B140" s="319"/>
      <c r="C140" s="319"/>
      <c r="D140" s="319"/>
      <c r="E140" s="320"/>
      <c r="F140" s="320"/>
    </row>
    <row r="141" spans="1:7">
      <c r="A141" s="322" t="s">
        <v>218</v>
      </c>
      <c r="B141" s="323">
        <v>8728058.4499999993</v>
      </c>
      <c r="C141" s="323">
        <v>9037545.7599999998</v>
      </c>
      <c r="D141" s="323">
        <v>10070974.75</v>
      </c>
      <c r="E141" s="895">
        <v>13951172.439999999</v>
      </c>
      <c r="F141" s="895">
        <v>16230296.279999999</v>
      </c>
      <c r="G141" s="894"/>
    </row>
    <row r="142" spans="1:7">
      <c r="A142" s="325" t="s">
        <v>556</v>
      </c>
      <c r="B142" s="326">
        <v>110518.75</v>
      </c>
      <c r="C142" s="326">
        <v>106700.75</v>
      </c>
      <c r="D142" s="326">
        <v>77282</v>
      </c>
      <c r="E142" s="327">
        <v>93829</v>
      </c>
      <c r="F142" s="327">
        <v>101153.74999999999</v>
      </c>
    </row>
    <row r="143" spans="1:7">
      <c r="A143" s="325" t="s">
        <v>220</v>
      </c>
      <c r="B143" s="326">
        <v>309817.25</v>
      </c>
      <c r="C143" s="326">
        <v>270451.5</v>
      </c>
      <c r="D143" s="326">
        <v>298980.5</v>
      </c>
      <c r="E143" s="327">
        <v>340318</v>
      </c>
      <c r="F143" s="327">
        <v>349881.30000000005</v>
      </c>
    </row>
    <row r="144" spans="1:7">
      <c r="A144" s="325" t="s">
        <v>222</v>
      </c>
      <c r="B144" s="326">
        <v>96061.25</v>
      </c>
      <c r="C144" s="326">
        <v>102581.25</v>
      </c>
      <c r="D144" s="326">
        <v>80767.539999999994</v>
      </c>
      <c r="E144" s="327">
        <v>58999</v>
      </c>
      <c r="F144" s="327">
        <v>82155.959999999977</v>
      </c>
    </row>
    <row r="145" spans="1:16">
      <c r="A145" s="325" t="s">
        <v>224</v>
      </c>
      <c r="B145" s="326">
        <v>1528731.25</v>
      </c>
      <c r="C145" s="326">
        <v>1342616.75</v>
      </c>
      <c r="D145" s="326">
        <v>1495529.5</v>
      </c>
      <c r="E145" s="327">
        <v>1703713.45</v>
      </c>
      <c r="F145" s="327">
        <v>2001913.4700000004</v>
      </c>
    </row>
    <row r="146" spans="1:16" ht="10.65" customHeight="1">
      <c r="A146" s="325"/>
      <c r="B146" s="326"/>
      <c r="C146" s="326"/>
      <c r="D146" s="326"/>
      <c r="E146" s="327"/>
      <c r="F146" s="327"/>
    </row>
    <row r="147" spans="1:16">
      <c r="A147" s="325" t="s">
        <v>169</v>
      </c>
      <c r="B147" s="326">
        <v>9397549.5999999996</v>
      </c>
      <c r="C147" s="326">
        <v>8732274.0700000003</v>
      </c>
      <c r="D147" s="326">
        <v>8267914.2199999997</v>
      </c>
      <c r="E147" s="893">
        <v>9030178.2599999998</v>
      </c>
      <c r="F147" s="893">
        <v>10204743.209999999</v>
      </c>
      <c r="G147" s="347"/>
    </row>
    <row r="148" spans="1:16">
      <c r="A148" s="325" t="s">
        <v>171</v>
      </c>
      <c r="B148" s="326">
        <v>416202</v>
      </c>
      <c r="C148" s="326">
        <v>325716.25</v>
      </c>
      <c r="D148" s="326">
        <v>299586.75</v>
      </c>
      <c r="E148" s="893">
        <v>464823.25</v>
      </c>
      <c r="F148" s="893">
        <v>470882.23</v>
      </c>
      <c r="G148" s="894"/>
    </row>
    <row r="149" spans="1:16">
      <c r="A149" s="325" t="s">
        <v>615</v>
      </c>
      <c r="B149" s="326">
        <v>53528.75</v>
      </c>
      <c r="C149" s="346">
        <v>43242.75</v>
      </c>
      <c r="D149" s="346">
        <v>44179.75</v>
      </c>
      <c r="E149" s="893">
        <v>59717</v>
      </c>
      <c r="F149" s="893">
        <v>56803.07</v>
      </c>
      <c r="G149" s="894"/>
      <c r="H149" s="896"/>
      <c r="I149" s="347"/>
      <c r="J149" s="347"/>
      <c r="K149" s="347"/>
      <c r="L149" s="347"/>
      <c r="M149" s="347"/>
      <c r="N149" s="347"/>
      <c r="O149" s="347"/>
      <c r="P149" s="347"/>
    </row>
    <row r="150" spans="1:16">
      <c r="A150" s="325" t="s">
        <v>175</v>
      </c>
      <c r="B150" s="326">
        <v>623562.5</v>
      </c>
      <c r="C150" s="326">
        <v>603184</v>
      </c>
      <c r="D150" s="326">
        <v>466293</v>
      </c>
      <c r="E150" s="327">
        <v>550921.75</v>
      </c>
      <c r="F150" s="327">
        <v>577584.84999999986</v>
      </c>
    </row>
    <row r="151" spans="1:16">
      <c r="A151" s="345" t="s">
        <v>621</v>
      </c>
      <c r="B151" s="346">
        <v>57915.5</v>
      </c>
      <c r="C151" s="346">
        <v>100057.75</v>
      </c>
      <c r="D151" s="346">
        <v>36957.25</v>
      </c>
      <c r="E151" s="893">
        <v>71462.5</v>
      </c>
      <c r="F151" s="893">
        <v>60478.840000000004</v>
      </c>
      <c r="G151" s="894"/>
      <c r="H151" s="896"/>
      <c r="I151" s="347"/>
      <c r="J151" s="347"/>
    </row>
    <row r="152" spans="1:16" ht="10.65" customHeight="1">
      <c r="A152" s="325"/>
      <c r="B152" s="326"/>
      <c r="C152" s="326"/>
      <c r="D152" s="326"/>
      <c r="E152" s="327"/>
      <c r="F152" s="327"/>
      <c r="G152" s="347"/>
      <c r="H152" s="347"/>
      <c r="I152" s="347"/>
      <c r="J152" s="347"/>
    </row>
    <row r="153" spans="1:16">
      <c r="A153" s="325" t="s">
        <v>616</v>
      </c>
      <c r="B153" s="326">
        <v>942332.21</v>
      </c>
      <c r="C153" s="326">
        <v>1031278.38</v>
      </c>
      <c r="D153" s="326">
        <v>1071906.45</v>
      </c>
      <c r="E153" s="893">
        <v>1686308.2399999998</v>
      </c>
      <c r="F153" s="893">
        <v>1385399.07</v>
      </c>
      <c r="G153" s="894"/>
      <c r="H153" s="347"/>
      <c r="I153" s="347"/>
      <c r="J153" s="347"/>
    </row>
    <row r="154" spans="1:16">
      <c r="A154" s="339" t="s">
        <v>626</v>
      </c>
      <c r="B154" s="326">
        <v>951451.34</v>
      </c>
      <c r="C154" s="326">
        <v>996837.3</v>
      </c>
      <c r="D154" s="326">
        <v>1028500.5</v>
      </c>
      <c r="E154" s="327">
        <v>1352752.55</v>
      </c>
      <c r="F154" s="327">
        <v>1668771.75</v>
      </c>
      <c r="G154" s="347"/>
      <c r="H154" s="347"/>
      <c r="I154" s="347"/>
      <c r="J154" s="347"/>
    </row>
    <row r="155" spans="1:16">
      <c r="A155" s="325" t="s">
        <v>627</v>
      </c>
      <c r="B155" s="326">
        <v>184433.75</v>
      </c>
      <c r="C155" s="326">
        <v>97420.75</v>
      </c>
      <c r="D155" s="326">
        <v>112738</v>
      </c>
      <c r="E155" s="327">
        <v>112095.5</v>
      </c>
      <c r="F155" s="327">
        <v>105145.59000000001</v>
      </c>
      <c r="G155" s="347"/>
      <c r="H155" s="347"/>
      <c r="I155" s="347"/>
      <c r="J155" s="347"/>
    </row>
    <row r="156" spans="1:16">
      <c r="A156" s="325" t="s">
        <v>182</v>
      </c>
      <c r="B156" s="326">
        <v>1228501.25</v>
      </c>
      <c r="C156" s="326">
        <v>1101534.75</v>
      </c>
      <c r="D156" s="326">
        <v>1266329.7</v>
      </c>
      <c r="E156" s="327">
        <v>1080318.25</v>
      </c>
      <c r="F156" s="327">
        <v>1141994.2800000005</v>
      </c>
      <c r="G156" s="347"/>
      <c r="H156" s="347"/>
      <c r="I156" s="347"/>
      <c r="J156" s="347"/>
    </row>
    <row r="157" spans="1:16">
      <c r="A157" s="325" t="s">
        <v>634</v>
      </c>
      <c r="B157" s="326">
        <v>67225.75</v>
      </c>
      <c r="C157" s="326">
        <v>74611</v>
      </c>
      <c r="D157" s="346">
        <v>68057</v>
      </c>
      <c r="E157" s="893">
        <v>96582.75</v>
      </c>
      <c r="F157" s="953">
        <v>163304.93000000002</v>
      </c>
      <c r="G157" s="894"/>
      <c r="H157" s="896"/>
      <c r="I157" s="347"/>
      <c r="J157" s="347"/>
    </row>
    <row r="158" spans="1:16" ht="10.65" customHeight="1">
      <c r="A158" s="325"/>
      <c r="B158" s="326"/>
      <c r="C158" s="326"/>
      <c r="D158" s="326"/>
      <c r="E158" s="327"/>
      <c r="F158" s="327"/>
    </row>
    <row r="159" spans="1:16">
      <c r="A159" s="325" t="s">
        <v>186</v>
      </c>
      <c r="B159" s="326">
        <v>3584531.3</v>
      </c>
      <c r="C159" s="326">
        <v>3390825.66</v>
      </c>
      <c r="D159" s="326">
        <v>2789753.66</v>
      </c>
      <c r="E159" s="327">
        <v>2899754.37</v>
      </c>
      <c r="F159" s="327">
        <v>4067226.16</v>
      </c>
    </row>
    <row r="160" spans="1:16">
      <c r="A160" s="325" t="s">
        <v>638</v>
      </c>
      <c r="B160" s="326">
        <v>1065004.5</v>
      </c>
      <c r="C160" s="326">
        <v>838107.06</v>
      </c>
      <c r="D160" s="326">
        <v>1059799.47</v>
      </c>
      <c r="E160" s="327">
        <v>747986.06</v>
      </c>
      <c r="F160" s="327">
        <v>1039172.89</v>
      </c>
    </row>
    <row r="161" spans="1:8">
      <c r="A161" s="325" t="s">
        <v>190</v>
      </c>
      <c r="B161" s="326">
        <v>511521.55</v>
      </c>
      <c r="C161" s="326">
        <v>317384.5</v>
      </c>
      <c r="D161" s="326">
        <v>284366.5</v>
      </c>
      <c r="E161" s="327">
        <v>292357.2</v>
      </c>
      <c r="F161" s="327">
        <v>396518.25</v>
      </c>
    </row>
    <row r="162" spans="1:8">
      <c r="A162" s="325" t="s">
        <v>644</v>
      </c>
      <c r="B162" s="326">
        <v>128164.25</v>
      </c>
      <c r="C162" s="326">
        <v>127819.75</v>
      </c>
      <c r="D162" s="326">
        <v>128941</v>
      </c>
      <c r="E162" s="327">
        <v>122514.35</v>
      </c>
      <c r="F162" s="327">
        <v>158618.00999999998</v>
      </c>
    </row>
    <row r="163" spans="1:8">
      <c r="A163" s="322" t="s">
        <v>194</v>
      </c>
      <c r="B163" s="326">
        <v>1514609.25</v>
      </c>
      <c r="C163" s="326">
        <v>1653025.75</v>
      </c>
      <c r="D163" s="326">
        <v>1213886</v>
      </c>
      <c r="E163" s="327">
        <v>1489592.25</v>
      </c>
      <c r="F163" s="327">
        <v>1805320.7199999995</v>
      </c>
    </row>
    <row r="164" spans="1:8" ht="17.399999999999999">
      <c r="A164" s="1141" t="s">
        <v>797</v>
      </c>
      <c r="B164" s="1141"/>
      <c r="C164" s="1141"/>
      <c r="D164" s="1141"/>
      <c r="E164" s="295"/>
    </row>
    <row r="165" spans="1:8" ht="15.6">
      <c r="A165" s="1142" t="s">
        <v>796</v>
      </c>
      <c r="B165" s="1142"/>
      <c r="C165" s="1142"/>
      <c r="D165" s="1142"/>
    </row>
    <row r="166" spans="1:8" ht="13.8" thickBot="1">
      <c r="A166" s="328"/>
      <c r="B166" s="328"/>
      <c r="C166" s="328"/>
      <c r="D166" s="328"/>
    </row>
    <row r="167" spans="1:8" ht="15" customHeight="1" thickTop="1">
      <c r="A167" s="311"/>
      <c r="B167" s="312" t="s">
        <v>44</v>
      </c>
      <c r="C167" s="312" t="s">
        <v>44</v>
      </c>
      <c r="D167" s="312" t="s">
        <v>44</v>
      </c>
      <c r="E167" s="312" t="s">
        <v>44</v>
      </c>
      <c r="F167" s="312" t="s">
        <v>44</v>
      </c>
    </row>
    <row r="168" spans="1:8">
      <c r="A168" s="315" t="s">
        <v>35</v>
      </c>
      <c r="B168" s="316">
        <v>2009</v>
      </c>
      <c r="C168" s="316">
        <v>2010</v>
      </c>
      <c r="D168" s="316">
        <v>2011</v>
      </c>
      <c r="E168" s="316">
        <v>2012</v>
      </c>
      <c r="F168" s="316">
        <v>2013</v>
      </c>
    </row>
    <row r="169" spans="1:8" s="321" customFormat="1" ht="10.65" customHeight="1">
      <c r="A169" s="318"/>
      <c r="B169" s="319"/>
      <c r="C169" s="319"/>
      <c r="D169" s="319"/>
      <c r="E169" s="320"/>
      <c r="F169" s="320"/>
    </row>
    <row r="170" spans="1:8">
      <c r="A170" s="325" t="s">
        <v>523</v>
      </c>
      <c r="B170" s="323">
        <v>2140411.7599999998</v>
      </c>
      <c r="C170" s="323">
        <v>1195003.18</v>
      </c>
      <c r="D170" s="324">
        <v>947589.5</v>
      </c>
      <c r="E170" s="324">
        <v>1090288.57</v>
      </c>
      <c r="F170" s="324">
        <v>1369940.76</v>
      </c>
      <c r="G170" s="897"/>
    </row>
    <row r="171" spans="1:8">
      <c r="A171" s="325" t="s">
        <v>527</v>
      </c>
      <c r="B171" s="326">
        <v>1006434.43</v>
      </c>
      <c r="C171" s="326">
        <v>482561.3</v>
      </c>
      <c r="D171" s="327">
        <v>628648.46</v>
      </c>
      <c r="E171" s="327">
        <v>480301.99999999994</v>
      </c>
      <c r="F171" s="327">
        <v>389204.29999999993</v>
      </c>
    </row>
    <row r="172" spans="1:8">
      <c r="A172" s="325" t="s">
        <v>200</v>
      </c>
      <c r="B172" s="326">
        <v>157172.23000000001</v>
      </c>
      <c r="C172" s="346">
        <v>130536.5</v>
      </c>
      <c r="D172" s="893">
        <v>131656</v>
      </c>
      <c r="E172" s="893">
        <f>251456.75-G168</f>
        <v>251456.75</v>
      </c>
      <c r="F172" s="893">
        <v>146202.86000000002</v>
      </c>
      <c r="G172" s="900"/>
      <c r="H172" s="896"/>
    </row>
    <row r="173" spans="1:8">
      <c r="A173" s="325" t="s">
        <v>202</v>
      </c>
      <c r="B173" s="326">
        <v>4667266.53</v>
      </c>
      <c r="C173" s="326">
        <v>3878448.4</v>
      </c>
      <c r="D173" s="327">
        <v>4237084.38</v>
      </c>
      <c r="E173" s="327">
        <v>3535570.88</v>
      </c>
      <c r="F173" s="327">
        <v>4499645.8900000006</v>
      </c>
    </row>
    <row r="174" spans="1:8">
      <c r="A174" s="325" t="s">
        <v>204</v>
      </c>
      <c r="B174" s="326">
        <v>6779537.3399999999</v>
      </c>
      <c r="C174" s="326">
        <v>5456506.1899999995</v>
      </c>
      <c r="D174" s="327">
        <v>5474065.0899999999</v>
      </c>
      <c r="E174" s="327">
        <v>5772435.8499999996</v>
      </c>
      <c r="F174" s="327">
        <v>6387874.5699999984</v>
      </c>
    </row>
    <row r="175" spans="1:8" ht="10.65" customHeight="1">
      <c r="A175" s="325"/>
      <c r="B175" s="326"/>
      <c r="C175" s="326"/>
      <c r="D175" s="327"/>
      <c r="E175" s="327"/>
      <c r="F175" s="327"/>
    </row>
    <row r="176" spans="1:8">
      <c r="A176" s="325" t="s">
        <v>543</v>
      </c>
      <c r="B176" s="326">
        <v>68396.75</v>
      </c>
      <c r="C176" s="326">
        <v>60438.25</v>
      </c>
      <c r="D176" s="327">
        <v>86218.25</v>
      </c>
      <c r="E176" s="893">
        <v>51722.5</v>
      </c>
      <c r="F176" s="893">
        <v>44206.539999999994</v>
      </c>
      <c r="G176" s="894"/>
    </row>
    <row r="177" spans="1:6">
      <c r="A177" s="325" t="s">
        <v>208</v>
      </c>
      <c r="B177" s="326">
        <v>630051.85</v>
      </c>
      <c r="C177" s="326">
        <v>539261.75</v>
      </c>
      <c r="D177" s="327">
        <v>507166.5</v>
      </c>
      <c r="E177" s="327">
        <v>429769.72</v>
      </c>
      <c r="F177" s="327">
        <v>465212.24999999994</v>
      </c>
    </row>
    <row r="178" spans="1:6">
      <c r="A178" s="325" t="s">
        <v>551</v>
      </c>
      <c r="B178" s="326">
        <v>483595.5</v>
      </c>
      <c r="C178" s="326">
        <v>423490.53</v>
      </c>
      <c r="D178" s="327">
        <v>382766.33</v>
      </c>
      <c r="E178" s="327">
        <v>373973.75</v>
      </c>
      <c r="F178" s="327">
        <v>489774.26999999996</v>
      </c>
    </row>
    <row r="179" spans="1:6">
      <c r="A179" s="325" t="s">
        <v>212</v>
      </c>
      <c r="B179" s="326">
        <v>2502484.25</v>
      </c>
      <c r="C179" s="326">
        <v>2621949.44</v>
      </c>
      <c r="D179" s="327">
        <v>2062152.64</v>
      </c>
      <c r="E179" s="327">
        <v>1895262.25</v>
      </c>
      <c r="F179" s="327">
        <v>2351970.4200000004</v>
      </c>
    </row>
    <row r="180" spans="1:6">
      <c r="A180" s="325" t="s">
        <v>214</v>
      </c>
      <c r="B180" s="326">
        <v>261217.61</v>
      </c>
      <c r="C180" s="326">
        <v>193752</v>
      </c>
      <c r="D180" s="327">
        <v>241304.56</v>
      </c>
      <c r="E180" s="327">
        <v>256603.49</v>
      </c>
      <c r="F180" s="327">
        <v>374178.23999999993</v>
      </c>
    </row>
    <row r="181" spans="1:6" ht="10.65" customHeight="1">
      <c r="A181" s="325"/>
      <c r="B181" s="326"/>
      <c r="C181" s="326"/>
      <c r="D181" s="327"/>
      <c r="E181" s="327"/>
      <c r="F181" s="327"/>
    </row>
    <row r="182" spans="1:6">
      <c r="A182" s="325" t="s">
        <v>178</v>
      </c>
      <c r="B182" s="326">
        <v>6428535.1500000004</v>
      </c>
      <c r="C182" s="326">
        <v>5907596.0099999998</v>
      </c>
      <c r="D182" s="327">
        <v>5447032.5700000003</v>
      </c>
      <c r="E182" s="327">
        <v>5952106.1200000001</v>
      </c>
      <c r="F182" s="327">
        <v>7473610.0800000029</v>
      </c>
    </row>
    <row r="183" spans="1:6">
      <c r="A183" s="325" t="s">
        <v>37</v>
      </c>
      <c r="B183" s="326">
        <v>2003591.75</v>
      </c>
      <c r="C183" s="326">
        <v>1896074.5</v>
      </c>
      <c r="D183" s="327">
        <v>1857871.25</v>
      </c>
      <c r="E183" s="327">
        <v>2197399.5</v>
      </c>
      <c r="F183" s="327">
        <v>2342413.9799999995</v>
      </c>
    </row>
    <row r="184" spans="1:6">
      <c r="A184" s="325" t="s">
        <v>215</v>
      </c>
      <c r="B184" s="326">
        <v>794094.93</v>
      </c>
      <c r="C184" s="326">
        <v>506190.75</v>
      </c>
      <c r="D184" s="327">
        <v>530991.5</v>
      </c>
      <c r="E184" s="327">
        <v>559072.22</v>
      </c>
      <c r="F184" s="327">
        <v>602188.50000000023</v>
      </c>
    </row>
    <row r="185" spans="1:6">
      <c r="A185" s="325" t="s">
        <v>216</v>
      </c>
      <c r="B185" s="326">
        <v>834220.65</v>
      </c>
      <c r="C185" s="326">
        <v>480353</v>
      </c>
      <c r="D185" s="327">
        <v>428228.25</v>
      </c>
      <c r="E185" s="327">
        <v>484228.5</v>
      </c>
      <c r="F185" s="327">
        <v>527427.8600000001</v>
      </c>
    </row>
    <row r="186" spans="1:6">
      <c r="A186" s="325" t="s">
        <v>217</v>
      </c>
      <c r="B186" s="326">
        <v>3992828.77</v>
      </c>
      <c r="C186" s="326">
        <v>3413693.25</v>
      </c>
      <c r="D186" s="327">
        <v>2783825.41</v>
      </c>
      <c r="E186" s="327">
        <v>3115428.45</v>
      </c>
      <c r="F186" s="327">
        <v>3870429.6999999983</v>
      </c>
    </row>
    <row r="187" spans="1:6" ht="10.65" customHeight="1">
      <c r="A187" s="325"/>
      <c r="B187" s="326"/>
      <c r="C187" s="326"/>
      <c r="D187" s="327"/>
      <c r="E187" s="327"/>
      <c r="F187" s="327"/>
    </row>
    <row r="188" spans="1:6">
      <c r="A188" s="325" t="s">
        <v>799</v>
      </c>
      <c r="B188" s="326">
        <v>18264917.940000001</v>
      </c>
      <c r="C188" s="326">
        <v>17270240.399999999</v>
      </c>
      <c r="D188" s="327">
        <v>16119231.449999999</v>
      </c>
      <c r="E188" s="327">
        <v>17433858.550000001</v>
      </c>
      <c r="F188" s="327">
        <v>21127811.679999992</v>
      </c>
    </row>
    <row r="189" spans="1:6">
      <c r="A189" s="325" t="s">
        <v>219</v>
      </c>
      <c r="B189" s="326">
        <v>772424.5</v>
      </c>
      <c r="C189" s="326">
        <v>543351.25</v>
      </c>
      <c r="D189" s="327">
        <v>465381.75</v>
      </c>
      <c r="E189" s="327">
        <v>372254</v>
      </c>
      <c r="F189" s="327">
        <v>552568.51999999979</v>
      </c>
    </row>
    <row r="190" spans="1:6">
      <c r="A190" s="325" t="s">
        <v>587</v>
      </c>
      <c r="B190" s="326">
        <v>467201.75</v>
      </c>
      <c r="C190" s="326">
        <v>371388.15999999997</v>
      </c>
      <c r="D190" s="327">
        <v>385675</v>
      </c>
      <c r="E190" s="327">
        <v>477788.25</v>
      </c>
      <c r="F190" s="327">
        <v>501531.04999999877</v>
      </c>
    </row>
    <row r="191" spans="1:6">
      <c r="A191" s="325" t="s">
        <v>223</v>
      </c>
      <c r="B191" s="326">
        <v>881126.75</v>
      </c>
      <c r="C191" s="326">
        <v>783194.5</v>
      </c>
      <c r="D191" s="327">
        <v>680316.75</v>
      </c>
      <c r="E191" s="327">
        <v>902585.35000000009</v>
      </c>
      <c r="F191" s="327">
        <v>826336.00999999989</v>
      </c>
    </row>
    <row r="192" spans="1:6" s="321" customFormat="1" ht="10.65" customHeight="1">
      <c r="A192" s="334"/>
      <c r="B192" s="334"/>
      <c r="E192" s="320"/>
      <c r="F192" s="320"/>
    </row>
    <row r="193" spans="1:6">
      <c r="A193" s="335" t="s">
        <v>39</v>
      </c>
      <c r="B193" s="336">
        <f>SUM(B141:B163,B170:B191)</f>
        <v>84635230.890000001</v>
      </c>
      <c r="C193" s="336">
        <f t="shared" ref="C193:D193" si="1">SUM(C141:C163,C170:C191)</f>
        <v>76447245.089999989</v>
      </c>
      <c r="D193" s="336">
        <f t="shared" si="1"/>
        <v>73559949.180000007</v>
      </c>
      <c r="E193" s="336">
        <f>SUM(E141:E163,E170:E191)</f>
        <v>81837502.870000005</v>
      </c>
      <c r="F193" s="336">
        <f>SUM(F141:F163,F170:F191)</f>
        <v>96409892.089999989</v>
      </c>
    </row>
    <row r="194" spans="1:6">
      <c r="A194" s="335" t="s">
        <v>34</v>
      </c>
      <c r="B194" s="336">
        <f>SUM(B7:B41,B48:B82,B89:B123,B130:B134)</f>
        <v>249599166.72</v>
      </c>
      <c r="C194" s="336">
        <f>SUM(C7:C41,C48:C82,C89:C123,C130:C134)</f>
        <v>234158970.87000003</v>
      </c>
      <c r="D194" s="336">
        <f>SUM(D7:D41,D48:D82,D89:D123,D130:D134)</f>
        <v>238192056.26000005</v>
      </c>
      <c r="E194" s="336">
        <f>SUM(E7:E41,E48:E82,E89:E123,E130:E134)</f>
        <v>264674507.84999996</v>
      </c>
      <c r="F194" s="336">
        <f>SUM(F7:F41,F48:F82,F89:F123,F130:F134)</f>
        <v>310761252.65999991</v>
      </c>
    </row>
    <row r="195" spans="1:6">
      <c r="B195" s="340"/>
      <c r="C195" s="341"/>
      <c r="D195" s="341"/>
      <c r="E195" s="342"/>
      <c r="F195" s="342"/>
    </row>
    <row r="196" spans="1:6">
      <c r="A196" s="335" t="s">
        <v>40</v>
      </c>
      <c r="B196" s="336">
        <f>SUM(B193:B194)</f>
        <v>334234397.61000001</v>
      </c>
      <c r="C196" s="336">
        <f t="shared" ref="C196:D196" si="2">SUM(C193:C194)</f>
        <v>310606215.96000004</v>
      </c>
      <c r="D196" s="336">
        <f t="shared" si="2"/>
        <v>311752005.44000006</v>
      </c>
      <c r="E196" s="336">
        <f>SUM(E193:E194)</f>
        <v>346512010.71999997</v>
      </c>
      <c r="F196" s="336">
        <f>SUM(F193:F194)</f>
        <v>407171144.74999988</v>
      </c>
    </row>
    <row r="197" spans="1:6">
      <c r="A197" s="343"/>
      <c r="B197" s="344"/>
      <c r="C197" s="344"/>
      <c r="D197" s="344"/>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8">
    <mergeCell ref="A164:D164"/>
    <mergeCell ref="A165:D165"/>
    <mergeCell ref="A42:D42"/>
    <mergeCell ref="A43:D43"/>
    <mergeCell ref="A83:D83"/>
    <mergeCell ref="A84:D84"/>
    <mergeCell ref="A124:D124"/>
    <mergeCell ref="A125:D125"/>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3" max="16383" man="1"/>
  </rowBreaks>
</worksheet>
</file>

<file path=xl/worksheets/sheet25.xml><?xml version="1.0" encoding="utf-8"?>
<worksheet xmlns="http://schemas.openxmlformats.org/spreadsheetml/2006/main" xmlns:r="http://schemas.openxmlformats.org/officeDocument/2006/relationships">
  <sheetPr codeName="Sheet25"/>
  <dimension ref="A1:N114"/>
  <sheetViews>
    <sheetView zoomScaleNormal="100" workbookViewId="0"/>
  </sheetViews>
  <sheetFormatPr defaultColWidth="9.109375" defaultRowHeight="13.2"/>
  <cols>
    <col min="1" max="1" width="30.44140625" style="286" customWidth="1"/>
    <col min="2" max="2" width="21.33203125" style="286" bestFit="1" customWidth="1"/>
    <col min="3" max="3" width="6.109375" style="286" customWidth="1"/>
    <col min="4" max="4" width="26.33203125" style="286" bestFit="1" customWidth="1"/>
    <col min="5" max="5" width="19.44140625" style="286" bestFit="1" customWidth="1"/>
    <col min="6" max="6" width="6.109375" style="287" customWidth="1"/>
    <col min="7" max="7" width="24" style="286" bestFit="1" customWidth="1"/>
    <col min="8" max="8" width="19.44140625" style="286" bestFit="1" customWidth="1"/>
    <col min="9" max="9" width="6.109375" style="286" customWidth="1"/>
    <col min="10" max="10" width="23.44140625" style="286" bestFit="1" customWidth="1"/>
    <col min="11" max="11" width="20.33203125" style="286" bestFit="1" customWidth="1"/>
    <col min="12" max="12" width="2.44140625" style="286" customWidth="1"/>
    <col min="13" max="13" width="16" style="286" bestFit="1" customWidth="1"/>
    <col min="14" max="16384" width="9.109375" style="286"/>
  </cols>
  <sheetData>
    <row r="1" spans="1:13" ht="17.399999999999999">
      <c r="A1" s="284" t="s">
        <v>518</v>
      </c>
      <c r="B1" s="285"/>
    </row>
    <row r="2" spans="1:13" ht="15.6">
      <c r="A2" s="288" t="s">
        <v>1101</v>
      </c>
      <c r="B2" s="285"/>
    </row>
    <row r="3" spans="1:13" ht="13.8" thickBot="1">
      <c r="A3" s="289"/>
      <c r="B3" s="285"/>
    </row>
    <row r="4" spans="1:13">
      <c r="A4" s="290"/>
      <c r="B4" s="291"/>
      <c r="D4" s="290"/>
      <c r="E4" s="291"/>
      <c r="G4" s="290"/>
      <c r="H4" s="291"/>
      <c r="J4" s="290"/>
      <c r="K4" s="291"/>
    </row>
    <row r="5" spans="1:13">
      <c r="A5" s="292" t="s">
        <v>33</v>
      </c>
      <c r="B5" s="293" t="s">
        <v>519</v>
      </c>
      <c r="D5" s="292" t="s">
        <v>33</v>
      </c>
      <c r="E5" s="293" t="s">
        <v>519</v>
      </c>
      <c r="G5" s="292" t="s">
        <v>33</v>
      </c>
      <c r="H5" s="293" t="s">
        <v>519</v>
      </c>
      <c r="J5" s="292" t="s">
        <v>35</v>
      </c>
      <c r="K5" s="293" t="s">
        <v>519</v>
      </c>
    </row>
    <row r="6" spans="1:13">
      <c r="A6" s="287" t="s">
        <v>520</v>
      </c>
      <c r="B6" s="920">
        <v>1064978.58</v>
      </c>
      <c r="C6" s="294"/>
      <c r="D6" s="287" t="s">
        <v>521</v>
      </c>
      <c r="E6" s="920">
        <v>1203621.07</v>
      </c>
      <c r="F6" s="294"/>
      <c r="G6" s="287" t="s">
        <v>522</v>
      </c>
      <c r="H6" s="920">
        <v>803101.7</v>
      </c>
      <c r="I6" s="294"/>
      <c r="J6" s="287" t="s">
        <v>523</v>
      </c>
      <c r="K6" s="920">
        <v>2990110.01</v>
      </c>
      <c r="L6" s="294"/>
      <c r="M6" s="295"/>
    </row>
    <row r="7" spans="1:13">
      <c r="A7" s="287" t="s">
        <v>524</v>
      </c>
      <c r="B7" s="294">
        <v>4797251.3899999997</v>
      </c>
      <c r="C7" s="294"/>
      <c r="D7" s="287" t="s">
        <v>525</v>
      </c>
      <c r="E7" s="294">
        <v>5157219.88</v>
      </c>
      <c r="F7" s="294"/>
      <c r="G7" s="287" t="s">
        <v>526</v>
      </c>
      <c r="H7" s="294">
        <v>1235603.1300000001</v>
      </c>
      <c r="I7" s="294"/>
      <c r="J7" s="287" t="s">
        <v>527</v>
      </c>
      <c r="K7" s="294">
        <v>757540.56</v>
      </c>
      <c r="L7" s="294"/>
      <c r="M7" s="295"/>
    </row>
    <row r="8" spans="1:13">
      <c r="A8" s="287" t="s">
        <v>528</v>
      </c>
      <c r="B8" s="294">
        <v>428986.36</v>
      </c>
      <c r="C8" s="294"/>
      <c r="D8" s="287" t="s">
        <v>529</v>
      </c>
      <c r="E8" s="294">
        <v>13620166.439999999</v>
      </c>
      <c r="F8" s="294"/>
      <c r="G8" s="287" t="s">
        <v>530</v>
      </c>
      <c r="H8" s="294">
        <v>609683.57999999996</v>
      </c>
      <c r="I8" s="294"/>
      <c r="J8" s="287" t="s">
        <v>531</v>
      </c>
      <c r="K8" s="294">
        <v>941583.84</v>
      </c>
      <c r="L8" s="294"/>
      <c r="M8" s="295"/>
    </row>
    <row r="9" spans="1:13">
      <c r="A9" s="287" t="s">
        <v>532</v>
      </c>
      <c r="B9" s="294">
        <v>263021.09999999998</v>
      </c>
      <c r="C9" s="294"/>
      <c r="D9" s="287" t="s">
        <v>533</v>
      </c>
      <c r="E9" s="294">
        <v>2405192.0299999998</v>
      </c>
      <c r="F9" s="294"/>
      <c r="G9" s="287" t="s">
        <v>534</v>
      </c>
      <c r="H9" s="294">
        <v>577168.42000000004</v>
      </c>
      <c r="I9" s="294"/>
      <c r="J9" s="287" t="s">
        <v>535</v>
      </c>
      <c r="K9" s="294">
        <v>12066796.91</v>
      </c>
      <c r="L9" s="294"/>
      <c r="M9" s="295"/>
    </row>
    <row r="10" spans="1:13">
      <c r="A10" s="287" t="s">
        <v>536</v>
      </c>
      <c r="B10" s="294">
        <v>1311126.6000000001</v>
      </c>
      <c r="C10" s="294"/>
      <c r="D10" s="287" t="s">
        <v>537</v>
      </c>
      <c r="E10" s="294">
        <v>78171.66</v>
      </c>
      <c r="F10" s="294"/>
      <c r="G10" s="287" t="s">
        <v>538</v>
      </c>
      <c r="H10" s="294">
        <v>4881629.6399999997</v>
      </c>
      <c r="I10" s="294"/>
      <c r="J10" s="287" t="s">
        <v>539</v>
      </c>
      <c r="K10" s="294">
        <v>22681609.949999999</v>
      </c>
      <c r="L10" s="294"/>
      <c r="M10" s="295"/>
    </row>
    <row r="11" spans="1:13">
      <c r="A11" s="287"/>
      <c r="B11" s="294"/>
      <c r="C11" s="294"/>
      <c r="D11" s="287"/>
      <c r="E11" s="294"/>
      <c r="F11" s="294"/>
      <c r="G11" s="287"/>
      <c r="H11" s="294"/>
      <c r="I11" s="294"/>
      <c r="J11" s="287"/>
      <c r="K11" s="294"/>
      <c r="L11" s="294"/>
      <c r="M11" s="295"/>
    </row>
    <row r="12" spans="1:13">
      <c r="A12" s="287" t="s">
        <v>540</v>
      </c>
      <c r="B12" s="294">
        <v>583565.66</v>
      </c>
      <c r="C12" s="294"/>
      <c r="D12" s="287" t="s">
        <v>541</v>
      </c>
      <c r="E12" s="294">
        <v>1380114.1</v>
      </c>
      <c r="F12" s="294"/>
      <c r="G12" s="287" t="s">
        <v>542</v>
      </c>
      <c r="H12" s="294">
        <v>6002112.04</v>
      </c>
      <c r="I12" s="294"/>
      <c r="J12" s="287" t="s">
        <v>543</v>
      </c>
      <c r="K12" s="294">
        <v>218669.19</v>
      </c>
      <c r="L12" s="294"/>
      <c r="M12" s="295"/>
    </row>
    <row r="13" spans="1:13">
      <c r="A13" s="287" t="s">
        <v>544</v>
      </c>
      <c r="B13" s="294">
        <v>7784665.5300000003</v>
      </c>
      <c r="C13" s="294"/>
      <c r="D13" s="287" t="s">
        <v>545</v>
      </c>
      <c r="E13" s="294">
        <v>1765797.44</v>
      </c>
      <c r="F13" s="294"/>
      <c r="G13" s="287" t="s">
        <v>546</v>
      </c>
      <c r="H13" s="294">
        <v>53228.36</v>
      </c>
      <c r="I13" s="294"/>
      <c r="J13" s="287" t="s">
        <v>547</v>
      </c>
      <c r="K13" s="294">
        <v>1904765</v>
      </c>
      <c r="L13" s="294"/>
      <c r="M13" s="295"/>
    </row>
    <row r="14" spans="1:13">
      <c r="A14" s="287" t="s">
        <v>548</v>
      </c>
      <c r="B14" s="294">
        <v>2589308.9300000002</v>
      </c>
      <c r="C14" s="294"/>
      <c r="D14" s="287" t="s">
        <v>549</v>
      </c>
      <c r="E14" s="294">
        <v>181902.13</v>
      </c>
      <c r="F14" s="294"/>
      <c r="G14" s="287" t="s">
        <v>550</v>
      </c>
      <c r="H14" s="294">
        <v>181559.71</v>
      </c>
      <c r="I14" s="294"/>
      <c r="J14" s="287" t="s">
        <v>551</v>
      </c>
      <c r="K14" s="294">
        <v>427152.97</v>
      </c>
      <c r="L14" s="294"/>
      <c r="M14" s="295"/>
    </row>
    <row r="15" spans="1:13">
      <c r="A15" s="287" t="s">
        <v>552</v>
      </c>
      <c r="B15" s="294">
        <v>119567.67999999999</v>
      </c>
      <c r="C15" s="294"/>
      <c r="D15" s="287" t="s">
        <v>553</v>
      </c>
      <c r="E15" s="294">
        <v>400809.73</v>
      </c>
      <c r="F15" s="294"/>
      <c r="G15" s="287" t="s">
        <v>554</v>
      </c>
      <c r="H15" s="294">
        <v>623349.34</v>
      </c>
      <c r="I15" s="294"/>
      <c r="J15" s="287" t="s">
        <v>555</v>
      </c>
      <c r="K15" s="294">
        <v>8599382.8900000006</v>
      </c>
      <c r="L15" s="294"/>
      <c r="M15" s="295"/>
    </row>
    <row r="16" spans="1:13">
      <c r="A16" s="287" t="s">
        <v>556</v>
      </c>
      <c r="B16" s="294">
        <v>1983725.48</v>
      </c>
      <c r="C16" s="294"/>
      <c r="D16" s="287" t="s">
        <v>557</v>
      </c>
      <c r="E16" s="294">
        <v>371285.14</v>
      </c>
      <c r="F16" s="294"/>
      <c r="G16" s="287" t="s">
        <v>558</v>
      </c>
      <c r="H16" s="294">
        <v>922582.69</v>
      </c>
      <c r="I16" s="294"/>
      <c r="J16" s="287" t="s">
        <v>559</v>
      </c>
      <c r="K16" s="294">
        <v>772909.66</v>
      </c>
      <c r="L16" s="294"/>
      <c r="M16" s="295"/>
    </row>
    <row r="17" spans="1:13">
      <c r="B17" s="294"/>
      <c r="C17" s="294"/>
      <c r="D17" s="287"/>
      <c r="E17" s="294"/>
      <c r="F17" s="294"/>
      <c r="I17" s="294"/>
      <c r="J17" s="287"/>
      <c r="K17" s="294"/>
      <c r="L17" s="294"/>
      <c r="M17" s="295"/>
    </row>
    <row r="18" spans="1:13">
      <c r="A18" s="287" t="s">
        <v>560</v>
      </c>
      <c r="B18" s="294">
        <v>108246.67</v>
      </c>
      <c r="C18" s="294"/>
      <c r="D18" s="916" t="s">
        <v>561</v>
      </c>
      <c r="E18" s="917">
        <v>343091.1</v>
      </c>
      <c r="F18" s="294"/>
      <c r="G18" s="287" t="s">
        <v>562</v>
      </c>
      <c r="H18" s="294">
        <v>1674263.43</v>
      </c>
      <c r="I18" s="294"/>
      <c r="J18" s="287" t="s">
        <v>563</v>
      </c>
      <c r="K18" s="294">
        <v>21247392.02</v>
      </c>
      <c r="L18" s="294"/>
      <c r="M18" s="295"/>
    </row>
    <row r="19" spans="1:13">
      <c r="A19" s="287" t="s">
        <v>564</v>
      </c>
      <c r="B19" s="294">
        <v>741083.65</v>
      </c>
      <c r="C19" s="294"/>
      <c r="D19" s="287" t="s">
        <v>565</v>
      </c>
      <c r="E19" s="294">
        <v>436055.46</v>
      </c>
      <c r="F19" s="294"/>
      <c r="G19" s="287" t="s">
        <v>566</v>
      </c>
      <c r="H19" s="294">
        <v>659210.55000000005</v>
      </c>
      <c r="I19" s="294"/>
      <c r="J19" s="287" t="s">
        <v>567</v>
      </c>
      <c r="K19" s="294">
        <v>7202252.71</v>
      </c>
      <c r="L19" s="294"/>
      <c r="M19" s="295"/>
    </row>
    <row r="20" spans="1:13">
      <c r="A20" s="287" t="s">
        <v>568</v>
      </c>
      <c r="B20" s="294">
        <v>433701.94</v>
      </c>
      <c r="C20" s="294"/>
      <c r="D20" s="287" t="s">
        <v>569</v>
      </c>
      <c r="E20" s="294">
        <v>12047696.1</v>
      </c>
      <c r="F20" s="294"/>
      <c r="G20" s="287" t="s">
        <v>570</v>
      </c>
      <c r="H20" s="294">
        <v>1040082.93</v>
      </c>
      <c r="I20" s="294"/>
      <c r="J20" s="287" t="s">
        <v>571</v>
      </c>
      <c r="K20" s="294">
        <v>1106955.33</v>
      </c>
      <c r="L20" s="294"/>
      <c r="M20" s="295"/>
    </row>
    <row r="21" spans="1:13">
      <c r="A21" s="287" t="s">
        <v>572</v>
      </c>
      <c r="B21" s="294">
        <v>874715.75</v>
      </c>
      <c r="C21" s="294"/>
      <c r="D21" s="287" t="s">
        <v>573</v>
      </c>
      <c r="E21" s="294">
        <v>360076.88</v>
      </c>
      <c r="F21" s="294"/>
      <c r="G21" s="287" t="s">
        <v>574</v>
      </c>
      <c r="H21" s="294">
        <v>789943.08</v>
      </c>
      <c r="I21" s="294"/>
      <c r="J21" s="287" t="s">
        <v>575</v>
      </c>
      <c r="K21" s="294">
        <v>1448317.13</v>
      </c>
      <c r="L21" s="294"/>
      <c r="M21" s="295"/>
    </row>
    <row r="22" spans="1:13">
      <c r="A22" s="287" t="s">
        <v>576</v>
      </c>
      <c r="B22" s="294">
        <v>438629.94</v>
      </c>
      <c r="C22" s="294"/>
      <c r="D22" s="287" t="s">
        <v>577</v>
      </c>
      <c r="E22" s="294">
        <v>213762.89</v>
      </c>
      <c r="F22" s="294"/>
      <c r="G22" s="287" t="s">
        <v>578</v>
      </c>
      <c r="H22" s="294">
        <v>1362222.48</v>
      </c>
      <c r="I22" s="294"/>
      <c r="J22" s="287" t="s">
        <v>579</v>
      </c>
      <c r="K22" s="294">
        <v>3628325.62</v>
      </c>
      <c r="L22" s="294"/>
      <c r="M22" s="295"/>
    </row>
    <row r="23" spans="1:13">
      <c r="B23" s="294"/>
      <c r="C23" s="294"/>
      <c r="D23" s="287"/>
      <c r="E23" s="294"/>
      <c r="F23" s="294"/>
      <c r="G23" s="296" t="s">
        <v>34</v>
      </c>
      <c r="H23" s="297">
        <f>SUM(B6:B52,E6:E52,H6:H22)</f>
        <v>244617375.8199999</v>
      </c>
      <c r="J23" s="287"/>
      <c r="K23" s="294"/>
      <c r="L23" s="294"/>
      <c r="M23" s="295"/>
    </row>
    <row r="24" spans="1:13">
      <c r="A24" s="287" t="s">
        <v>580</v>
      </c>
      <c r="B24" s="294">
        <v>1442283.93</v>
      </c>
      <c r="C24" s="294"/>
      <c r="D24" s="287" t="s">
        <v>581</v>
      </c>
      <c r="E24" s="294">
        <v>601652.31000000006</v>
      </c>
      <c r="F24" s="294"/>
      <c r="G24" s="298"/>
      <c r="H24" s="299"/>
      <c r="J24" s="287" t="s">
        <v>38</v>
      </c>
      <c r="K24" s="294">
        <v>27054781.329999998</v>
      </c>
      <c r="L24" s="294"/>
      <c r="M24" s="295"/>
    </row>
    <row r="25" spans="1:13">
      <c r="A25" s="287" t="s">
        <v>582</v>
      </c>
      <c r="B25" s="294">
        <v>812732.31</v>
      </c>
      <c r="C25" s="294"/>
      <c r="D25" s="287" t="s">
        <v>583</v>
      </c>
      <c r="E25" s="294">
        <v>464609.18</v>
      </c>
      <c r="F25" s="294"/>
      <c r="G25" s="298"/>
      <c r="H25" s="299"/>
      <c r="J25" s="287" t="s">
        <v>584</v>
      </c>
      <c r="K25" s="294">
        <v>1344114.19</v>
      </c>
      <c r="L25" s="294"/>
      <c r="M25" s="295"/>
    </row>
    <row r="26" spans="1:13">
      <c r="A26" s="287" t="s">
        <v>585</v>
      </c>
      <c r="B26" s="294">
        <v>1047715.46</v>
      </c>
      <c r="C26" s="294"/>
      <c r="D26" s="287" t="s">
        <v>586</v>
      </c>
      <c r="E26" s="294">
        <v>597513.17000000004</v>
      </c>
      <c r="F26" s="294"/>
      <c r="G26" s="298"/>
      <c r="H26" s="299"/>
      <c r="J26" s="287" t="s">
        <v>587</v>
      </c>
      <c r="K26" s="294">
        <v>744564</v>
      </c>
      <c r="L26" s="294"/>
      <c r="M26" s="295"/>
    </row>
    <row r="27" spans="1:13" ht="13.8" thickBot="1">
      <c r="A27" s="287" t="s">
        <v>588</v>
      </c>
      <c r="B27" s="294">
        <v>160200.79</v>
      </c>
      <c r="C27" s="294"/>
      <c r="D27" s="287" t="s">
        <v>589</v>
      </c>
      <c r="E27" s="294">
        <v>454774.87</v>
      </c>
      <c r="F27" s="294"/>
      <c r="J27" s="287" t="s">
        <v>590</v>
      </c>
      <c r="K27" s="294">
        <v>2213394.9</v>
      </c>
      <c r="L27" s="294"/>
      <c r="M27" s="295"/>
    </row>
    <row r="28" spans="1:13">
      <c r="A28" s="287" t="s">
        <v>591</v>
      </c>
      <c r="B28" s="294">
        <v>133068.67000000001</v>
      </c>
      <c r="C28" s="294"/>
      <c r="D28" s="287" t="s">
        <v>592</v>
      </c>
      <c r="E28" s="294">
        <v>1054849.54</v>
      </c>
      <c r="F28" s="294"/>
      <c r="G28" s="290"/>
      <c r="H28" s="291"/>
      <c r="J28" s="296" t="s">
        <v>39</v>
      </c>
      <c r="K28" s="297">
        <f>SUM(K6:K27,H30:H52)</f>
        <v>171716566.26000002</v>
      </c>
      <c r="M28" s="295"/>
    </row>
    <row r="29" spans="1:13">
      <c r="B29" s="294"/>
      <c r="C29" s="294"/>
      <c r="D29" s="287"/>
      <c r="E29" s="294"/>
      <c r="F29" s="294"/>
      <c r="G29" s="292" t="s">
        <v>35</v>
      </c>
      <c r="H29" s="293" t="s">
        <v>519</v>
      </c>
      <c r="M29" s="295"/>
    </row>
    <row r="30" spans="1:13">
      <c r="A30" s="287" t="s">
        <v>593</v>
      </c>
      <c r="B30" s="294">
        <v>15081330.130000001</v>
      </c>
      <c r="C30" s="294"/>
      <c r="D30" s="287" t="s">
        <v>594</v>
      </c>
      <c r="E30" s="294">
        <v>490757.43</v>
      </c>
      <c r="F30" s="294"/>
      <c r="G30" s="287" t="s">
        <v>595</v>
      </c>
      <c r="H30" s="920">
        <v>11195210.49</v>
      </c>
      <c r="I30" s="294"/>
      <c r="M30" s="295"/>
    </row>
    <row r="31" spans="1:13">
      <c r="A31" s="287" t="s">
        <v>596</v>
      </c>
      <c r="B31" s="294">
        <v>444819.24</v>
      </c>
      <c r="C31" s="294"/>
      <c r="D31" s="287" t="s">
        <v>597</v>
      </c>
      <c r="E31" s="294">
        <v>617532.82000000007</v>
      </c>
      <c r="F31" s="294"/>
      <c r="G31" s="287" t="s">
        <v>556</v>
      </c>
      <c r="H31" s="294">
        <v>146010.59</v>
      </c>
      <c r="I31" s="294"/>
      <c r="M31" s="295"/>
    </row>
    <row r="32" spans="1:13">
      <c r="A32" s="287" t="s">
        <v>598</v>
      </c>
      <c r="B32" s="294">
        <v>119567.67</v>
      </c>
      <c r="C32" s="294"/>
      <c r="D32" s="287" t="s">
        <v>599</v>
      </c>
      <c r="E32" s="294">
        <v>526102.82000000007</v>
      </c>
      <c r="F32" s="294"/>
      <c r="G32" s="287" t="s">
        <v>600</v>
      </c>
      <c r="H32" s="294">
        <v>627991.26</v>
      </c>
      <c r="I32" s="294"/>
      <c r="M32" s="295"/>
    </row>
    <row r="33" spans="1:13">
      <c r="A33" s="287" t="s">
        <v>601</v>
      </c>
      <c r="B33" s="294">
        <v>2107540.63</v>
      </c>
      <c r="C33" s="294"/>
      <c r="D33" s="287" t="s">
        <v>602</v>
      </c>
      <c r="E33" s="294">
        <v>396107.13</v>
      </c>
      <c r="F33" s="294"/>
      <c r="G33" s="287" t="s">
        <v>603</v>
      </c>
      <c r="H33" s="294">
        <v>326499.78999999998</v>
      </c>
      <c r="I33" s="294"/>
      <c r="M33" s="295"/>
    </row>
    <row r="34" spans="1:13">
      <c r="A34" s="287" t="s">
        <v>604</v>
      </c>
      <c r="B34" s="294">
        <v>396380.17</v>
      </c>
      <c r="C34" s="294"/>
      <c r="D34" s="287" t="s">
        <v>605</v>
      </c>
      <c r="E34" s="294">
        <v>359786.48</v>
      </c>
      <c r="F34" s="294"/>
      <c r="G34" s="287" t="s">
        <v>606</v>
      </c>
      <c r="H34" s="294">
        <v>3316930.53</v>
      </c>
      <c r="I34" s="294"/>
      <c r="M34" s="295"/>
    </row>
    <row r="35" spans="1:13">
      <c r="B35" s="294"/>
      <c r="C35" s="294"/>
      <c r="D35" s="287"/>
      <c r="E35" s="294"/>
      <c r="F35" s="294"/>
      <c r="G35" s="287"/>
      <c r="H35" s="294"/>
      <c r="I35" s="294"/>
      <c r="M35" s="295"/>
    </row>
    <row r="36" spans="1:13">
      <c r="A36" s="287" t="s">
        <v>607</v>
      </c>
      <c r="B36" s="294">
        <v>511106.47</v>
      </c>
      <c r="C36" s="294"/>
      <c r="D36" s="287" t="s">
        <v>608</v>
      </c>
      <c r="E36" s="294">
        <v>1482982.07</v>
      </c>
      <c r="F36" s="294"/>
      <c r="G36" s="287" t="s">
        <v>609</v>
      </c>
      <c r="H36" s="294">
        <v>12319532.970000001</v>
      </c>
      <c r="I36" s="294"/>
      <c r="M36" s="295"/>
    </row>
    <row r="37" spans="1:13">
      <c r="A37" s="287" t="s">
        <v>610</v>
      </c>
      <c r="B37" s="294">
        <v>955041.5</v>
      </c>
      <c r="C37" s="294"/>
      <c r="D37" s="287" t="s">
        <v>611</v>
      </c>
      <c r="E37" s="294">
        <v>506963</v>
      </c>
      <c r="F37" s="294"/>
      <c r="G37" s="287" t="s">
        <v>612</v>
      </c>
      <c r="H37" s="294">
        <v>720825.58</v>
      </c>
      <c r="I37" s="294"/>
      <c r="M37" s="295"/>
    </row>
    <row r="38" spans="1:13">
      <c r="A38" s="287" t="s">
        <v>613</v>
      </c>
      <c r="B38" s="294">
        <v>364749.16</v>
      </c>
      <c r="C38" s="294"/>
      <c r="D38" s="287" t="s">
        <v>614</v>
      </c>
      <c r="E38" s="294">
        <v>506187.16</v>
      </c>
      <c r="F38" s="294"/>
      <c r="G38" s="287" t="s">
        <v>615</v>
      </c>
      <c r="H38" s="294">
        <v>321649.83</v>
      </c>
      <c r="I38" s="294"/>
      <c r="M38" s="295"/>
    </row>
    <row r="39" spans="1:13">
      <c r="A39" s="287" t="s">
        <v>616</v>
      </c>
      <c r="B39" s="294">
        <v>81977041.450000003</v>
      </c>
      <c r="C39" s="294"/>
      <c r="D39" s="287" t="s">
        <v>617</v>
      </c>
      <c r="E39" s="294">
        <v>2352089.35</v>
      </c>
      <c r="F39" s="294"/>
      <c r="G39" s="287" t="s">
        <v>618</v>
      </c>
      <c r="H39" s="294">
        <v>3334926.14</v>
      </c>
      <c r="I39" s="294"/>
      <c r="M39" s="295"/>
    </row>
    <row r="40" spans="1:13">
      <c r="A40" s="287" t="s">
        <v>619</v>
      </c>
      <c r="B40" s="294">
        <v>2998791.39</v>
      </c>
      <c r="C40" s="294"/>
      <c r="D40" s="287" t="s">
        <v>620</v>
      </c>
      <c r="E40" s="294">
        <v>892004.89</v>
      </c>
      <c r="F40" s="294"/>
      <c r="G40" s="287" t="s">
        <v>621</v>
      </c>
      <c r="H40" s="294">
        <v>276431.13</v>
      </c>
      <c r="I40" s="294"/>
      <c r="M40" s="295"/>
    </row>
    <row r="41" spans="1:13">
      <c r="C41" s="294"/>
      <c r="D41" s="287"/>
      <c r="E41" s="294"/>
      <c r="F41" s="294"/>
      <c r="G41" s="287"/>
      <c r="H41" s="294"/>
      <c r="I41" s="294"/>
      <c r="M41" s="295"/>
    </row>
    <row r="42" spans="1:13">
      <c r="A42" s="287" t="s">
        <v>622</v>
      </c>
      <c r="B42" s="294">
        <v>642549.84</v>
      </c>
      <c r="C42" s="294"/>
      <c r="D42" s="287" t="s">
        <v>623</v>
      </c>
      <c r="E42" s="294">
        <v>322490.66000000003</v>
      </c>
      <c r="F42" s="294"/>
      <c r="G42" s="287" t="s">
        <v>616</v>
      </c>
      <c r="H42" s="294">
        <v>2354351.77</v>
      </c>
      <c r="I42" s="294"/>
      <c r="M42" s="295"/>
    </row>
    <row r="43" spans="1:13">
      <c r="A43" s="287" t="s">
        <v>624</v>
      </c>
      <c r="B43" s="294">
        <v>867893.73</v>
      </c>
      <c r="C43" s="294"/>
      <c r="D43" s="287" t="s">
        <v>625</v>
      </c>
      <c r="E43" s="294">
        <v>1320089.74</v>
      </c>
      <c r="F43" s="294"/>
      <c r="G43" s="287" t="s">
        <v>626</v>
      </c>
      <c r="H43" s="294">
        <v>890626.63</v>
      </c>
      <c r="I43" s="294"/>
      <c r="M43" s="295"/>
    </row>
    <row r="44" spans="1:13">
      <c r="A44" s="287" t="s">
        <v>627</v>
      </c>
      <c r="B44" s="294">
        <v>2299563.15</v>
      </c>
      <c r="C44" s="294"/>
      <c r="D44" s="287" t="s">
        <v>628</v>
      </c>
      <c r="E44" s="294">
        <v>20066603.550000001</v>
      </c>
      <c r="F44" s="294"/>
      <c r="G44" s="287" t="s">
        <v>627</v>
      </c>
      <c r="H44" s="294">
        <v>575400.04</v>
      </c>
      <c r="I44" s="294"/>
      <c r="M44" s="295"/>
    </row>
    <row r="45" spans="1:13">
      <c r="A45" s="287" t="s">
        <v>629</v>
      </c>
      <c r="B45" s="294">
        <v>1398677.52</v>
      </c>
      <c r="C45" s="294"/>
      <c r="D45" s="287" t="s">
        <v>630</v>
      </c>
      <c r="E45" s="294">
        <v>853278.78</v>
      </c>
      <c r="F45" s="294"/>
      <c r="G45" s="287" t="s">
        <v>631</v>
      </c>
      <c r="H45" s="294">
        <v>1843683.09</v>
      </c>
      <c r="I45" s="294"/>
      <c r="M45" s="295"/>
    </row>
    <row r="46" spans="1:13">
      <c r="A46" s="287" t="s">
        <v>632</v>
      </c>
      <c r="B46" s="294">
        <v>262097.89</v>
      </c>
      <c r="C46" s="294"/>
      <c r="D46" s="287" t="s">
        <v>633</v>
      </c>
      <c r="E46" s="294">
        <v>359292.39</v>
      </c>
      <c r="F46" s="294"/>
      <c r="G46" s="287" t="s">
        <v>634</v>
      </c>
      <c r="H46" s="294">
        <v>241991.53</v>
      </c>
      <c r="I46" s="294"/>
      <c r="M46" s="295"/>
    </row>
    <row r="47" spans="1:13">
      <c r="A47" s="287"/>
      <c r="C47" s="294"/>
      <c r="D47" s="287"/>
      <c r="E47" s="294"/>
      <c r="F47" s="294"/>
      <c r="G47" s="287"/>
      <c r="H47" s="294"/>
      <c r="I47" s="294"/>
      <c r="M47" s="295"/>
    </row>
    <row r="48" spans="1:13">
      <c r="A48" s="287" t="s">
        <v>635</v>
      </c>
      <c r="B48" s="294">
        <v>1583089.12</v>
      </c>
      <c r="C48" s="294"/>
      <c r="D48" s="287" t="s">
        <v>563</v>
      </c>
      <c r="E48" s="294">
        <v>318520.56</v>
      </c>
      <c r="F48" s="294"/>
      <c r="G48" s="287" t="s">
        <v>636</v>
      </c>
      <c r="H48" s="294">
        <v>9476894.1899999995</v>
      </c>
      <c r="I48" s="294"/>
      <c r="M48" s="295"/>
    </row>
    <row r="49" spans="1:14">
      <c r="A49" s="287" t="s">
        <v>637</v>
      </c>
      <c r="B49" s="294">
        <v>885785.33</v>
      </c>
      <c r="C49" s="294"/>
      <c r="D49" s="287" t="s">
        <v>567</v>
      </c>
      <c r="E49" s="294">
        <v>4081544.52</v>
      </c>
      <c r="F49" s="294"/>
      <c r="G49" s="287" t="s">
        <v>638</v>
      </c>
      <c r="H49" s="294">
        <v>1676092.44</v>
      </c>
      <c r="I49" s="294"/>
      <c r="M49" s="295"/>
    </row>
    <row r="50" spans="1:14">
      <c r="A50" s="287" t="s">
        <v>639</v>
      </c>
      <c r="B50" s="294">
        <v>394295.41</v>
      </c>
      <c r="C50" s="294"/>
      <c r="D50" s="287" t="s">
        <v>640</v>
      </c>
      <c r="E50" s="294">
        <v>966037.41</v>
      </c>
      <c r="F50" s="294"/>
      <c r="G50" s="287" t="s">
        <v>641</v>
      </c>
      <c r="H50" s="294">
        <v>873623.49</v>
      </c>
      <c r="I50" s="294"/>
      <c r="M50" s="295"/>
    </row>
    <row r="51" spans="1:14">
      <c r="A51" s="287" t="s">
        <v>642</v>
      </c>
      <c r="B51" s="294">
        <v>510339.35</v>
      </c>
      <c r="C51" s="294"/>
      <c r="D51" s="287" t="s">
        <v>643</v>
      </c>
      <c r="E51" s="294">
        <v>1650238.98</v>
      </c>
      <c r="F51" s="294"/>
      <c r="G51" s="287" t="s">
        <v>644</v>
      </c>
      <c r="H51" s="294">
        <v>333018.46000000002</v>
      </c>
      <c r="I51" s="294"/>
      <c r="M51" s="295"/>
    </row>
    <row r="52" spans="1:14">
      <c r="A52" s="287" t="s">
        <v>645</v>
      </c>
      <c r="B52" s="294">
        <v>183583.81</v>
      </c>
      <c r="C52" s="294"/>
      <c r="D52" s="287" t="s">
        <v>646</v>
      </c>
      <c r="E52" s="294">
        <v>891844.5</v>
      </c>
      <c r="F52" s="294"/>
      <c r="G52" s="287" t="s">
        <v>647</v>
      </c>
      <c r="H52" s="294">
        <v>3514258.1</v>
      </c>
      <c r="I52" s="294"/>
      <c r="M52" s="295"/>
    </row>
    <row r="53" spans="1:14" ht="17.399999999999999">
      <c r="A53" s="284" t="s">
        <v>648</v>
      </c>
      <c r="B53" s="285"/>
    </row>
    <row r="54" spans="1:14" ht="15.6">
      <c r="A54" s="288" t="s">
        <v>1101</v>
      </c>
      <c r="B54" s="285"/>
      <c r="D54" s="287"/>
      <c r="E54" s="300"/>
    </row>
    <row r="55" spans="1:14" ht="13.8" thickBot="1">
      <c r="D55" s="287"/>
      <c r="E55" s="300"/>
    </row>
    <row r="56" spans="1:14">
      <c r="A56" s="290"/>
      <c r="B56" s="291"/>
      <c r="D56" s="290"/>
      <c r="E56" s="291"/>
      <c r="G56" s="290"/>
      <c r="H56" s="291"/>
      <c r="J56" s="290"/>
      <c r="K56" s="291"/>
    </row>
    <row r="57" spans="1:14">
      <c r="A57" s="292" t="s">
        <v>649</v>
      </c>
      <c r="B57" s="293" t="s">
        <v>519</v>
      </c>
      <c r="D57" s="292" t="s">
        <v>649</v>
      </c>
      <c r="E57" s="293" t="s">
        <v>519</v>
      </c>
      <c r="G57" s="292" t="s">
        <v>649</v>
      </c>
      <c r="H57" s="293" t="s">
        <v>519</v>
      </c>
      <c r="J57" s="292" t="s">
        <v>649</v>
      </c>
      <c r="K57" s="293" t="s">
        <v>519</v>
      </c>
    </row>
    <row r="58" spans="1:14">
      <c r="A58" s="301" t="s">
        <v>650</v>
      </c>
      <c r="B58" s="920">
        <v>125475.16</v>
      </c>
      <c r="C58" s="294"/>
      <c r="D58" s="287" t="s">
        <v>601</v>
      </c>
      <c r="E58" s="920">
        <v>127226.2</v>
      </c>
      <c r="F58" s="294"/>
      <c r="G58" s="287" t="s">
        <v>651</v>
      </c>
      <c r="H58" s="920">
        <v>83888.51</v>
      </c>
      <c r="I58" s="294"/>
      <c r="J58" s="287" t="s">
        <v>652</v>
      </c>
      <c r="K58" s="920">
        <v>1447.62</v>
      </c>
      <c r="L58" s="294"/>
      <c r="M58" s="295"/>
      <c r="N58" s="295"/>
    </row>
    <row r="59" spans="1:14">
      <c r="A59" s="287" t="s">
        <v>653</v>
      </c>
      <c r="B59" s="294">
        <v>5569.46</v>
      </c>
      <c r="C59" s="294"/>
      <c r="D59" s="287" t="s">
        <v>654</v>
      </c>
      <c r="E59" s="294">
        <v>25745.16</v>
      </c>
      <c r="F59" s="294"/>
      <c r="G59" s="287" t="s">
        <v>655</v>
      </c>
      <c r="H59" s="294">
        <v>2241021.12</v>
      </c>
      <c r="I59" s="294"/>
      <c r="J59" s="287" t="s">
        <v>656</v>
      </c>
      <c r="K59" s="294">
        <v>24973.68</v>
      </c>
      <c r="L59" s="294"/>
      <c r="M59" s="295"/>
      <c r="N59" s="295"/>
    </row>
    <row r="60" spans="1:14">
      <c r="A60" s="287" t="s">
        <v>657</v>
      </c>
      <c r="B60" s="294">
        <v>12625.52</v>
      </c>
      <c r="C60" s="294"/>
      <c r="D60" s="287" t="s">
        <v>658</v>
      </c>
      <c r="E60" s="294">
        <v>26408.29</v>
      </c>
      <c r="F60" s="294"/>
      <c r="G60" s="916" t="s">
        <v>573</v>
      </c>
      <c r="H60" s="917">
        <v>7424.48</v>
      </c>
      <c r="I60" s="294"/>
      <c r="J60" s="287" t="s">
        <v>659</v>
      </c>
      <c r="K60" s="294">
        <v>49864.99</v>
      </c>
      <c r="L60" s="294"/>
      <c r="M60" s="295"/>
      <c r="N60" s="295"/>
    </row>
    <row r="61" spans="1:14">
      <c r="A61" s="287" t="s">
        <v>660</v>
      </c>
      <c r="B61" s="294">
        <v>42098.080000000002</v>
      </c>
      <c r="C61" s="294"/>
      <c r="D61" s="287" t="s">
        <v>661</v>
      </c>
      <c r="E61" s="294">
        <v>4039.5</v>
      </c>
      <c r="F61" s="294"/>
      <c r="G61" s="287" t="s">
        <v>662</v>
      </c>
      <c r="H61" s="294">
        <v>13830.44</v>
      </c>
      <c r="I61" s="294"/>
      <c r="J61" s="287" t="s">
        <v>663</v>
      </c>
      <c r="K61" s="294">
        <v>18325</v>
      </c>
      <c r="L61" s="294"/>
      <c r="M61" s="295"/>
      <c r="N61" s="295"/>
    </row>
    <row r="62" spans="1:14">
      <c r="A62" s="287" t="s">
        <v>536</v>
      </c>
      <c r="B62" s="294">
        <v>105945.25</v>
      </c>
      <c r="C62" s="294"/>
      <c r="D62" s="287" t="s">
        <v>664</v>
      </c>
      <c r="E62" s="294">
        <v>1464.92</v>
      </c>
      <c r="F62" s="294"/>
      <c r="G62" s="287" t="s">
        <v>665</v>
      </c>
      <c r="H62" s="294">
        <v>80026.720000000001</v>
      </c>
      <c r="I62" s="294"/>
      <c r="J62" s="287" t="s">
        <v>526</v>
      </c>
      <c r="K62" s="294">
        <v>28852.78</v>
      </c>
      <c r="L62" s="294"/>
      <c r="M62" s="295"/>
      <c r="N62" s="302"/>
    </row>
    <row r="63" spans="1:14">
      <c r="A63" s="287"/>
      <c r="B63" s="294"/>
      <c r="C63" s="294"/>
      <c r="F63" s="294"/>
      <c r="I63" s="294"/>
      <c r="L63" s="294"/>
    </row>
    <row r="64" spans="1:14">
      <c r="A64" s="287" t="s">
        <v>666</v>
      </c>
      <c r="B64" s="294">
        <v>41010.26</v>
      </c>
      <c r="C64" s="294"/>
      <c r="D64" s="287" t="s">
        <v>667</v>
      </c>
      <c r="E64" s="294">
        <v>96136.94</v>
      </c>
      <c r="F64" s="294"/>
      <c r="G64" s="287" t="s">
        <v>668</v>
      </c>
      <c r="H64" s="294">
        <v>134967.08000000002</v>
      </c>
      <c r="I64" s="294"/>
      <c r="J64" s="287" t="s">
        <v>669</v>
      </c>
      <c r="K64" s="294">
        <v>245203.17</v>
      </c>
      <c r="L64" s="294"/>
      <c r="M64" s="295"/>
      <c r="N64" s="295"/>
    </row>
    <row r="65" spans="1:14">
      <c r="A65" s="287" t="s">
        <v>540</v>
      </c>
      <c r="B65" s="294">
        <v>6549</v>
      </c>
      <c r="C65" s="294"/>
      <c r="D65" s="287" t="s">
        <v>670</v>
      </c>
      <c r="E65" s="294">
        <v>193860.18</v>
      </c>
      <c r="F65" s="294"/>
      <c r="G65" s="287" t="s">
        <v>671</v>
      </c>
      <c r="H65" s="294">
        <v>9435.5400000000009</v>
      </c>
      <c r="I65" s="294"/>
      <c r="J65" s="287" t="s">
        <v>672</v>
      </c>
      <c r="K65" s="294">
        <v>810045.07</v>
      </c>
      <c r="L65" s="294"/>
      <c r="M65" s="295"/>
      <c r="N65" s="295"/>
    </row>
    <row r="66" spans="1:14">
      <c r="A66" s="287" t="s">
        <v>673</v>
      </c>
      <c r="B66" s="294">
        <v>282841.40000000002</v>
      </c>
      <c r="C66" s="294"/>
      <c r="D66" s="287" t="s">
        <v>674</v>
      </c>
      <c r="E66" s="294">
        <v>10150.710000000001</v>
      </c>
      <c r="F66" s="294"/>
      <c r="G66" s="287" t="s">
        <v>675</v>
      </c>
      <c r="H66" s="294">
        <v>4251.87</v>
      </c>
      <c r="I66" s="294"/>
      <c r="J66" s="287" t="s">
        <v>676</v>
      </c>
      <c r="K66" s="294">
        <v>183783.19</v>
      </c>
      <c r="L66" s="294"/>
      <c r="M66" s="295"/>
      <c r="N66" s="295"/>
    </row>
    <row r="67" spans="1:14">
      <c r="A67" s="287" t="s">
        <v>677</v>
      </c>
      <c r="B67" s="294">
        <v>96735.09</v>
      </c>
      <c r="C67" s="294"/>
      <c r="D67" s="287" t="s">
        <v>678</v>
      </c>
      <c r="E67" s="294">
        <v>54593.63</v>
      </c>
      <c r="F67" s="294"/>
      <c r="G67" s="287" t="s">
        <v>679</v>
      </c>
      <c r="H67" s="294">
        <v>46948.08</v>
      </c>
      <c r="I67" s="294"/>
      <c r="J67" s="287" t="s">
        <v>680</v>
      </c>
      <c r="K67" s="294">
        <v>3887.78</v>
      </c>
      <c r="L67" s="294"/>
      <c r="M67" s="295"/>
      <c r="N67" s="295"/>
    </row>
    <row r="68" spans="1:14">
      <c r="A68" s="287" t="s">
        <v>681</v>
      </c>
      <c r="B68" s="294">
        <v>198077.37</v>
      </c>
      <c r="C68" s="294"/>
      <c r="D68" s="287" t="s">
        <v>682</v>
      </c>
      <c r="E68" s="294">
        <v>541367.94999999995</v>
      </c>
      <c r="F68" s="294"/>
      <c r="G68" s="287" t="s">
        <v>683</v>
      </c>
      <c r="H68" s="294">
        <v>14853.33</v>
      </c>
      <c r="I68" s="294"/>
      <c r="J68" s="287" t="s">
        <v>684</v>
      </c>
      <c r="K68" s="294">
        <v>17219.77</v>
      </c>
      <c r="L68" s="294"/>
      <c r="M68" s="295"/>
      <c r="N68" s="295"/>
    </row>
    <row r="69" spans="1:14">
      <c r="A69" s="287"/>
      <c r="B69" s="294"/>
      <c r="C69" s="294"/>
      <c r="F69" s="294"/>
      <c r="I69" s="294"/>
      <c r="L69" s="294"/>
    </row>
    <row r="70" spans="1:14">
      <c r="A70" s="287" t="s">
        <v>685</v>
      </c>
      <c r="B70" s="294">
        <v>1279547.57</v>
      </c>
      <c r="C70" s="294"/>
      <c r="D70" s="287" t="s">
        <v>686</v>
      </c>
      <c r="E70" s="294">
        <v>2938.56</v>
      </c>
      <c r="F70" s="294"/>
      <c r="G70" s="287" t="s">
        <v>687</v>
      </c>
      <c r="H70" s="294">
        <v>1863.65</v>
      </c>
      <c r="I70" s="294"/>
      <c r="J70" s="287" t="s">
        <v>688</v>
      </c>
      <c r="K70" s="294">
        <v>28302.35</v>
      </c>
      <c r="L70" s="294"/>
      <c r="M70" s="295"/>
      <c r="N70" s="295"/>
    </row>
    <row r="71" spans="1:14">
      <c r="A71" s="287" t="s">
        <v>689</v>
      </c>
      <c r="B71" s="294">
        <v>18463.7</v>
      </c>
      <c r="C71" s="294"/>
      <c r="D71" s="287" t="s">
        <v>622</v>
      </c>
      <c r="E71" s="294">
        <v>481.11</v>
      </c>
      <c r="F71" s="294"/>
      <c r="G71" s="287" t="s">
        <v>690</v>
      </c>
      <c r="H71" s="294">
        <v>7134.1</v>
      </c>
      <c r="I71" s="294"/>
      <c r="J71" s="287" t="s">
        <v>691</v>
      </c>
      <c r="K71" s="294">
        <v>86298.32</v>
      </c>
      <c r="L71" s="294"/>
      <c r="M71" s="295"/>
      <c r="N71" s="295"/>
    </row>
    <row r="72" spans="1:14">
      <c r="A72" s="287" t="s">
        <v>692</v>
      </c>
      <c r="B72" s="294">
        <v>45188.4</v>
      </c>
      <c r="C72" s="294"/>
      <c r="D72" s="287" t="s">
        <v>693</v>
      </c>
      <c r="E72" s="294">
        <v>13232.3</v>
      </c>
      <c r="F72" s="294"/>
      <c r="G72" s="287" t="s">
        <v>694</v>
      </c>
      <c r="H72" s="294">
        <v>14441.57</v>
      </c>
      <c r="I72" s="294"/>
      <c r="J72" s="287" t="s">
        <v>695</v>
      </c>
      <c r="K72" s="294">
        <v>3285.33</v>
      </c>
      <c r="L72" s="294"/>
      <c r="M72" s="295"/>
      <c r="N72" s="295"/>
    </row>
    <row r="73" spans="1:14">
      <c r="A73" s="287" t="s">
        <v>696</v>
      </c>
      <c r="B73" s="294">
        <v>3467.34</v>
      </c>
      <c r="C73" s="294"/>
      <c r="D73" s="287" t="s">
        <v>697</v>
      </c>
      <c r="E73" s="294">
        <v>176397.7</v>
      </c>
      <c r="F73" s="294"/>
      <c r="G73" s="287" t="s">
        <v>698</v>
      </c>
      <c r="H73" s="294">
        <v>23226.97</v>
      </c>
      <c r="I73" s="294"/>
      <c r="J73" s="287" t="s">
        <v>699</v>
      </c>
      <c r="K73" s="294">
        <v>65645.820000000007</v>
      </c>
      <c r="L73" s="294"/>
      <c r="M73" s="295"/>
      <c r="N73" s="302"/>
    </row>
    <row r="74" spans="1:14">
      <c r="A74" s="287" t="s">
        <v>700</v>
      </c>
      <c r="B74" s="294">
        <v>42241.15</v>
      </c>
      <c r="C74" s="294"/>
      <c r="D74" s="287" t="s">
        <v>701</v>
      </c>
      <c r="E74" s="294">
        <v>40936.57</v>
      </c>
      <c r="F74" s="294"/>
      <c r="G74" s="287" t="s">
        <v>702</v>
      </c>
      <c r="H74" s="294">
        <v>46037.919999999998</v>
      </c>
      <c r="I74" s="294"/>
      <c r="J74" s="916" t="s">
        <v>554</v>
      </c>
      <c r="K74" s="917">
        <v>28532.07</v>
      </c>
      <c r="L74" s="294"/>
      <c r="M74" s="295"/>
      <c r="N74" s="295"/>
    </row>
    <row r="75" spans="1:14">
      <c r="A75" s="287"/>
      <c r="B75" s="294"/>
      <c r="C75" s="294"/>
      <c r="F75" s="294"/>
      <c r="I75" s="294"/>
      <c r="L75" s="294"/>
    </row>
    <row r="76" spans="1:14">
      <c r="A76" s="287" t="s">
        <v>703</v>
      </c>
      <c r="B76" s="294">
        <v>2574.5</v>
      </c>
      <c r="C76" s="294"/>
      <c r="D76" s="287" t="s">
        <v>704</v>
      </c>
      <c r="E76" s="294">
        <v>30092.33</v>
      </c>
      <c r="F76" s="294"/>
      <c r="G76" s="287" t="s">
        <v>705</v>
      </c>
      <c r="H76" s="294">
        <v>2409.8000000000002</v>
      </c>
      <c r="I76" s="294"/>
      <c r="J76" s="287" t="s">
        <v>706</v>
      </c>
      <c r="K76" s="294">
        <v>33932.46</v>
      </c>
      <c r="L76" s="294"/>
      <c r="M76" s="295"/>
      <c r="N76" s="295"/>
    </row>
    <row r="77" spans="1:14">
      <c r="A77" s="287" t="s">
        <v>707</v>
      </c>
      <c r="B77" s="294">
        <v>15542.48</v>
      </c>
      <c r="C77" s="294"/>
      <c r="D77" s="287" t="s">
        <v>708</v>
      </c>
      <c r="E77" s="294">
        <v>21684.03</v>
      </c>
      <c r="F77" s="294"/>
      <c r="G77" s="287" t="s">
        <v>709</v>
      </c>
      <c r="H77" s="294">
        <v>53171.97</v>
      </c>
      <c r="I77" s="294"/>
      <c r="J77" s="287" t="s">
        <v>710</v>
      </c>
      <c r="K77" s="294">
        <v>2305.75</v>
      </c>
      <c r="L77" s="294"/>
      <c r="M77" s="295"/>
      <c r="N77" s="295"/>
    </row>
    <row r="78" spans="1:14">
      <c r="A78" s="287" t="s">
        <v>711</v>
      </c>
      <c r="B78" s="294">
        <v>3775.09</v>
      </c>
      <c r="C78" s="294"/>
      <c r="D78" s="287" t="s">
        <v>712</v>
      </c>
      <c r="E78" s="294">
        <v>31548.639999999999</v>
      </c>
      <c r="F78" s="294"/>
      <c r="G78" s="287" t="s">
        <v>713</v>
      </c>
      <c r="H78" s="294">
        <v>1330.63</v>
      </c>
      <c r="I78" s="294"/>
      <c r="J78" s="287" t="s">
        <v>714</v>
      </c>
      <c r="K78" s="294">
        <v>3753.42</v>
      </c>
      <c r="L78" s="294"/>
      <c r="M78" s="295"/>
      <c r="N78" s="295"/>
    </row>
    <row r="79" spans="1:14">
      <c r="A79" s="287" t="s">
        <v>715</v>
      </c>
      <c r="B79" s="294">
        <v>94494.22</v>
      </c>
      <c r="C79" s="294"/>
      <c r="D79" s="287" t="s">
        <v>716</v>
      </c>
      <c r="E79" s="294">
        <v>7840.58</v>
      </c>
      <c r="F79" s="294"/>
      <c r="G79" s="286" t="s">
        <v>717</v>
      </c>
      <c r="H79" s="303">
        <v>1599.34</v>
      </c>
      <c r="I79" s="294"/>
      <c r="J79" s="287" t="s">
        <v>718</v>
      </c>
      <c r="K79" s="294">
        <v>53115.66</v>
      </c>
      <c r="L79" s="294"/>
      <c r="M79" s="295"/>
      <c r="N79" s="295"/>
    </row>
    <row r="80" spans="1:14">
      <c r="A80" s="287" t="s">
        <v>719</v>
      </c>
      <c r="B80" s="294">
        <v>49409.89</v>
      </c>
      <c r="C80" s="294"/>
      <c r="D80" s="287" t="s">
        <v>720</v>
      </c>
      <c r="E80" s="294">
        <v>27223.119999999999</v>
      </c>
      <c r="F80" s="294"/>
      <c r="G80" s="287" t="s">
        <v>721</v>
      </c>
      <c r="H80" s="294">
        <v>48027.3</v>
      </c>
      <c r="I80" s="294"/>
      <c r="J80" s="287" t="s">
        <v>722</v>
      </c>
      <c r="K80" s="294">
        <v>1105906.46</v>
      </c>
      <c r="L80" s="294"/>
      <c r="M80" s="295"/>
      <c r="N80" s="295"/>
    </row>
    <row r="81" spans="1:14">
      <c r="B81" s="294"/>
      <c r="C81" s="294"/>
      <c r="F81" s="294"/>
      <c r="I81" s="294"/>
      <c r="L81" s="294"/>
    </row>
    <row r="82" spans="1:14">
      <c r="A82" s="287" t="s">
        <v>723</v>
      </c>
      <c r="B82" s="294">
        <v>10748.87</v>
      </c>
      <c r="C82" s="294"/>
      <c r="D82" s="287" t="s">
        <v>724</v>
      </c>
      <c r="E82" s="294">
        <v>35848.21</v>
      </c>
      <c r="F82" s="294"/>
      <c r="G82" s="287" t="s">
        <v>725</v>
      </c>
      <c r="H82" s="294">
        <v>101693.39</v>
      </c>
      <c r="I82" s="294"/>
      <c r="J82" s="287" t="s">
        <v>726</v>
      </c>
      <c r="K82" s="294">
        <v>352071.6</v>
      </c>
      <c r="L82" s="294"/>
      <c r="M82" s="295"/>
      <c r="N82" s="295"/>
    </row>
    <row r="83" spans="1:14">
      <c r="A83" s="287" t="s">
        <v>727</v>
      </c>
      <c r="B83" s="294">
        <v>19226.57</v>
      </c>
      <c r="C83" s="294"/>
      <c r="D83" s="287" t="s">
        <v>728</v>
      </c>
      <c r="E83" s="294">
        <v>20513.79</v>
      </c>
      <c r="F83" s="294"/>
      <c r="G83" s="287" t="s">
        <v>729</v>
      </c>
      <c r="H83" s="294">
        <v>4342.8500000000004</v>
      </c>
      <c r="I83" s="294"/>
      <c r="J83" s="287" t="s">
        <v>730</v>
      </c>
      <c r="K83" s="294">
        <v>2626.52</v>
      </c>
      <c r="L83" s="294"/>
      <c r="M83" s="295"/>
      <c r="N83" s="295"/>
    </row>
    <row r="84" spans="1:14">
      <c r="A84" s="287" t="s">
        <v>572</v>
      </c>
      <c r="B84" s="294">
        <v>2968.94</v>
      </c>
      <c r="C84" s="294"/>
      <c r="D84" s="287" t="s">
        <v>521</v>
      </c>
      <c r="E84" s="294">
        <v>105936.56</v>
      </c>
      <c r="F84" s="294"/>
      <c r="G84" s="287" t="s">
        <v>608</v>
      </c>
      <c r="H84" s="294">
        <v>183007.37</v>
      </c>
      <c r="I84" s="294"/>
      <c r="J84" s="287" t="s">
        <v>731</v>
      </c>
      <c r="K84" s="294">
        <v>18385.7</v>
      </c>
      <c r="L84" s="294"/>
      <c r="M84" s="295"/>
      <c r="N84" s="295"/>
    </row>
    <row r="85" spans="1:14">
      <c r="A85" s="287" t="s">
        <v>732</v>
      </c>
      <c r="B85" s="294">
        <v>1837.67</v>
      </c>
      <c r="C85" s="294"/>
      <c r="D85" s="287" t="s">
        <v>733</v>
      </c>
      <c r="E85" s="294">
        <v>17050.73</v>
      </c>
      <c r="F85" s="294"/>
      <c r="G85" s="287" t="s">
        <v>734</v>
      </c>
      <c r="H85" s="294">
        <v>2526.87</v>
      </c>
      <c r="I85" s="294"/>
      <c r="J85" s="287" t="s">
        <v>735</v>
      </c>
      <c r="K85" s="294">
        <v>558006.9</v>
      </c>
      <c r="L85" s="294"/>
      <c r="M85" s="295"/>
      <c r="N85" s="295"/>
    </row>
    <row r="86" spans="1:14">
      <c r="A86" s="287" t="s">
        <v>736</v>
      </c>
      <c r="B86" s="294">
        <v>48833.43</v>
      </c>
      <c r="C86" s="294"/>
      <c r="D86" s="287" t="s">
        <v>737</v>
      </c>
      <c r="E86" s="294">
        <v>130290.49</v>
      </c>
      <c r="F86" s="294"/>
      <c r="G86" s="287" t="s">
        <v>738</v>
      </c>
      <c r="H86" s="294">
        <v>22286.45</v>
      </c>
      <c r="I86" s="294"/>
      <c r="J86" s="287" t="s">
        <v>739</v>
      </c>
      <c r="K86" s="294">
        <v>48790.13</v>
      </c>
      <c r="L86" s="294"/>
      <c r="M86" s="295"/>
      <c r="N86" s="295"/>
    </row>
    <row r="87" spans="1:14">
      <c r="A87" s="287"/>
      <c r="B87" s="294"/>
      <c r="C87" s="294"/>
      <c r="F87" s="294"/>
      <c r="I87" s="294"/>
      <c r="L87" s="294"/>
    </row>
    <row r="88" spans="1:14">
      <c r="A88" s="287" t="s">
        <v>740</v>
      </c>
      <c r="B88" s="294">
        <v>39120.51</v>
      </c>
      <c r="C88" s="294"/>
      <c r="D88" s="287" t="s">
        <v>741</v>
      </c>
      <c r="E88" s="294">
        <v>15356.1</v>
      </c>
      <c r="F88" s="294"/>
      <c r="G88" s="287" t="s">
        <v>742</v>
      </c>
      <c r="H88" s="294">
        <v>25554.44</v>
      </c>
      <c r="I88" s="294"/>
      <c r="J88" s="916" t="s">
        <v>562</v>
      </c>
      <c r="K88" s="917">
        <v>3801.1</v>
      </c>
      <c r="L88" s="294"/>
      <c r="M88" s="295"/>
      <c r="N88" s="295"/>
    </row>
    <row r="89" spans="1:14">
      <c r="A89" s="287" t="s">
        <v>743</v>
      </c>
      <c r="B89" s="294">
        <v>2596.21</v>
      </c>
      <c r="C89" s="294"/>
      <c r="D89" s="287" t="s">
        <v>744</v>
      </c>
      <c r="E89" s="294">
        <v>1784863.6</v>
      </c>
      <c r="F89" s="294"/>
      <c r="G89" s="287" t="s">
        <v>745</v>
      </c>
      <c r="H89" s="294">
        <v>8078.96</v>
      </c>
      <c r="I89" s="294"/>
      <c r="J89" s="287" t="s">
        <v>746</v>
      </c>
      <c r="K89" s="294">
        <v>33091.660000000003</v>
      </c>
      <c r="L89" s="294"/>
      <c r="M89" s="295"/>
      <c r="N89" s="295"/>
    </row>
    <row r="90" spans="1:14">
      <c r="A90" s="287" t="s">
        <v>747</v>
      </c>
      <c r="B90" s="294">
        <v>54754</v>
      </c>
      <c r="C90" s="294"/>
      <c r="D90" s="287" t="s">
        <v>748</v>
      </c>
      <c r="E90" s="294">
        <v>19061.8</v>
      </c>
      <c r="F90" s="294"/>
      <c r="G90" s="287" t="s">
        <v>749</v>
      </c>
      <c r="H90" s="294">
        <v>48768.46</v>
      </c>
      <c r="I90" s="294"/>
      <c r="J90" s="287" t="s">
        <v>750</v>
      </c>
      <c r="K90" s="294">
        <v>23539.06</v>
      </c>
      <c r="L90" s="294"/>
      <c r="M90" s="295"/>
      <c r="N90" s="295"/>
    </row>
    <row r="91" spans="1:14">
      <c r="A91" s="916" t="s">
        <v>751</v>
      </c>
      <c r="B91" s="917">
        <v>77057.790000000008</v>
      </c>
      <c r="C91" s="294"/>
      <c r="D91" s="287" t="s">
        <v>752</v>
      </c>
      <c r="E91" s="294">
        <v>16075.58</v>
      </c>
      <c r="F91" s="294"/>
      <c r="G91" s="287" t="s">
        <v>753</v>
      </c>
      <c r="H91" s="294">
        <v>1438.96</v>
      </c>
      <c r="I91" s="294"/>
      <c r="J91" s="287" t="s">
        <v>754</v>
      </c>
      <c r="K91" s="294">
        <v>89583.64</v>
      </c>
      <c r="L91" s="294"/>
      <c r="M91" s="295"/>
      <c r="N91" s="295"/>
    </row>
    <row r="92" spans="1:14">
      <c r="A92" s="287" t="s">
        <v>755</v>
      </c>
      <c r="B92" s="294">
        <v>44195.839999999997</v>
      </c>
      <c r="C92" s="294"/>
      <c r="D92" s="287" t="s">
        <v>756</v>
      </c>
      <c r="E92" s="294">
        <v>24626.94</v>
      </c>
      <c r="F92" s="294"/>
      <c r="G92" s="287" t="s">
        <v>757</v>
      </c>
      <c r="H92" s="294">
        <v>18680.400000000001</v>
      </c>
      <c r="I92" s="294"/>
      <c r="J92" s="287" t="s">
        <v>758</v>
      </c>
      <c r="K92" s="294">
        <v>3423.99</v>
      </c>
      <c r="L92" s="294"/>
      <c r="M92" s="295"/>
      <c r="N92" s="295"/>
    </row>
    <row r="93" spans="1:14">
      <c r="A93" s="287"/>
      <c r="B93" s="294"/>
      <c r="C93" s="294"/>
      <c r="F93" s="294"/>
      <c r="I93" s="294"/>
      <c r="L93" s="294"/>
    </row>
    <row r="94" spans="1:14" ht="12.75" customHeight="1">
      <c r="A94" s="287" t="s">
        <v>759</v>
      </c>
      <c r="B94" s="294">
        <v>176241.68</v>
      </c>
      <c r="C94" s="294"/>
      <c r="D94" s="287" t="s">
        <v>760</v>
      </c>
      <c r="E94" s="294">
        <v>35570.76</v>
      </c>
      <c r="F94" s="294"/>
      <c r="G94" s="916" t="s">
        <v>761</v>
      </c>
      <c r="H94" s="917">
        <v>3996.15</v>
      </c>
      <c r="I94" s="294"/>
      <c r="J94" s="287" t="s">
        <v>762</v>
      </c>
      <c r="K94" s="294">
        <v>69147.88</v>
      </c>
      <c r="L94" s="294"/>
      <c r="M94" s="295"/>
      <c r="N94" s="295"/>
    </row>
    <row r="95" spans="1:14">
      <c r="A95" s="287" t="s">
        <v>763</v>
      </c>
      <c r="B95" s="294">
        <v>918798.93</v>
      </c>
      <c r="C95" s="294"/>
      <c r="D95" s="287" t="s">
        <v>764</v>
      </c>
      <c r="E95" s="294">
        <v>16656.330000000002</v>
      </c>
      <c r="F95" s="294"/>
      <c r="G95" s="287" t="s">
        <v>765</v>
      </c>
      <c r="H95" s="294">
        <v>34001.85</v>
      </c>
      <c r="I95" s="294"/>
      <c r="J95" s="287" t="s">
        <v>570</v>
      </c>
      <c r="K95" s="294">
        <v>111614.34</v>
      </c>
      <c r="L95" s="294"/>
      <c r="M95" s="295"/>
      <c r="N95" s="295"/>
    </row>
    <row r="96" spans="1:14">
      <c r="A96" s="287" t="s">
        <v>766</v>
      </c>
      <c r="B96" s="294">
        <v>36394.28</v>
      </c>
      <c r="C96" s="294"/>
      <c r="D96" s="287" t="s">
        <v>767</v>
      </c>
      <c r="E96" s="294">
        <v>2565.81</v>
      </c>
      <c r="F96" s="294"/>
      <c r="G96" s="287" t="s">
        <v>630</v>
      </c>
      <c r="H96" s="294">
        <v>470178.6</v>
      </c>
      <c r="I96" s="294"/>
      <c r="J96" s="287" t="s">
        <v>768</v>
      </c>
      <c r="K96" s="294">
        <v>97393.89</v>
      </c>
      <c r="L96" s="294"/>
      <c r="M96" s="295"/>
      <c r="N96" s="295"/>
    </row>
    <row r="97" spans="1:14">
      <c r="A97" s="287" t="s">
        <v>769</v>
      </c>
      <c r="B97" s="294">
        <v>1742.36</v>
      </c>
      <c r="C97" s="294"/>
      <c r="D97" s="287" t="s">
        <v>770</v>
      </c>
      <c r="E97" s="294">
        <v>1928.72</v>
      </c>
      <c r="F97" s="294"/>
      <c r="G97" s="287" t="s">
        <v>771</v>
      </c>
      <c r="H97" s="294">
        <v>166823.43</v>
      </c>
      <c r="I97" s="294"/>
      <c r="J97" s="287" t="s">
        <v>1116</v>
      </c>
      <c r="K97" s="294">
        <v>442231.7</v>
      </c>
      <c r="L97" s="294"/>
      <c r="M97" s="295"/>
      <c r="N97" s="295"/>
    </row>
    <row r="98" spans="1:14">
      <c r="A98" s="287" t="s">
        <v>772</v>
      </c>
      <c r="B98" s="294">
        <v>6050.54</v>
      </c>
      <c r="C98" s="294"/>
      <c r="D98" s="287" t="s">
        <v>773</v>
      </c>
      <c r="E98" s="294">
        <v>4793.67</v>
      </c>
      <c r="F98" s="294"/>
      <c r="G98" s="287" t="s">
        <v>774</v>
      </c>
      <c r="H98" s="294">
        <v>29368.560000000001</v>
      </c>
      <c r="I98" s="294"/>
      <c r="L98" s="294"/>
      <c r="M98" s="295"/>
      <c r="N98" s="295"/>
    </row>
    <row r="99" spans="1:14">
      <c r="A99" s="287"/>
      <c r="B99" s="294"/>
      <c r="C99" s="294"/>
      <c r="F99" s="294"/>
      <c r="G99" s="287"/>
      <c r="H99" s="294"/>
      <c r="I99" s="294"/>
    </row>
    <row r="100" spans="1:14">
      <c r="A100" s="287" t="s">
        <v>775</v>
      </c>
      <c r="B100" s="294">
        <v>97337.52</v>
      </c>
      <c r="C100" s="294"/>
      <c r="D100" s="287" t="s">
        <v>776</v>
      </c>
      <c r="E100" s="294">
        <v>20782.510000000002</v>
      </c>
      <c r="F100" s="294"/>
      <c r="G100" s="287" t="s">
        <v>777</v>
      </c>
      <c r="H100" s="294">
        <v>19581.920000000002</v>
      </c>
      <c r="I100" s="294"/>
      <c r="J100" s="296" t="s">
        <v>778</v>
      </c>
      <c r="K100" s="297">
        <f>SUM(B58:B105,E58:E105,H58:H105,K58:K97)</f>
        <v>17170129.650000002</v>
      </c>
      <c r="M100" s="295"/>
      <c r="N100" s="295"/>
    </row>
    <row r="101" spans="1:14">
      <c r="A101" s="287" t="s">
        <v>779</v>
      </c>
      <c r="B101" s="294">
        <v>75618.820000000007</v>
      </c>
      <c r="C101" s="294"/>
      <c r="D101" s="287" t="s">
        <v>780</v>
      </c>
      <c r="E101" s="294">
        <v>32584.54</v>
      </c>
      <c r="F101" s="294"/>
      <c r="G101" s="287" t="s">
        <v>781</v>
      </c>
      <c r="H101" s="294">
        <v>8113.64</v>
      </c>
      <c r="I101" s="294"/>
      <c r="J101" s="296" t="s">
        <v>34</v>
      </c>
      <c r="K101" s="297">
        <f>SUM(B6:B52,E6:E52,H6:H22)</f>
        <v>244617375.8199999</v>
      </c>
      <c r="M101" s="295"/>
      <c r="N101" s="295"/>
    </row>
    <row r="102" spans="1:14">
      <c r="A102" s="287" t="s">
        <v>782</v>
      </c>
      <c r="B102" s="294">
        <v>47810.63</v>
      </c>
      <c r="C102" s="294"/>
      <c r="D102" s="287" t="s">
        <v>783</v>
      </c>
      <c r="E102" s="294">
        <v>2453.17</v>
      </c>
      <c r="F102" s="294"/>
      <c r="G102" s="287" t="s">
        <v>784</v>
      </c>
      <c r="H102" s="294">
        <v>20002.37</v>
      </c>
      <c r="I102" s="294"/>
      <c r="J102" s="296" t="s">
        <v>39</v>
      </c>
      <c r="K102" s="297">
        <f>SUM(H30:H52,K6:K27)</f>
        <v>171716566.26000002</v>
      </c>
      <c r="M102" s="295"/>
      <c r="N102" s="295"/>
    </row>
    <row r="103" spans="1:14">
      <c r="A103" s="287" t="s">
        <v>785</v>
      </c>
      <c r="B103" s="294">
        <v>210360.49</v>
      </c>
      <c r="C103" s="294"/>
      <c r="D103" s="287" t="s">
        <v>786</v>
      </c>
      <c r="E103" s="294">
        <v>78925.81</v>
      </c>
      <c r="F103" s="294"/>
      <c r="G103" s="287" t="s">
        <v>787</v>
      </c>
      <c r="H103" s="294">
        <v>202645.68</v>
      </c>
      <c r="I103" s="294"/>
      <c r="K103" s="303"/>
      <c r="M103" s="304"/>
      <c r="N103" s="295"/>
    </row>
    <row r="104" spans="1:14">
      <c r="A104" s="287" t="s">
        <v>788</v>
      </c>
      <c r="B104" s="294">
        <v>6158.92</v>
      </c>
      <c r="C104" s="294"/>
      <c r="D104" s="287" t="s">
        <v>789</v>
      </c>
      <c r="E104" s="294">
        <v>12660.19</v>
      </c>
      <c r="F104" s="294"/>
      <c r="G104" s="287" t="s">
        <v>790</v>
      </c>
      <c r="H104" s="294">
        <v>14471.91</v>
      </c>
      <c r="I104" s="294"/>
      <c r="J104" s="296" t="s">
        <v>40</v>
      </c>
      <c r="K104" s="297">
        <f>SUM(K100:K102)</f>
        <v>433504071.7299999</v>
      </c>
      <c r="M104" s="295"/>
      <c r="N104" s="295"/>
    </row>
    <row r="105" spans="1:14">
      <c r="A105" s="287" t="s">
        <v>791</v>
      </c>
      <c r="B105" s="794">
        <v>43922.84</v>
      </c>
      <c r="C105" s="294"/>
      <c r="D105" s="287" t="s">
        <v>792</v>
      </c>
      <c r="E105" s="294">
        <v>53631.43</v>
      </c>
      <c r="G105" s="287" t="s">
        <v>793</v>
      </c>
      <c r="H105" s="294">
        <v>41335.24</v>
      </c>
      <c r="I105" s="294"/>
      <c r="M105" s="295"/>
      <c r="N105" s="295"/>
    </row>
    <row r="106" spans="1:14">
      <c r="A106" s="287"/>
      <c r="B106" s="294"/>
      <c r="C106" s="294"/>
      <c r="D106" s="287"/>
      <c r="E106" s="294"/>
      <c r="F106" s="294"/>
      <c r="G106" s="287"/>
      <c r="H106" s="294"/>
      <c r="I106" s="294"/>
      <c r="M106" s="295"/>
      <c r="N106" s="295"/>
    </row>
    <row r="107" spans="1:14">
      <c r="A107" s="287" t="s">
        <v>2</v>
      </c>
      <c r="B107" s="294"/>
      <c r="C107" s="294"/>
      <c r="D107" s="287"/>
      <c r="E107" s="294"/>
      <c r="F107" s="294"/>
      <c r="G107" s="287"/>
      <c r="H107" s="294"/>
      <c r="I107" s="294"/>
      <c r="M107" s="295"/>
      <c r="N107" s="295"/>
    </row>
    <row r="108" spans="1:14" ht="59.25" customHeight="1">
      <c r="A108" s="1143" t="s">
        <v>794</v>
      </c>
      <c r="B108" s="1143"/>
      <c r="C108" s="1143"/>
      <c r="D108" s="1143"/>
      <c r="E108" s="1143"/>
      <c r="F108" s="1143"/>
      <c r="G108" s="1143"/>
      <c r="H108" s="294"/>
      <c r="I108" s="294"/>
      <c r="M108" s="295"/>
      <c r="N108" s="295"/>
    </row>
    <row r="109" spans="1:14">
      <c r="A109" s="800" t="s">
        <v>1102</v>
      </c>
      <c r="C109" s="287"/>
      <c r="F109" s="286"/>
      <c r="M109" s="305"/>
    </row>
    <row r="110" spans="1:14" ht="26.7" customHeight="1">
      <c r="A110" s="1144"/>
      <c r="B110" s="1144"/>
      <c r="C110" s="1144"/>
      <c r="D110" s="1144"/>
      <c r="E110" s="1144"/>
      <c r="F110" s="1144"/>
      <c r="G110" s="1144"/>
      <c r="H110" s="294"/>
      <c r="M110" s="305"/>
    </row>
    <row r="112" spans="1:14">
      <c r="A112" s="287"/>
      <c r="B112" s="294"/>
      <c r="C112" s="287"/>
      <c r="D112" s="287"/>
      <c r="E112" s="294"/>
      <c r="G112" s="287"/>
      <c r="H112" s="294"/>
      <c r="M112" s="305"/>
    </row>
    <row r="113" spans="1:13">
      <c r="A113" s="287"/>
      <c r="B113" s="294"/>
      <c r="C113" s="287"/>
      <c r="D113" s="287"/>
      <c r="E113" s="294"/>
      <c r="G113" s="287"/>
      <c r="H113" s="294"/>
      <c r="M113" s="305"/>
    </row>
    <row r="114" spans="1:13">
      <c r="A114" s="287"/>
      <c r="B114" s="294"/>
      <c r="C114" s="287"/>
      <c r="D114" s="287"/>
      <c r="E114" s="294"/>
      <c r="G114" s="287"/>
      <c r="H114" s="294"/>
      <c r="M114" s="305"/>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8:G108"/>
    <mergeCell ref="A110:G110"/>
  </mergeCells>
  <printOptions horizontalCentered="1"/>
  <pageMargins left="0.5" right="0.5" top="0.5" bottom="0.25" header="0.5" footer="0.5"/>
  <pageSetup scale="63" orientation="landscape" r:id="rId2"/>
  <headerFooter alignWithMargins="0"/>
  <rowBreaks count="1" manualBreakCount="1">
    <brk id="52" max="16383" man="1"/>
  </rowBreaks>
  <ignoredErrors>
    <ignoredError sqref="K102" formulaRange="1"/>
  </ignoredErrors>
</worksheet>
</file>

<file path=xl/worksheets/sheet26.xml><?xml version="1.0" encoding="utf-8"?>
<worksheet xmlns="http://schemas.openxmlformats.org/spreadsheetml/2006/main" xmlns:r="http://schemas.openxmlformats.org/officeDocument/2006/relationships">
  <sheetPr codeName="Sheet27"/>
  <dimension ref="B1:O35"/>
  <sheetViews>
    <sheetView zoomScaleNormal="100" workbookViewId="0">
      <selection activeCell="B1" sqref="B1"/>
    </sheetView>
  </sheetViews>
  <sheetFormatPr defaultColWidth="8.6640625" defaultRowHeight="13.2"/>
  <cols>
    <col min="1" max="1" width="1.44140625" style="638" customWidth="1"/>
    <col min="2" max="2" width="9.88671875" style="638" customWidth="1"/>
    <col min="3" max="8" width="17.33203125" style="638" customWidth="1"/>
    <col min="9" max="16384" width="8.6640625" style="638"/>
  </cols>
  <sheetData>
    <row r="1" spans="2:15">
      <c r="B1" s="637" t="s">
        <v>979</v>
      </c>
    </row>
    <row r="2" spans="2:15" ht="13.8" thickBot="1">
      <c r="B2" s="1145" t="s">
        <v>980</v>
      </c>
      <c r="C2" s="1145"/>
      <c r="D2" s="1145"/>
      <c r="E2" s="1145"/>
      <c r="F2" s="1145"/>
      <c r="G2" s="1145"/>
      <c r="H2" s="1145"/>
    </row>
    <row r="3" spans="2:15" s="640" customFormat="1" ht="14.25" customHeight="1">
      <c r="B3" s="639" t="s">
        <v>31</v>
      </c>
      <c r="C3" s="639" t="s">
        <v>955</v>
      </c>
      <c r="D3" s="639" t="s">
        <v>981</v>
      </c>
      <c r="E3" s="639" t="s">
        <v>982</v>
      </c>
      <c r="F3" s="639" t="s">
        <v>983</v>
      </c>
      <c r="G3" s="639" t="s">
        <v>984</v>
      </c>
      <c r="H3" s="639" t="s">
        <v>25</v>
      </c>
    </row>
    <row r="4" spans="2:15" s="640" customFormat="1">
      <c r="B4" s="641" t="s">
        <v>985</v>
      </c>
      <c r="C4" s="641" t="s">
        <v>50</v>
      </c>
      <c r="D4" s="641" t="s">
        <v>986</v>
      </c>
      <c r="E4" s="641" t="s">
        <v>987</v>
      </c>
      <c r="F4" s="641" t="s">
        <v>988</v>
      </c>
      <c r="G4" s="641" t="s">
        <v>989</v>
      </c>
      <c r="H4" s="641" t="s">
        <v>990</v>
      </c>
    </row>
    <row r="6" spans="2:15">
      <c r="C6" s="642"/>
      <c r="D6" s="642"/>
      <c r="E6" s="642"/>
      <c r="F6" s="642"/>
      <c r="G6" s="642"/>
      <c r="H6" s="642"/>
    </row>
    <row r="7" spans="2:15">
      <c r="B7" s="637" t="s">
        <v>991</v>
      </c>
    </row>
    <row r="8" spans="2:15">
      <c r="B8" s="643">
        <v>2008</v>
      </c>
      <c r="C8" s="644">
        <v>1023386154546</v>
      </c>
      <c r="D8" s="644">
        <v>71298689436.800003</v>
      </c>
      <c r="E8" s="644">
        <v>10937223808.700001</v>
      </c>
      <c r="F8" s="644">
        <v>1230553542</v>
      </c>
      <c r="G8" s="644">
        <v>31749628732</v>
      </c>
      <c r="H8" s="644">
        <v>1138602250065.5</v>
      </c>
      <c r="I8" s="645"/>
      <c r="J8" s="645"/>
      <c r="K8" s="645"/>
      <c r="L8" s="645"/>
      <c r="M8" s="645"/>
      <c r="N8" s="645"/>
      <c r="O8" s="645"/>
    </row>
    <row r="9" spans="2:15" s="648" customFormat="1">
      <c r="B9" s="643">
        <f>B8+1</f>
        <v>2009</v>
      </c>
      <c r="C9" s="647">
        <v>988853670404</v>
      </c>
      <c r="D9" s="647">
        <v>68225665096.830002</v>
      </c>
      <c r="E9" s="647">
        <v>12292139802.84</v>
      </c>
      <c r="F9" s="647">
        <v>1214257081</v>
      </c>
      <c r="G9" s="647">
        <v>35243592652.010002</v>
      </c>
      <c r="H9" s="646">
        <v>1105829325036.6799</v>
      </c>
      <c r="I9" s="645"/>
      <c r="J9" s="645"/>
      <c r="K9" s="645"/>
      <c r="L9" s="645"/>
      <c r="M9" s="645"/>
      <c r="N9" s="645"/>
      <c r="O9" s="645"/>
    </row>
    <row r="10" spans="2:15" s="648" customFormat="1">
      <c r="B10" s="643">
        <f t="shared" ref="B10:B12" si="0">B9+1</f>
        <v>2010</v>
      </c>
      <c r="C10" s="646">
        <v>940691278363</v>
      </c>
      <c r="D10" s="646">
        <v>70049322677</v>
      </c>
      <c r="E10" s="646">
        <v>10516518303.0973</v>
      </c>
      <c r="F10" s="646">
        <v>1171770724</v>
      </c>
      <c r="G10" s="646">
        <v>37137075381.304199</v>
      </c>
      <c r="H10" s="646">
        <v>1059565965448.4015</v>
      </c>
      <c r="I10" s="645"/>
      <c r="J10" s="645"/>
      <c r="K10" s="645"/>
      <c r="L10" s="645"/>
      <c r="M10" s="645"/>
      <c r="N10" s="645"/>
      <c r="O10" s="645"/>
    </row>
    <row r="11" spans="2:15" s="648" customFormat="1">
      <c r="B11" s="643">
        <f t="shared" si="0"/>
        <v>2011</v>
      </c>
      <c r="C11" s="646">
        <v>949019441456</v>
      </c>
      <c r="D11" s="646">
        <v>71600491420.522705</v>
      </c>
      <c r="E11" s="646">
        <v>9566162074.7299995</v>
      </c>
      <c r="F11" s="646">
        <v>1085887806</v>
      </c>
      <c r="G11" s="646">
        <v>38455832383.529999</v>
      </c>
      <c r="H11" s="646">
        <v>1069727815140.7827</v>
      </c>
      <c r="I11" s="645"/>
      <c r="J11" s="645"/>
      <c r="K11" s="645"/>
      <c r="L11" s="645"/>
      <c r="M11" s="645"/>
      <c r="N11" s="645"/>
      <c r="O11" s="645"/>
    </row>
    <row r="12" spans="2:15" s="648" customFormat="1">
      <c r="B12" s="649">
        <f t="shared" si="0"/>
        <v>2012</v>
      </c>
      <c r="C12" s="650">
        <f>'Table 6.2'!F197</f>
        <v>954082225088</v>
      </c>
      <c r="D12" s="650">
        <f>'Table 6.4'!B202</f>
        <v>76551011940.398544</v>
      </c>
      <c r="E12" s="650">
        <f>'Table 6.4'!F202</f>
        <v>9960729549.4448147</v>
      </c>
      <c r="F12" s="650">
        <f>'Table 6.4'!J202</f>
        <v>1127437244</v>
      </c>
      <c r="G12" s="650">
        <f>'Table 6.4'!N202</f>
        <v>40142313094.439865</v>
      </c>
      <c r="H12" s="650">
        <f>SUM(C12:G12)</f>
        <v>1081863716916.2832</v>
      </c>
      <c r="I12" s="645"/>
    </row>
    <row r="13" spans="2:15">
      <c r="C13" s="642"/>
      <c r="D13" s="642"/>
      <c r="E13" s="642"/>
      <c r="F13" s="642"/>
      <c r="G13" s="642"/>
      <c r="H13" s="642"/>
    </row>
    <row r="14" spans="2:15">
      <c r="B14" s="764" t="s">
        <v>992</v>
      </c>
    </row>
    <row r="15" spans="2:15">
      <c r="B15" s="643">
        <v>2008</v>
      </c>
      <c r="C15" s="644">
        <v>8781051378.9085999</v>
      </c>
      <c r="D15" s="644">
        <v>2484453123.6851497</v>
      </c>
      <c r="E15" s="644">
        <v>202986629.26800001</v>
      </c>
      <c r="F15" s="644">
        <v>12297013.2322</v>
      </c>
      <c r="G15" s="644">
        <v>242598481.04204994</v>
      </c>
      <c r="H15" s="644">
        <v>11723386626.136003</v>
      </c>
      <c r="I15" s="645"/>
      <c r="J15" s="645"/>
      <c r="K15" s="645"/>
      <c r="L15" s="645"/>
      <c r="M15" s="645"/>
      <c r="N15" s="645"/>
    </row>
    <row r="16" spans="2:15" s="648" customFormat="1">
      <c r="B16" s="643">
        <f>B15+1</f>
        <v>2009</v>
      </c>
      <c r="C16" s="646">
        <v>8871606716.8364296</v>
      </c>
      <c r="D16" s="646">
        <v>2400518627.0489197</v>
      </c>
      <c r="E16" s="646">
        <v>218253943.89255002</v>
      </c>
      <c r="F16" s="646">
        <v>12177007.870000001</v>
      </c>
      <c r="G16" s="646">
        <v>281165880.07225001</v>
      </c>
      <c r="H16" s="646">
        <v>11783722175.72015</v>
      </c>
      <c r="I16" s="645"/>
      <c r="J16" s="645"/>
      <c r="K16" s="645"/>
      <c r="L16" s="645"/>
      <c r="M16" s="645"/>
      <c r="N16" s="645"/>
    </row>
    <row r="17" spans="2:14" s="648" customFormat="1">
      <c r="B17" s="643">
        <f t="shared" ref="B17:B19" si="1">B16+1</f>
        <v>2010</v>
      </c>
      <c r="C17" s="646">
        <v>8705130276</v>
      </c>
      <c r="D17" s="646">
        <v>2478543093</v>
      </c>
      <c r="E17" s="646">
        <v>211819048</v>
      </c>
      <c r="F17" s="646">
        <v>11535244</v>
      </c>
      <c r="G17" s="646">
        <v>299030541</v>
      </c>
      <c r="H17" s="646">
        <v>11783722175.72015</v>
      </c>
      <c r="I17" s="645"/>
      <c r="J17" s="645"/>
      <c r="K17" s="645"/>
      <c r="L17" s="645"/>
      <c r="M17" s="645"/>
      <c r="N17" s="645"/>
    </row>
    <row r="18" spans="2:14" s="648" customFormat="1">
      <c r="B18" s="643">
        <f t="shared" si="1"/>
        <v>2011</v>
      </c>
      <c r="C18" s="646">
        <v>8790447899.3013458</v>
      </c>
      <c r="D18" s="646">
        <v>2558502670.7351794</v>
      </c>
      <c r="E18" s="646">
        <v>202650255.29854995</v>
      </c>
      <c r="F18" s="646">
        <v>11490972.130000001</v>
      </c>
      <c r="G18" s="646">
        <v>312876439.71959007</v>
      </c>
      <c r="H18" s="646">
        <v>11875968237.184664</v>
      </c>
      <c r="I18" s="645"/>
      <c r="J18" s="645"/>
      <c r="K18" s="645"/>
      <c r="L18" s="645"/>
      <c r="M18" s="645"/>
      <c r="N18" s="645"/>
    </row>
    <row r="19" spans="2:14" s="648" customFormat="1">
      <c r="B19" s="649">
        <f t="shared" si="1"/>
        <v>2012</v>
      </c>
      <c r="C19" s="650">
        <f>'Table 6.2'!G197</f>
        <v>9028485887.7150097</v>
      </c>
      <c r="D19" s="650">
        <f>'Table 6.4'!D202</f>
        <v>2715569603.3781657</v>
      </c>
      <c r="E19" s="650">
        <f>'Table 6.4'!H202</f>
        <v>204875153.76855001</v>
      </c>
      <c r="F19" s="650">
        <f>'Table 6.4'!L202</f>
        <v>12053117.250000002</v>
      </c>
      <c r="G19" s="650">
        <f>'Table 6.4'!P202</f>
        <v>341667054.90107906</v>
      </c>
      <c r="H19" s="650">
        <f>SUM(C19:G19)</f>
        <v>12302650817.012806</v>
      </c>
    </row>
    <row r="21" spans="2:14">
      <c r="B21" s="637" t="s">
        <v>993</v>
      </c>
    </row>
    <row r="22" spans="2:14">
      <c r="B22" s="643">
        <v>2008</v>
      </c>
      <c r="C22" s="918">
        <f>C15/C8*100</f>
        <v>0.85803890739601585</v>
      </c>
      <c r="D22" s="918">
        <f t="shared" ref="C22:H26" si="2">D15/D8*100</f>
        <v>3.4845705346202722</v>
      </c>
      <c r="E22" s="918">
        <f t="shared" si="2"/>
        <v>1.8559246187001728</v>
      </c>
      <c r="F22" s="918">
        <f t="shared" si="2"/>
        <v>0.99930745087400685</v>
      </c>
      <c r="G22" s="918">
        <f t="shared" si="2"/>
        <v>0.76409863904184305</v>
      </c>
      <c r="H22" s="918">
        <f t="shared" si="2"/>
        <v>1.0296296731770551</v>
      </c>
      <c r="I22" s="645"/>
      <c r="J22" s="645"/>
      <c r="K22" s="645"/>
      <c r="L22" s="645"/>
      <c r="M22" s="645"/>
      <c r="N22" s="645"/>
    </row>
    <row r="23" spans="2:14">
      <c r="B23" s="643">
        <f>B22+1</f>
        <v>2009</v>
      </c>
      <c r="C23" s="651">
        <f t="shared" si="2"/>
        <v>0.89716072077801967</v>
      </c>
      <c r="D23" s="651">
        <f t="shared" si="2"/>
        <v>3.5184979488905794</v>
      </c>
      <c r="E23" s="651">
        <f t="shared" si="2"/>
        <v>1.775556960734568</v>
      </c>
      <c r="F23" s="651">
        <f t="shared" si="2"/>
        <v>1.0028360600517678</v>
      </c>
      <c r="G23" s="651">
        <f t="shared" si="2"/>
        <v>0.79777871356203711</v>
      </c>
      <c r="H23" s="651">
        <f t="shared" si="2"/>
        <v>1.0656004420328868</v>
      </c>
      <c r="I23" s="645"/>
      <c r="J23" s="645"/>
      <c r="K23" s="645"/>
      <c r="L23" s="645"/>
      <c r="M23" s="645"/>
      <c r="N23" s="645"/>
    </row>
    <row r="24" spans="2:14">
      <c r="B24" s="643">
        <f t="shared" ref="B24:B26" si="3">B23+1</f>
        <v>2010</v>
      </c>
      <c r="C24" s="651">
        <f t="shared" si="2"/>
        <v>0.92539714954610308</v>
      </c>
      <c r="D24" s="651">
        <f t="shared" si="2"/>
        <v>3.5382827389047757</v>
      </c>
      <c r="E24" s="651">
        <f t="shared" si="2"/>
        <v>2.0141556539450471</v>
      </c>
      <c r="F24" s="651">
        <f t="shared" si="2"/>
        <v>0.9844284179265772</v>
      </c>
      <c r="G24" s="651">
        <f t="shared" si="2"/>
        <v>0.80520756664252557</v>
      </c>
      <c r="H24" s="651">
        <f t="shared" si="2"/>
        <v>1.1121272823002912</v>
      </c>
      <c r="I24" s="645"/>
      <c r="J24" s="645"/>
      <c r="K24" s="645"/>
      <c r="L24" s="645"/>
      <c r="M24" s="645"/>
      <c r="N24" s="645"/>
    </row>
    <row r="25" spans="2:14">
      <c r="B25" s="643">
        <f t="shared" si="3"/>
        <v>2011</v>
      </c>
      <c r="C25" s="651">
        <f t="shared" si="2"/>
        <v>0.9262663666631431</v>
      </c>
      <c r="D25" s="651">
        <f t="shared" si="2"/>
        <v>3.57330322736003</v>
      </c>
      <c r="E25" s="651">
        <f t="shared" si="2"/>
        <v>2.1184070865145745</v>
      </c>
      <c r="F25" s="651">
        <f t="shared" si="2"/>
        <v>1.0582098874770862</v>
      </c>
      <c r="G25" s="651">
        <f t="shared" si="2"/>
        <v>0.81359944728069367</v>
      </c>
      <c r="H25" s="651">
        <f t="shared" si="2"/>
        <v>1.1101859808723131</v>
      </c>
      <c r="I25" s="645"/>
      <c r="J25" s="645"/>
      <c r="K25" s="645"/>
      <c r="L25" s="645"/>
      <c r="M25" s="645"/>
      <c r="N25" s="645"/>
    </row>
    <row r="26" spans="2:14">
      <c r="B26" s="649">
        <f t="shared" si="3"/>
        <v>2012</v>
      </c>
      <c r="C26" s="652">
        <f>C19/C12*100</f>
        <v>0.94630060704487662</v>
      </c>
      <c r="D26" s="652">
        <f t="shared" si="2"/>
        <v>3.5473987012640236</v>
      </c>
      <c r="E26" s="652">
        <f t="shared" si="2"/>
        <v>2.0568287970429759</v>
      </c>
      <c r="F26" s="652">
        <f t="shared" si="2"/>
        <v>1.0690721203458844</v>
      </c>
      <c r="G26" s="652">
        <f t="shared" si="2"/>
        <v>0.85113943010026383</v>
      </c>
      <c r="H26" s="652">
        <f t="shared" si="2"/>
        <v>1.1371719584126518</v>
      </c>
    </row>
    <row r="27" spans="2:14" s="648" customFormat="1"/>
    <row r="28" spans="2:14">
      <c r="B28" s="642" t="s">
        <v>27</v>
      </c>
    </row>
    <row r="29" spans="2:14">
      <c r="B29" s="1146" t="s">
        <v>994</v>
      </c>
      <c r="C29" s="1147"/>
      <c r="D29" s="1147"/>
      <c r="E29" s="1147"/>
      <c r="F29" s="1147"/>
      <c r="G29" s="1147"/>
      <c r="H29" s="1147"/>
    </row>
    <row r="33" spans="2:2">
      <c r="B33" s="642"/>
    </row>
    <row r="34" spans="2:2">
      <c r="B34" s="642"/>
    </row>
    <row r="35" spans="2:2">
      <c r="B35" s="642"/>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rowBreaks count="1" manualBreakCount="1">
    <brk id="30" max="16383" man="1"/>
  </rowBreaks>
</worksheet>
</file>

<file path=xl/worksheets/sheet27.xml><?xml version="1.0" encoding="utf-8"?>
<worksheet xmlns="http://schemas.openxmlformats.org/spreadsheetml/2006/main" xmlns:r="http://schemas.openxmlformats.org/officeDocument/2006/relationships">
  <sheetPr codeName="Sheet28"/>
  <dimension ref="A1:CT214"/>
  <sheetViews>
    <sheetView zoomScaleNormal="100" workbookViewId="0"/>
  </sheetViews>
  <sheetFormatPr defaultColWidth="13.6640625" defaultRowHeight="11.4"/>
  <cols>
    <col min="1" max="1" width="14.44140625" style="518" customWidth="1"/>
    <col min="2" max="2" width="15.33203125" style="518" customWidth="1"/>
    <col min="3" max="3" width="15.6640625" style="518" customWidth="1"/>
    <col min="4" max="4" width="15.33203125" style="518" customWidth="1"/>
    <col min="5" max="6" width="16.88671875" style="518" customWidth="1"/>
    <col min="7" max="7" width="13.33203125" style="518" customWidth="1"/>
    <col min="8" max="8" width="14.44140625" style="519" customWidth="1"/>
    <col min="9" max="11" width="8.33203125" style="518" customWidth="1"/>
    <col min="12" max="98" width="13.6640625" style="520" customWidth="1"/>
    <col min="99" max="16384" width="13.6640625" style="518"/>
  </cols>
  <sheetData>
    <row r="1" spans="1:98" ht="13.8">
      <c r="A1" s="517" t="s">
        <v>931</v>
      </c>
      <c r="M1" s="521"/>
    </row>
    <row r="2" spans="1:98" ht="13.2">
      <c r="A2" s="1148" t="s">
        <v>1103</v>
      </c>
      <c r="B2" s="1149"/>
      <c r="C2" s="1149"/>
      <c r="D2" s="1149"/>
      <c r="E2" s="1149"/>
      <c r="F2" s="1149"/>
      <c r="G2" s="1149"/>
      <c r="H2" s="1149"/>
      <c r="M2" s="1155"/>
      <c r="N2" s="1155"/>
      <c r="O2" s="1155"/>
      <c r="P2" s="1155"/>
      <c r="Q2" s="1155"/>
      <c r="R2" s="1155"/>
      <c r="S2" s="1155"/>
      <c r="T2" s="1155"/>
      <c r="V2" s="521"/>
    </row>
    <row r="3" spans="1:98" ht="12.6" thickBot="1">
      <c r="A3" s="524"/>
      <c r="B3" s="524"/>
      <c r="C3" s="524"/>
      <c r="D3" s="524"/>
      <c r="E3" s="524"/>
      <c r="F3" s="524"/>
      <c r="G3" s="524"/>
      <c r="H3" s="524"/>
      <c r="M3" s="523"/>
      <c r="N3" s="523"/>
      <c r="O3" s="523"/>
      <c r="P3" s="523"/>
      <c r="Q3" s="523"/>
      <c r="R3" s="523"/>
      <c r="S3" s="523"/>
      <c r="T3" s="523"/>
      <c r="V3" s="521"/>
    </row>
    <row r="5" spans="1:98" s="527" customFormat="1" ht="12">
      <c r="A5" s="525" t="s">
        <v>33</v>
      </c>
      <c r="B5" s="525" t="s">
        <v>932</v>
      </c>
      <c r="C5" s="525" t="s">
        <v>933</v>
      </c>
      <c r="D5" s="525" t="s">
        <v>934</v>
      </c>
      <c r="E5" s="525" t="s">
        <v>935</v>
      </c>
      <c r="F5" s="525" t="s">
        <v>936</v>
      </c>
      <c r="G5" s="525" t="s">
        <v>937</v>
      </c>
      <c r="H5" s="526" t="s">
        <v>938</v>
      </c>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c r="BD5" s="528"/>
      <c r="BE5" s="528"/>
      <c r="BF5" s="528"/>
      <c r="BG5" s="528"/>
      <c r="BH5" s="528"/>
      <c r="BI5" s="528"/>
      <c r="BJ5" s="528"/>
      <c r="BK5" s="528"/>
      <c r="BL5" s="528"/>
      <c r="BM5" s="528"/>
      <c r="BN5" s="528"/>
      <c r="BO5" s="528"/>
      <c r="BP5" s="528"/>
      <c r="BQ5" s="528"/>
      <c r="BR5" s="528"/>
      <c r="BS5" s="528"/>
      <c r="BT5" s="528"/>
      <c r="BU5" s="528"/>
      <c r="BV5" s="528"/>
      <c r="BW5" s="528"/>
      <c r="BX5" s="528"/>
      <c r="BY5" s="528"/>
      <c r="BZ5" s="528"/>
      <c r="CA5" s="528"/>
      <c r="CB5" s="528"/>
      <c r="CC5" s="528"/>
      <c r="CD5" s="528"/>
      <c r="CE5" s="528"/>
      <c r="CF5" s="528"/>
      <c r="CG5" s="528"/>
      <c r="CH5" s="528"/>
      <c r="CI5" s="528"/>
      <c r="CJ5" s="528"/>
      <c r="CK5" s="528"/>
      <c r="CL5" s="528"/>
      <c r="CM5" s="528"/>
      <c r="CN5" s="528"/>
      <c r="CO5" s="528"/>
      <c r="CP5" s="528"/>
      <c r="CQ5" s="528"/>
      <c r="CR5" s="528"/>
      <c r="CS5" s="528"/>
      <c r="CT5" s="528"/>
    </row>
    <row r="6" spans="1:98" ht="8.25" customHeight="1"/>
    <row r="7" spans="1:98" s="529" customFormat="1" ht="12" customHeight="1">
      <c r="A7" s="529" t="s">
        <v>99</v>
      </c>
      <c r="B7" s="530">
        <v>1866140500</v>
      </c>
      <c r="C7" s="530">
        <v>1591271500</v>
      </c>
      <c r="D7" s="530">
        <v>2005890800</v>
      </c>
      <c r="E7" s="901">
        <v>3872031300</v>
      </c>
      <c r="F7" s="901">
        <v>3597162300</v>
      </c>
      <c r="G7" s="530">
        <v>18562298</v>
      </c>
      <c r="H7" s="532">
        <v>2012</v>
      </c>
      <c r="I7" s="533"/>
      <c r="J7" s="533"/>
      <c r="K7" s="533"/>
      <c r="L7" s="534"/>
      <c r="M7" s="534"/>
      <c r="N7" s="535"/>
      <c r="O7" s="535"/>
      <c r="P7" s="535"/>
      <c r="Q7" s="535"/>
      <c r="R7" s="535"/>
      <c r="S7" s="535"/>
      <c r="T7" s="536"/>
      <c r="U7" s="534"/>
      <c r="V7" s="534"/>
      <c r="W7" s="537"/>
      <c r="X7" s="537"/>
      <c r="Y7" s="537"/>
      <c r="Z7" s="537"/>
      <c r="AA7" s="537"/>
      <c r="AB7" s="537"/>
      <c r="AC7" s="537"/>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534"/>
      <c r="BI7" s="534"/>
      <c r="BJ7" s="534"/>
      <c r="BK7" s="534"/>
      <c r="BL7" s="534"/>
      <c r="BM7" s="534"/>
      <c r="BN7" s="534"/>
      <c r="BO7" s="534"/>
      <c r="BP7" s="534"/>
      <c r="BQ7" s="534"/>
      <c r="BR7" s="534"/>
      <c r="BS7" s="534"/>
      <c r="BT7" s="534"/>
      <c r="BU7" s="534"/>
      <c r="BV7" s="534"/>
      <c r="BW7" s="534"/>
      <c r="BX7" s="534"/>
      <c r="BY7" s="534"/>
      <c r="BZ7" s="534"/>
      <c r="CA7" s="534"/>
      <c r="CB7" s="534"/>
      <c r="CC7" s="534"/>
      <c r="CD7" s="534"/>
      <c r="CE7" s="534"/>
      <c r="CF7" s="534"/>
      <c r="CG7" s="534"/>
      <c r="CH7" s="534"/>
      <c r="CI7" s="534"/>
      <c r="CJ7" s="534"/>
      <c r="CK7" s="534"/>
      <c r="CL7" s="534"/>
      <c r="CM7" s="534"/>
      <c r="CN7" s="534"/>
      <c r="CO7" s="534"/>
      <c r="CP7" s="534"/>
      <c r="CQ7" s="534"/>
      <c r="CR7" s="534"/>
      <c r="CS7" s="534"/>
      <c r="CT7" s="534"/>
    </row>
    <row r="8" spans="1:98" ht="12" customHeight="1">
      <c r="A8" s="518" t="s">
        <v>101</v>
      </c>
      <c r="B8" s="538">
        <v>8073336000</v>
      </c>
      <c r="C8" s="538">
        <v>5906938700</v>
      </c>
      <c r="D8" s="538">
        <v>8941236300</v>
      </c>
      <c r="E8" s="902">
        <v>17014572300</v>
      </c>
      <c r="F8" s="902">
        <v>14848175000</v>
      </c>
      <c r="G8" s="538">
        <v>113143093.5</v>
      </c>
      <c r="H8" s="532">
        <v>2012</v>
      </c>
      <c r="I8" s="533"/>
      <c r="J8" s="533"/>
      <c r="K8" s="533"/>
      <c r="N8" s="540"/>
      <c r="O8" s="540"/>
      <c r="P8" s="540"/>
      <c r="Q8" s="540"/>
      <c r="R8" s="540"/>
      <c r="S8" s="540"/>
      <c r="T8" s="541"/>
      <c r="W8" s="542"/>
      <c r="X8" s="542"/>
      <c r="Y8" s="542"/>
      <c r="Z8" s="542"/>
      <c r="AA8" s="542"/>
      <c r="AB8" s="542"/>
      <c r="AC8" s="542"/>
    </row>
    <row r="9" spans="1:98" ht="12" customHeight="1">
      <c r="A9" s="518" t="s">
        <v>103</v>
      </c>
      <c r="B9" s="543">
        <v>300964000</v>
      </c>
      <c r="C9" s="543">
        <v>217803900</v>
      </c>
      <c r="D9" s="543">
        <v>782856600</v>
      </c>
      <c r="E9" s="903">
        <v>1083820600</v>
      </c>
      <c r="F9" s="903">
        <v>1000660500</v>
      </c>
      <c r="G9" s="543">
        <v>6704425.3500000006</v>
      </c>
      <c r="H9" s="532">
        <v>2012</v>
      </c>
      <c r="I9" s="533"/>
      <c r="J9" s="533"/>
      <c r="K9" s="533"/>
      <c r="N9" s="540"/>
      <c r="O9" s="540"/>
      <c r="P9" s="540"/>
      <c r="Q9" s="540"/>
      <c r="R9" s="540"/>
      <c r="S9" s="540"/>
      <c r="T9" s="541"/>
      <c r="W9" s="542"/>
      <c r="X9" s="542"/>
      <c r="Y9" s="542"/>
      <c r="Z9" s="542"/>
      <c r="AA9" s="542"/>
      <c r="AB9" s="542"/>
      <c r="AC9" s="542"/>
    </row>
    <row r="10" spans="1:98" ht="12" customHeight="1">
      <c r="A10" s="518" t="s">
        <v>105</v>
      </c>
      <c r="B10" s="538">
        <v>478012800</v>
      </c>
      <c r="C10" s="538">
        <v>402396600</v>
      </c>
      <c r="D10" s="538">
        <v>634801200</v>
      </c>
      <c r="E10" s="902">
        <v>1112814000</v>
      </c>
      <c r="F10" s="902">
        <v>1037197800</v>
      </c>
      <c r="G10" s="538">
        <v>4874829.66</v>
      </c>
      <c r="H10" s="532">
        <v>2012</v>
      </c>
      <c r="I10" s="533"/>
      <c r="J10" s="533"/>
      <c r="K10" s="533"/>
      <c r="N10" s="540"/>
      <c r="O10" s="540"/>
      <c r="P10" s="540"/>
      <c r="Q10" s="540"/>
      <c r="R10" s="540"/>
      <c r="S10" s="540"/>
      <c r="T10" s="541"/>
      <c r="W10" s="542"/>
      <c r="X10" s="542"/>
      <c r="Y10" s="542"/>
      <c r="Z10" s="542"/>
      <c r="AA10" s="542"/>
      <c r="AB10" s="542"/>
      <c r="AC10" s="542"/>
    </row>
    <row r="11" spans="1:98" ht="12" customHeight="1">
      <c r="A11" s="518" t="s">
        <v>107</v>
      </c>
      <c r="B11" s="538">
        <v>1103790900</v>
      </c>
      <c r="C11" s="538">
        <v>825389100</v>
      </c>
      <c r="D11" s="538">
        <v>1565075400</v>
      </c>
      <c r="E11" s="902">
        <v>2668866300</v>
      </c>
      <c r="F11" s="902">
        <v>2390464500</v>
      </c>
      <c r="G11" s="538">
        <v>12430415.4</v>
      </c>
      <c r="H11" s="532">
        <v>2012</v>
      </c>
      <c r="I11" s="533"/>
      <c r="J11" s="533"/>
      <c r="K11" s="533"/>
      <c r="N11" s="540"/>
      <c r="O11" s="540"/>
      <c r="P11" s="540"/>
      <c r="Q11" s="540"/>
      <c r="R11" s="540"/>
      <c r="S11" s="540"/>
      <c r="T11" s="541"/>
      <c r="W11" s="542"/>
      <c r="X11" s="542"/>
      <c r="Y11" s="542"/>
      <c r="Z11" s="542"/>
      <c r="AA11" s="542"/>
      <c r="AB11" s="542"/>
      <c r="AC11" s="542"/>
    </row>
    <row r="12" spans="1:98" ht="9" customHeight="1">
      <c r="B12" s="538"/>
      <c r="C12" s="538"/>
      <c r="D12" s="538"/>
      <c r="E12" s="902"/>
      <c r="F12" s="902"/>
      <c r="G12" s="538"/>
      <c r="N12" s="540"/>
      <c r="O12" s="540"/>
      <c r="P12" s="540"/>
      <c r="Q12" s="540"/>
      <c r="R12" s="540"/>
      <c r="S12" s="540"/>
      <c r="T12" s="541"/>
      <c r="W12" s="542"/>
      <c r="X12" s="542"/>
      <c r="Y12" s="542"/>
      <c r="Z12" s="542"/>
      <c r="AA12" s="542"/>
      <c r="AB12" s="542"/>
      <c r="AC12" s="542"/>
    </row>
    <row r="13" spans="1:98" s="529" customFormat="1" ht="12" customHeight="1">
      <c r="A13" s="529" t="s">
        <v>109</v>
      </c>
      <c r="B13" s="538">
        <v>619666500</v>
      </c>
      <c r="C13" s="538">
        <v>565899640</v>
      </c>
      <c r="D13" s="538">
        <v>738088500</v>
      </c>
      <c r="E13" s="902">
        <v>1357755000</v>
      </c>
      <c r="F13" s="902">
        <v>1303988140</v>
      </c>
      <c r="G13" s="538">
        <v>7497931.8049999997</v>
      </c>
      <c r="H13" s="532">
        <v>2012</v>
      </c>
      <c r="I13" s="533"/>
      <c r="J13" s="533"/>
      <c r="K13" s="533"/>
      <c r="L13" s="534"/>
      <c r="M13" s="534"/>
      <c r="N13" s="545"/>
      <c r="O13" s="545"/>
      <c r="P13" s="545"/>
      <c r="Q13" s="545"/>
      <c r="R13" s="545"/>
      <c r="S13" s="545"/>
      <c r="T13" s="536"/>
      <c r="U13" s="534"/>
      <c r="V13" s="534"/>
      <c r="W13" s="537"/>
      <c r="X13" s="537"/>
      <c r="Y13" s="537"/>
      <c r="Z13" s="537"/>
      <c r="AA13" s="537"/>
      <c r="AB13" s="537"/>
      <c r="AC13" s="537"/>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4"/>
      <c r="BB13" s="534"/>
      <c r="BC13" s="534"/>
      <c r="BD13" s="534"/>
      <c r="BE13" s="534"/>
      <c r="BF13" s="534"/>
      <c r="BG13" s="534"/>
      <c r="BH13" s="534"/>
      <c r="BI13" s="534"/>
      <c r="BJ13" s="534"/>
      <c r="BK13" s="534"/>
      <c r="BL13" s="534"/>
      <c r="BM13" s="534"/>
      <c r="BN13" s="534"/>
      <c r="BO13" s="534"/>
      <c r="BP13" s="534"/>
      <c r="BQ13" s="534"/>
      <c r="BR13" s="534"/>
      <c r="BS13" s="534"/>
      <c r="BT13" s="534"/>
      <c r="BU13" s="534"/>
      <c r="BV13" s="534"/>
      <c r="BW13" s="534"/>
      <c r="BX13" s="534"/>
      <c r="BY13" s="534"/>
      <c r="BZ13" s="534"/>
      <c r="CA13" s="534"/>
      <c r="CB13" s="534"/>
      <c r="CC13" s="534"/>
      <c r="CD13" s="534"/>
      <c r="CE13" s="534"/>
      <c r="CF13" s="534"/>
      <c r="CG13" s="534"/>
      <c r="CH13" s="534"/>
      <c r="CI13" s="534"/>
      <c r="CJ13" s="534"/>
      <c r="CK13" s="534"/>
      <c r="CL13" s="534"/>
      <c r="CM13" s="534"/>
      <c r="CN13" s="534"/>
      <c r="CO13" s="534"/>
      <c r="CP13" s="534"/>
      <c r="CQ13" s="534"/>
      <c r="CR13" s="534"/>
      <c r="CS13" s="534"/>
      <c r="CT13" s="534"/>
    </row>
    <row r="14" spans="1:98" ht="12" customHeight="1">
      <c r="A14" s="518" t="s">
        <v>111</v>
      </c>
      <c r="B14" s="538">
        <v>23941581200</v>
      </c>
      <c r="C14" s="538">
        <v>23941581200</v>
      </c>
      <c r="D14" s="538">
        <v>38949749100</v>
      </c>
      <c r="E14" s="902">
        <v>62891330300</v>
      </c>
      <c r="F14" s="902">
        <v>62891330300</v>
      </c>
      <c r="G14" s="538">
        <v>664696890.17999995</v>
      </c>
      <c r="H14" s="532">
        <v>2012</v>
      </c>
      <c r="I14" s="533"/>
      <c r="J14" s="533"/>
      <c r="K14" s="533"/>
      <c r="N14" s="540"/>
      <c r="O14" s="540"/>
      <c r="P14" s="540"/>
      <c r="Q14" s="540"/>
      <c r="R14" s="540"/>
      <c r="S14" s="540"/>
      <c r="T14" s="541"/>
      <c r="W14" s="542"/>
      <c r="X14" s="542"/>
      <c r="Y14" s="542"/>
      <c r="Z14" s="542"/>
      <c r="AA14" s="542"/>
      <c r="AB14" s="542"/>
      <c r="AC14" s="542"/>
    </row>
    <row r="15" spans="1:98" s="529" customFormat="1" ht="12" customHeight="1">
      <c r="A15" s="529" t="s">
        <v>113</v>
      </c>
      <c r="B15" s="543">
        <v>3899445600</v>
      </c>
      <c r="C15" s="543">
        <v>2496261950</v>
      </c>
      <c r="D15" s="543">
        <v>4175790500</v>
      </c>
      <c r="E15" s="903">
        <v>8075236100</v>
      </c>
      <c r="F15" s="903">
        <v>6672052450</v>
      </c>
      <c r="G15" s="543">
        <v>32025852.07</v>
      </c>
      <c r="H15" s="532">
        <v>2012</v>
      </c>
      <c r="I15" s="533"/>
      <c r="J15" s="533"/>
      <c r="K15" s="533"/>
      <c r="L15" s="534"/>
      <c r="M15" s="534"/>
      <c r="N15" s="545"/>
      <c r="O15" s="545"/>
      <c r="P15" s="545"/>
      <c r="Q15" s="545"/>
      <c r="R15" s="545"/>
      <c r="S15" s="545"/>
      <c r="T15" s="536"/>
      <c r="U15" s="534"/>
      <c r="V15" s="534"/>
      <c r="W15" s="537"/>
      <c r="X15" s="537"/>
      <c r="Y15" s="537"/>
      <c r="Z15" s="537"/>
      <c r="AA15" s="537"/>
      <c r="AB15" s="537"/>
      <c r="AC15" s="537"/>
      <c r="AD15" s="534"/>
      <c r="AE15" s="534"/>
      <c r="AF15" s="534"/>
      <c r="AG15" s="534"/>
      <c r="AH15" s="534"/>
      <c r="AI15" s="534"/>
      <c r="AJ15" s="534"/>
      <c r="AK15" s="534"/>
      <c r="AL15" s="534"/>
      <c r="AM15" s="534"/>
      <c r="AN15" s="534"/>
      <c r="AO15" s="534"/>
      <c r="AP15" s="534"/>
      <c r="AQ15" s="534"/>
      <c r="AR15" s="534"/>
      <c r="AS15" s="534"/>
      <c r="AT15" s="534"/>
      <c r="AU15" s="534"/>
      <c r="AV15" s="534"/>
      <c r="AW15" s="534"/>
      <c r="AX15" s="534"/>
      <c r="AY15" s="534"/>
      <c r="AZ15" s="534"/>
      <c r="BA15" s="534"/>
      <c r="BB15" s="534"/>
      <c r="BC15" s="534"/>
      <c r="BD15" s="534"/>
      <c r="BE15" s="534"/>
      <c r="BF15" s="534"/>
      <c r="BG15" s="534"/>
      <c r="BH15" s="534"/>
      <c r="BI15" s="534"/>
      <c r="BJ15" s="534"/>
      <c r="BK15" s="534"/>
      <c r="BL15" s="534"/>
      <c r="BM15" s="534"/>
      <c r="BN15" s="534"/>
      <c r="BO15" s="534"/>
      <c r="BP15" s="534"/>
      <c r="BQ15" s="534"/>
      <c r="BR15" s="534"/>
      <c r="BS15" s="534"/>
      <c r="BT15" s="534"/>
      <c r="BU15" s="534"/>
      <c r="BV15" s="534"/>
      <c r="BW15" s="534"/>
      <c r="BX15" s="534"/>
      <c r="BY15" s="534"/>
      <c r="BZ15" s="534"/>
      <c r="CA15" s="534"/>
      <c r="CB15" s="534"/>
      <c r="CC15" s="534"/>
      <c r="CD15" s="534"/>
      <c r="CE15" s="534"/>
      <c r="CF15" s="534"/>
      <c r="CG15" s="534"/>
      <c r="CH15" s="534"/>
      <c r="CI15" s="534"/>
      <c r="CJ15" s="534"/>
      <c r="CK15" s="534"/>
      <c r="CL15" s="534"/>
      <c r="CM15" s="534"/>
      <c r="CN15" s="534"/>
      <c r="CO15" s="534"/>
      <c r="CP15" s="534"/>
      <c r="CQ15" s="534"/>
      <c r="CR15" s="534"/>
      <c r="CS15" s="534"/>
      <c r="CT15" s="534"/>
    </row>
    <row r="16" spans="1:98" ht="12" customHeight="1">
      <c r="A16" s="518" t="s">
        <v>115</v>
      </c>
      <c r="B16" s="538">
        <v>469191200</v>
      </c>
      <c r="C16" s="538">
        <v>407835200</v>
      </c>
      <c r="D16" s="538">
        <v>494874400</v>
      </c>
      <c r="E16" s="902">
        <v>964065600</v>
      </c>
      <c r="F16" s="902">
        <v>902709600</v>
      </c>
      <c r="G16" s="538">
        <v>4333006.08</v>
      </c>
      <c r="H16" s="519" t="s">
        <v>1115</v>
      </c>
      <c r="I16" s="533"/>
      <c r="J16" s="533"/>
      <c r="K16" s="533"/>
      <c r="N16" s="540"/>
      <c r="O16" s="540"/>
      <c r="P16" s="540"/>
      <c r="Q16" s="540"/>
      <c r="R16" s="540"/>
      <c r="S16" s="540"/>
      <c r="T16" s="541"/>
      <c r="W16" s="542"/>
      <c r="X16" s="542"/>
      <c r="Y16" s="542"/>
      <c r="Z16" s="542"/>
      <c r="AA16" s="542"/>
      <c r="AB16" s="542"/>
      <c r="AC16" s="542"/>
    </row>
    <row r="17" spans="1:98" ht="12" customHeight="1">
      <c r="A17" s="518" t="s">
        <v>117</v>
      </c>
      <c r="B17" s="543">
        <v>3917023310</v>
      </c>
      <c r="C17" s="543">
        <v>2743777510</v>
      </c>
      <c r="D17" s="543">
        <v>4839050157</v>
      </c>
      <c r="E17" s="903">
        <v>8756073467</v>
      </c>
      <c r="F17" s="903">
        <v>7582827667</v>
      </c>
      <c r="G17" s="543">
        <v>37914138.335000001</v>
      </c>
      <c r="H17" s="532">
        <v>2012</v>
      </c>
      <c r="I17" s="533"/>
      <c r="J17" s="533"/>
      <c r="K17" s="533"/>
      <c r="Q17" s="546"/>
      <c r="R17" s="546"/>
      <c r="T17" s="541"/>
      <c r="W17" s="542"/>
      <c r="X17" s="542"/>
      <c r="Y17" s="542"/>
      <c r="Z17" s="542"/>
      <c r="AA17" s="542"/>
      <c r="AB17" s="542"/>
      <c r="AC17" s="542"/>
    </row>
    <row r="18" spans="1:98" ht="9" customHeight="1">
      <c r="B18" s="904"/>
      <c r="C18" s="904"/>
      <c r="D18" s="904"/>
      <c r="E18" s="902"/>
      <c r="F18" s="902"/>
      <c r="G18" s="904"/>
      <c r="H18" s="905"/>
      <c r="N18" s="540"/>
      <c r="O18" s="540"/>
      <c r="P18" s="540"/>
      <c r="Q18" s="540"/>
      <c r="R18" s="540"/>
      <c r="S18" s="540"/>
      <c r="T18" s="541"/>
      <c r="W18" s="542"/>
      <c r="X18" s="542"/>
      <c r="Y18" s="542"/>
      <c r="Z18" s="542"/>
      <c r="AA18" s="542"/>
      <c r="AB18" s="542"/>
      <c r="AC18" s="542"/>
    </row>
    <row r="19" spans="1:98" ht="12" customHeight="1">
      <c r="A19" s="518" t="s">
        <v>119</v>
      </c>
      <c r="B19" s="538">
        <v>410812100</v>
      </c>
      <c r="C19" s="538">
        <v>221642700</v>
      </c>
      <c r="D19" s="538">
        <v>249010700</v>
      </c>
      <c r="E19" s="902">
        <v>659822800</v>
      </c>
      <c r="F19" s="902">
        <v>470653400</v>
      </c>
      <c r="G19" s="538">
        <v>2588593.7000000002</v>
      </c>
      <c r="H19" s="532">
        <v>2012</v>
      </c>
      <c r="I19" s="533"/>
      <c r="J19" s="533"/>
      <c r="K19" s="533"/>
      <c r="N19" s="540"/>
      <c r="O19" s="540"/>
      <c r="P19" s="540"/>
      <c r="Q19" s="540"/>
      <c r="R19" s="540"/>
      <c r="S19" s="540"/>
      <c r="T19" s="541"/>
      <c r="W19" s="542"/>
      <c r="X19" s="542"/>
      <c r="Y19" s="542"/>
      <c r="Z19" s="542"/>
      <c r="AA19" s="542"/>
      <c r="AB19" s="542"/>
      <c r="AC19" s="542"/>
    </row>
    <row r="20" spans="1:98" s="529" customFormat="1" ht="12" customHeight="1">
      <c r="A20" s="529" t="s">
        <v>121</v>
      </c>
      <c r="B20" s="543">
        <v>1286127500</v>
      </c>
      <c r="C20" s="543">
        <v>938000300</v>
      </c>
      <c r="D20" s="543">
        <v>2305131650</v>
      </c>
      <c r="E20" s="903">
        <v>3591259150</v>
      </c>
      <c r="F20" s="903">
        <v>3243131950</v>
      </c>
      <c r="G20" s="543">
        <v>23350550.039999999</v>
      </c>
      <c r="H20" s="532">
        <v>2012</v>
      </c>
      <c r="I20" s="533"/>
      <c r="J20" s="533"/>
      <c r="K20" s="533"/>
      <c r="L20" s="534"/>
      <c r="M20" s="534"/>
      <c r="N20" s="545"/>
      <c r="O20" s="545"/>
      <c r="P20" s="545"/>
      <c r="Q20" s="545"/>
      <c r="R20" s="545"/>
      <c r="S20" s="545"/>
      <c r="T20" s="536"/>
      <c r="U20" s="534"/>
      <c r="V20" s="534"/>
      <c r="W20" s="537"/>
      <c r="X20" s="537"/>
      <c r="Y20" s="537"/>
      <c r="Z20" s="537"/>
      <c r="AA20" s="537"/>
      <c r="AB20" s="537"/>
      <c r="AC20" s="537"/>
      <c r="AD20" s="534"/>
      <c r="AE20" s="534"/>
      <c r="AF20" s="534"/>
      <c r="AG20" s="534"/>
      <c r="AH20" s="534"/>
      <c r="AI20" s="534"/>
      <c r="AJ20" s="534"/>
      <c r="AK20" s="534"/>
      <c r="AL20" s="534"/>
      <c r="AM20" s="534"/>
      <c r="AN20" s="534"/>
      <c r="AO20" s="534"/>
      <c r="AP20" s="534"/>
      <c r="AQ20" s="534"/>
      <c r="AR20" s="534"/>
      <c r="AS20" s="534"/>
      <c r="AT20" s="534"/>
      <c r="AU20" s="534"/>
      <c r="AV20" s="534"/>
      <c r="AW20" s="534"/>
      <c r="AX20" s="534"/>
      <c r="AY20" s="534"/>
      <c r="AZ20" s="534"/>
      <c r="BA20" s="534"/>
      <c r="BB20" s="534"/>
      <c r="BC20" s="534"/>
      <c r="BD20" s="534"/>
      <c r="BE20" s="534"/>
      <c r="BF20" s="534"/>
      <c r="BG20" s="534"/>
      <c r="BH20" s="534"/>
      <c r="BI20" s="534"/>
      <c r="BJ20" s="534"/>
      <c r="BK20" s="534"/>
      <c r="BL20" s="534"/>
      <c r="BM20" s="534"/>
      <c r="BN20" s="534"/>
      <c r="BO20" s="534"/>
      <c r="BP20" s="534"/>
      <c r="BQ20" s="534"/>
      <c r="BR20" s="534"/>
      <c r="BS20" s="534"/>
      <c r="BT20" s="534"/>
      <c r="BU20" s="534"/>
      <c r="BV20" s="534"/>
      <c r="BW20" s="534"/>
      <c r="BX20" s="534"/>
      <c r="BY20" s="534"/>
      <c r="BZ20" s="534"/>
      <c r="CA20" s="534"/>
      <c r="CB20" s="534"/>
      <c r="CC20" s="534"/>
      <c r="CD20" s="534"/>
      <c r="CE20" s="534"/>
      <c r="CF20" s="534"/>
      <c r="CG20" s="534"/>
      <c r="CH20" s="534"/>
      <c r="CI20" s="534"/>
      <c r="CJ20" s="534"/>
      <c r="CK20" s="534"/>
      <c r="CL20" s="534"/>
      <c r="CM20" s="534"/>
      <c r="CN20" s="534"/>
      <c r="CO20" s="534"/>
      <c r="CP20" s="534"/>
      <c r="CQ20" s="534"/>
      <c r="CR20" s="534"/>
      <c r="CS20" s="534"/>
      <c r="CT20" s="534"/>
    </row>
    <row r="21" spans="1:98" ht="12" customHeight="1">
      <c r="A21" s="518" t="s">
        <v>123</v>
      </c>
      <c r="B21" s="543">
        <v>722580900</v>
      </c>
      <c r="C21" s="543">
        <v>722580900</v>
      </c>
      <c r="D21" s="543">
        <v>554570665</v>
      </c>
      <c r="E21" s="903">
        <v>1277151565</v>
      </c>
      <c r="F21" s="903">
        <v>1277151565</v>
      </c>
      <c r="G21" s="543">
        <v>6002612.3554999996</v>
      </c>
      <c r="H21" s="532">
        <v>2012</v>
      </c>
      <c r="I21" s="533"/>
      <c r="J21" s="533"/>
      <c r="K21" s="533"/>
      <c r="N21" s="540"/>
      <c r="O21" s="540"/>
      <c r="P21" s="540"/>
      <c r="Q21" s="540"/>
      <c r="R21" s="540"/>
      <c r="S21" s="540"/>
      <c r="T21" s="541"/>
      <c r="W21" s="542"/>
      <c r="X21" s="542"/>
      <c r="Y21" s="542"/>
      <c r="Z21" s="542"/>
      <c r="AA21" s="542"/>
      <c r="AB21" s="542"/>
      <c r="AC21" s="542"/>
    </row>
    <row r="22" spans="1:98" s="529" customFormat="1" ht="12" customHeight="1">
      <c r="A22" s="529" t="s">
        <v>125</v>
      </c>
      <c r="B22" s="543">
        <v>610138953</v>
      </c>
      <c r="C22" s="543">
        <v>610138953</v>
      </c>
      <c r="D22" s="543">
        <v>1423651944</v>
      </c>
      <c r="E22" s="903">
        <v>2033790897</v>
      </c>
      <c r="F22" s="903">
        <v>2033790897</v>
      </c>
      <c r="G22" s="543">
        <v>8745300.8570999987</v>
      </c>
      <c r="H22" s="532">
        <v>2012</v>
      </c>
      <c r="I22" s="533"/>
      <c r="J22" s="533"/>
      <c r="K22" s="533"/>
      <c r="L22" s="534"/>
      <c r="M22" s="534"/>
      <c r="N22" s="545"/>
      <c r="O22" s="545"/>
      <c r="P22" s="545"/>
      <c r="Q22" s="545"/>
      <c r="R22" s="545"/>
      <c r="S22" s="545"/>
      <c r="T22" s="536"/>
      <c r="U22" s="534"/>
      <c r="V22" s="534"/>
      <c r="W22" s="537"/>
      <c r="X22" s="537"/>
      <c r="Y22" s="537"/>
      <c r="Z22" s="537"/>
      <c r="AA22" s="537"/>
      <c r="AB22" s="537"/>
      <c r="AC22" s="537"/>
      <c r="AD22" s="534"/>
      <c r="AE22" s="534"/>
      <c r="AF22" s="534"/>
      <c r="AG22" s="534"/>
      <c r="AH22" s="534"/>
      <c r="AI22" s="534"/>
      <c r="AJ22" s="534"/>
      <c r="AK22" s="534"/>
      <c r="AL22" s="534"/>
      <c r="AM22" s="534"/>
      <c r="AN22" s="534"/>
      <c r="AO22" s="534"/>
      <c r="AP22" s="534"/>
      <c r="AQ22" s="534"/>
      <c r="AR22" s="534"/>
      <c r="AS22" s="534"/>
      <c r="AT22" s="534"/>
      <c r="AU22" s="534"/>
      <c r="AV22" s="534"/>
      <c r="AW22" s="534"/>
      <c r="AX22" s="534"/>
      <c r="AY22" s="534"/>
      <c r="AZ22" s="534"/>
      <c r="BA22" s="534"/>
      <c r="BB22" s="534"/>
      <c r="BC22" s="534"/>
      <c r="BD22" s="534"/>
      <c r="BE22" s="534"/>
      <c r="BF22" s="534"/>
      <c r="BG22" s="534"/>
      <c r="BH22" s="534"/>
      <c r="BI22" s="534"/>
      <c r="BJ22" s="534"/>
      <c r="BK22" s="534"/>
      <c r="BL22" s="534"/>
      <c r="BM22" s="534"/>
      <c r="BN22" s="534"/>
      <c r="BO22" s="534"/>
      <c r="BP22" s="534"/>
      <c r="BQ22" s="534"/>
      <c r="BR22" s="534"/>
      <c r="BS22" s="534"/>
      <c r="BT22" s="534"/>
      <c r="BU22" s="534"/>
      <c r="BV22" s="534"/>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row>
    <row r="23" spans="1:98" ht="12" customHeight="1">
      <c r="A23" s="518" t="s">
        <v>127</v>
      </c>
      <c r="B23" s="538">
        <v>752251200</v>
      </c>
      <c r="C23" s="538">
        <v>752251200</v>
      </c>
      <c r="D23" s="538">
        <v>703483206</v>
      </c>
      <c r="E23" s="902">
        <v>1455734406</v>
      </c>
      <c r="F23" s="902">
        <v>1455734406</v>
      </c>
      <c r="G23" s="538">
        <v>6405231.3864000002</v>
      </c>
      <c r="H23" s="532">
        <v>2012</v>
      </c>
      <c r="I23" s="533"/>
      <c r="J23" s="533"/>
      <c r="K23" s="533"/>
      <c r="N23" s="540"/>
      <c r="O23" s="540"/>
      <c r="P23" s="540"/>
      <c r="Q23" s="540"/>
      <c r="R23" s="540"/>
      <c r="S23" s="540"/>
      <c r="T23" s="541"/>
      <c r="W23" s="542"/>
      <c r="X23" s="542"/>
      <c r="Y23" s="542"/>
      <c r="Z23" s="542"/>
      <c r="AA23" s="542"/>
      <c r="AB23" s="542"/>
      <c r="AC23" s="542"/>
    </row>
    <row r="24" spans="1:98" ht="9" customHeight="1">
      <c r="B24" s="538"/>
      <c r="C24" s="538"/>
      <c r="D24" s="538"/>
      <c r="E24" s="902"/>
      <c r="F24" s="902"/>
      <c r="G24" s="538"/>
      <c r="N24" s="540"/>
      <c r="O24" s="540"/>
      <c r="P24" s="540"/>
      <c r="Q24" s="540"/>
      <c r="R24" s="540"/>
      <c r="S24" s="540"/>
      <c r="T24" s="541"/>
      <c r="W24" s="542"/>
      <c r="X24" s="542"/>
      <c r="Y24" s="542"/>
      <c r="Z24" s="542"/>
      <c r="AA24" s="542"/>
      <c r="AB24" s="542"/>
      <c r="AC24" s="542"/>
    </row>
    <row r="25" spans="1:98" s="529" customFormat="1" ht="12" customHeight="1">
      <c r="A25" s="529" t="s">
        <v>129</v>
      </c>
      <c r="B25" s="543">
        <v>1287321868</v>
      </c>
      <c r="C25" s="543">
        <v>1028429790</v>
      </c>
      <c r="D25" s="543">
        <v>2555829800</v>
      </c>
      <c r="E25" s="903">
        <v>3843151668</v>
      </c>
      <c r="F25" s="903">
        <v>3584259590</v>
      </c>
      <c r="G25" s="543">
        <v>18996575.827</v>
      </c>
      <c r="H25" s="532">
        <v>2012</v>
      </c>
      <c r="I25" s="533"/>
      <c r="J25" s="533"/>
      <c r="K25" s="533"/>
      <c r="L25" s="534"/>
      <c r="M25" s="534"/>
      <c r="N25" s="534"/>
      <c r="O25" s="534"/>
      <c r="P25" s="545"/>
      <c r="Q25" s="545"/>
      <c r="R25" s="545"/>
      <c r="S25" s="545"/>
      <c r="T25" s="536"/>
      <c r="U25" s="534"/>
      <c r="V25" s="534"/>
      <c r="W25" s="537"/>
      <c r="X25" s="537"/>
      <c r="Y25" s="537"/>
      <c r="Z25" s="537"/>
      <c r="AA25" s="537"/>
      <c r="AB25" s="537"/>
      <c r="AC25" s="537"/>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4"/>
      <c r="AZ25" s="534"/>
      <c r="BA25" s="534"/>
      <c r="BB25" s="534"/>
      <c r="BC25" s="534"/>
      <c r="BD25" s="534"/>
      <c r="BE25" s="534"/>
      <c r="BF25" s="534"/>
      <c r="BG25" s="534"/>
      <c r="BH25" s="534"/>
      <c r="BI25" s="534"/>
      <c r="BJ25" s="534"/>
      <c r="BK25" s="534"/>
      <c r="BL25" s="534"/>
      <c r="BM25" s="534"/>
      <c r="BN25" s="534"/>
      <c r="BO25" s="534"/>
      <c r="BP25" s="534"/>
      <c r="BQ25" s="534"/>
      <c r="BR25" s="534"/>
      <c r="BS25" s="534"/>
      <c r="BT25" s="534"/>
      <c r="BU25" s="534"/>
      <c r="BV25" s="534"/>
      <c r="BW25" s="534"/>
      <c r="BX25" s="534"/>
      <c r="BY25" s="534"/>
      <c r="BZ25" s="534"/>
      <c r="CA25" s="534"/>
      <c r="CB25" s="534"/>
      <c r="CC25" s="534"/>
      <c r="CD25" s="534"/>
      <c r="CE25" s="534"/>
      <c r="CF25" s="534"/>
      <c r="CG25" s="534"/>
      <c r="CH25" s="534"/>
      <c r="CI25" s="534"/>
      <c r="CJ25" s="534"/>
      <c r="CK25" s="534"/>
      <c r="CL25" s="534"/>
      <c r="CM25" s="534"/>
      <c r="CN25" s="534"/>
      <c r="CO25" s="534"/>
      <c r="CP25" s="534"/>
      <c r="CQ25" s="534"/>
      <c r="CR25" s="534"/>
      <c r="CS25" s="534"/>
      <c r="CT25" s="534"/>
    </row>
    <row r="26" spans="1:98" ht="12" customHeight="1">
      <c r="A26" s="518" t="s">
        <v>131</v>
      </c>
      <c r="B26" s="538">
        <v>1164929736</v>
      </c>
      <c r="C26" s="538">
        <v>975154544</v>
      </c>
      <c r="D26" s="538">
        <v>1515738700</v>
      </c>
      <c r="E26" s="902">
        <v>2680668436</v>
      </c>
      <c r="F26" s="902">
        <v>2490893244</v>
      </c>
      <c r="G26" s="538">
        <v>17934431.356800001</v>
      </c>
      <c r="H26" s="532">
        <v>2012</v>
      </c>
      <c r="I26" s="533"/>
      <c r="J26" s="533"/>
      <c r="K26" s="533"/>
      <c r="N26" s="540"/>
      <c r="O26" s="540"/>
      <c r="P26" s="540"/>
      <c r="Q26" s="540"/>
      <c r="R26" s="540"/>
      <c r="S26" s="540"/>
      <c r="T26" s="541"/>
      <c r="W26" s="542"/>
      <c r="X26" s="542"/>
      <c r="Y26" s="542"/>
      <c r="Z26" s="542"/>
      <c r="AA26" s="542"/>
      <c r="AB26" s="542"/>
      <c r="AC26" s="542"/>
    </row>
    <row r="27" spans="1:98" ht="12" customHeight="1">
      <c r="A27" s="518" t="s">
        <v>133</v>
      </c>
      <c r="B27" s="538">
        <v>1195068000</v>
      </c>
      <c r="C27" s="538">
        <v>976862356</v>
      </c>
      <c r="D27" s="538">
        <v>1457790400</v>
      </c>
      <c r="E27" s="902">
        <v>2652858400</v>
      </c>
      <c r="F27" s="902">
        <v>2434652756</v>
      </c>
      <c r="G27" s="538">
        <v>14486248.060000001</v>
      </c>
      <c r="H27" s="532">
        <v>2012</v>
      </c>
      <c r="I27" s="533"/>
      <c r="J27" s="533"/>
      <c r="K27" s="533"/>
      <c r="N27" s="540"/>
      <c r="O27" s="540"/>
      <c r="P27" s="540"/>
      <c r="Q27" s="540"/>
      <c r="R27" s="540"/>
      <c r="S27" s="540"/>
      <c r="T27" s="541"/>
      <c r="W27" s="542"/>
      <c r="X27" s="542"/>
      <c r="Y27" s="542"/>
      <c r="Z27" s="542"/>
      <c r="AA27" s="542"/>
      <c r="AB27" s="542"/>
      <c r="AC27" s="542"/>
    </row>
    <row r="28" spans="1:98" s="529" customFormat="1" ht="12" customHeight="1">
      <c r="A28" s="529" t="s">
        <v>135</v>
      </c>
      <c r="B28" s="543">
        <v>404239375</v>
      </c>
      <c r="C28" s="543">
        <v>404239375</v>
      </c>
      <c r="D28" s="543">
        <v>374759884</v>
      </c>
      <c r="E28" s="903">
        <v>778999259</v>
      </c>
      <c r="F28" s="903">
        <v>778999259</v>
      </c>
      <c r="G28" s="543">
        <v>5452994.8129999992</v>
      </c>
      <c r="H28" s="532">
        <v>2012</v>
      </c>
      <c r="I28" s="533"/>
      <c r="J28" s="533"/>
      <c r="K28" s="533"/>
      <c r="L28" s="534"/>
      <c r="M28" s="534"/>
      <c r="N28" s="534"/>
      <c r="O28" s="534"/>
      <c r="P28" s="534"/>
      <c r="Q28" s="549"/>
      <c r="R28" s="549"/>
      <c r="S28" s="534"/>
      <c r="T28" s="536"/>
      <c r="U28" s="534"/>
      <c r="V28" s="534"/>
      <c r="W28" s="537"/>
      <c r="X28" s="537"/>
      <c r="Y28" s="537"/>
      <c r="Z28" s="537"/>
      <c r="AA28" s="537"/>
      <c r="AB28" s="537"/>
      <c r="AC28" s="537"/>
      <c r="AD28" s="534"/>
      <c r="AE28" s="534"/>
      <c r="AF28" s="534"/>
      <c r="AG28" s="534"/>
      <c r="AH28" s="534"/>
      <c r="AI28" s="534"/>
      <c r="AJ28" s="534"/>
      <c r="AK28" s="534"/>
      <c r="AL28" s="534"/>
      <c r="AM28" s="534"/>
      <c r="AN28" s="534"/>
      <c r="AO28" s="534"/>
      <c r="AP28" s="534"/>
      <c r="AQ28" s="534"/>
      <c r="AR28" s="534"/>
      <c r="AS28" s="534"/>
      <c r="AT28" s="534"/>
      <c r="AU28" s="534"/>
      <c r="AV28" s="534"/>
      <c r="AW28" s="534"/>
      <c r="AX28" s="534"/>
      <c r="AY28" s="534"/>
      <c r="AZ28" s="534"/>
      <c r="BA28" s="534"/>
      <c r="BB28" s="534"/>
      <c r="BC28" s="534"/>
      <c r="BD28" s="534"/>
      <c r="BE28" s="534"/>
      <c r="BF28" s="534"/>
      <c r="BG28" s="534"/>
      <c r="BH28" s="534"/>
      <c r="BI28" s="534"/>
      <c r="BJ28" s="534"/>
      <c r="BK28" s="534"/>
      <c r="BL28" s="534"/>
      <c r="BM28" s="534"/>
      <c r="BN28" s="534"/>
      <c r="BO28" s="534"/>
      <c r="BP28" s="534"/>
      <c r="BQ28" s="534"/>
      <c r="BR28" s="534"/>
      <c r="BS28" s="534"/>
      <c r="BT28" s="534"/>
      <c r="BU28" s="534"/>
      <c r="BV28" s="534"/>
      <c r="BW28" s="534"/>
      <c r="BX28" s="534"/>
      <c r="BY28" s="534"/>
      <c r="BZ28" s="534"/>
      <c r="CA28" s="534"/>
      <c r="CB28" s="534"/>
      <c r="CC28" s="534"/>
      <c r="CD28" s="534"/>
      <c r="CE28" s="534"/>
      <c r="CF28" s="534"/>
      <c r="CG28" s="534"/>
      <c r="CH28" s="534"/>
      <c r="CI28" s="534"/>
      <c r="CJ28" s="534"/>
      <c r="CK28" s="534"/>
      <c r="CL28" s="534"/>
      <c r="CM28" s="534"/>
      <c r="CN28" s="534"/>
      <c r="CO28" s="534"/>
      <c r="CP28" s="534"/>
      <c r="CQ28" s="534"/>
      <c r="CR28" s="534"/>
      <c r="CS28" s="534"/>
      <c r="CT28" s="534"/>
    </row>
    <row r="29" spans="1:98" ht="12" customHeight="1">
      <c r="A29" s="518" t="s">
        <v>137</v>
      </c>
      <c r="B29" s="538">
        <v>463380606</v>
      </c>
      <c r="C29" s="538">
        <v>463380606</v>
      </c>
      <c r="D29" s="538">
        <v>517546937</v>
      </c>
      <c r="E29" s="902">
        <v>980927543</v>
      </c>
      <c r="F29" s="902">
        <v>980927543</v>
      </c>
      <c r="G29" s="538">
        <v>4119895.6805999996</v>
      </c>
      <c r="H29" s="532" t="s">
        <v>1115</v>
      </c>
      <c r="I29" s="533"/>
      <c r="J29" s="533"/>
      <c r="K29" s="533"/>
      <c r="N29" s="540"/>
      <c r="O29" s="540"/>
      <c r="P29" s="540"/>
      <c r="Q29" s="540"/>
      <c r="R29" s="540"/>
      <c r="S29" s="540"/>
      <c r="T29" s="541"/>
      <c r="W29" s="542"/>
      <c r="X29" s="542"/>
      <c r="Y29" s="542"/>
      <c r="Z29" s="542"/>
      <c r="AA29" s="542"/>
      <c r="AB29" s="542"/>
      <c r="AC29" s="542"/>
    </row>
    <row r="30" spans="1:98" ht="9" customHeight="1">
      <c r="B30" s="538"/>
      <c r="C30" s="538"/>
      <c r="D30" s="538"/>
      <c r="E30" s="902"/>
      <c r="F30" s="902"/>
      <c r="G30" s="538"/>
      <c r="N30" s="540"/>
      <c r="O30" s="540"/>
      <c r="P30" s="540"/>
      <c r="Q30" s="540"/>
      <c r="R30" s="540"/>
      <c r="S30" s="540"/>
      <c r="T30" s="541"/>
      <c r="W30" s="542"/>
      <c r="X30" s="542"/>
      <c r="Y30" s="542"/>
      <c r="Z30" s="542"/>
      <c r="AA30" s="542"/>
      <c r="AB30" s="542"/>
      <c r="AC30" s="542"/>
    </row>
    <row r="31" spans="1:98" ht="12" customHeight="1">
      <c r="A31" s="529" t="s">
        <v>139</v>
      </c>
      <c r="B31" s="543">
        <v>8646283100</v>
      </c>
      <c r="C31" s="543">
        <v>8453114734</v>
      </c>
      <c r="D31" s="543">
        <v>21155433900</v>
      </c>
      <c r="E31" s="903">
        <v>29801717000</v>
      </c>
      <c r="F31" s="903">
        <v>29608548634</v>
      </c>
      <c r="G31" s="543">
        <v>281281212.02299994</v>
      </c>
      <c r="H31" s="532">
        <v>2012</v>
      </c>
      <c r="I31" s="533"/>
      <c r="J31" s="533"/>
      <c r="K31" s="533"/>
      <c r="N31" s="540"/>
      <c r="O31" s="540"/>
      <c r="P31" s="540"/>
      <c r="Q31" s="540"/>
      <c r="R31" s="540"/>
      <c r="S31" s="540"/>
      <c r="T31" s="541"/>
      <c r="W31" s="542"/>
      <c r="X31" s="542"/>
      <c r="Y31" s="542"/>
      <c r="Z31" s="542"/>
      <c r="AA31" s="542"/>
      <c r="AB31" s="542"/>
      <c r="AC31" s="542"/>
    </row>
    <row r="32" spans="1:98" ht="12" customHeight="1">
      <c r="A32" s="518" t="s">
        <v>141</v>
      </c>
      <c r="B32" s="538">
        <v>1364251900</v>
      </c>
      <c r="C32" s="538">
        <v>957432829</v>
      </c>
      <c r="D32" s="538">
        <v>1233888100</v>
      </c>
      <c r="E32" s="902">
        <v>2598140000</v>
      </c>
      <c r="F32" s="902">
        <v>2191320929</v>
      </c>
      <c r="G32" s="538">
        <v>13805321.852699999</v>
      </c>
      <c r="H32" s="532">
        <v>2012</v>
      </c>
      <c r="I32" s="533"/>
      <c r="J32" s="533"/>
      <c r="K32" s="533"/>
      <c r="N32" s="540"/>
      <c r="O32" s="540"/>
      <c r="P32" s="540"/>
      <c r="Q32" s="540"/>
      <c r="R32" s="540"/>
      <c r="S32" s="540"/>
      <c r="T32" s="541"/>
      <c r="W32" s="542"/>
      <c r="X32" s="542"/>
      <c r="Y32" s="542"/>
      <c r="Z32" s="542"/>
      <c r="AA32" s="542"/>
      <c r="AB32" s="542"/>
      <c r="AC32" s="542"/>
    </row>
    <row r="33" spans="1:98" ht="12" customHeight="1">
      <c r="A33" s="518" t="s">
        <v>143</v>
      </c>
      <c r="B33" s="538">
        <v>220118500</v>
      </c>
      <c r="C33" s="538">
        <v>220118500</v>
      </c>
      <c r="D33" s="538">
        <v>263639500</v>
      </c>
      <c r="E33" s="902">
        <v>483758000</v>
      </c>
      <c r="F33" s="902">
        <v>483758000</v>
      </c>
      <c r="G33" s="538">
        <v>2612293.2000000002</v>
      </c>
      <c r="H33" s="532">
        <v>2012</v>
      </c>
      <c r="I33" s="533"/>
      <c r="J33" s="533"/>
      <c r="K33" s="533"/>
      <c r="N33" s="540"/>
      <c r="O33" s="540"/>
      <c r="P33" s="540"/>
      <c r="Q33" s="540"/>
      <c r="R33" s="540"/>
      <c r="S33" s="540"/>
      <c r="T33" s="541"/>
      <c r="W33" s="542"/>
      <c r="X33" s="542"/>
      <c r="Y33" s="542"/>
      <c r="Z33" s="542"/>
      <c r="AA33" s="542"/>
      <c r="AB33" s="542"/>
      <c r="AC33" s="542"/>
    </row>
    <row r="34" spans="1:98" s="529" customFormat="1" ht="12" customHeight="1">
      <c r="A34" s="529" t="s">
        <v>145</v>
      </c>
      <c r="B34" s="543">
        <v>2239727876</v>
      </c>
      <c r="C34" s="543">
        <v>1634406776</v>
      </c>
      <c r="D34" s="543">
        <v>2469640500</v>
      </c>
      <c r="E34" s="903">
        <v>4709368376</v>
      </c>
      <c r="F34" s="903">
        <v>4104047276</v>
      </c>
      <c r="G34" s="543">
        <v>32832378.208000001</v>
      </c>
      <c r="H34" s="532">
        <v>2012</v>
      </c>
      <c r="I34" s="533"/>
      <c r="J34" s="533"/>
      <c r="K34" s="533"/>
      <c r="L34" s="534"/>
      <c r="M34" s="534"/>
      <c r="N34" s="545"/>
      <c r="O34" s="545"/>
      <c r="P34" s="545"/>
      <c r="Q34" s="545"/>
      <c r="R34" s="545"/>
      <c r="S34" s="545"/>
      <c r="T34" s="536"/>
      <c r="U34" s="534"/>
      <c r="V34" s="534"/>
      <c r="W34" s="537"/>
      <c r="X34" s="537"/>
      <c r="Y34" s="537"/>
      <c r="Z34" s="537"/>
      <c r="AA34" s="537"/>
      <c r="AB34" s="537"/>
      <c r="AC34" s="537"/>
      <c r="AD34" s="534"/>
      <c r="AE34" s="534"/>
      <c r="AF34" s="534"/>
      <c r="AG34" s="534"/>
      <c r="AH34" s="534"/>
      <c r="AI34" s="534"/>
      <c r="AJ34" s="534"/>
      <c r="AK34" s="534"/>
      <c r="AL34" s="534"/>
      <c r="AM34" s="534"/>
      <c r="AN34" s="534"/>
      <c r="AO34" s="534"/>
      <c r="AP34" s="534"/>
      <c r="AQ34" s="534"/>
      <c r="AR34" s="534"/>
      <c r="AS34" s="534"/>
      <c r="AT34" s="534"/>
      <c r="AU34" s="534"/>
      <c r="AV34" s="534"/>
      <c r="AW34" s="534"/>
      <c r="AX34" s="534"/>
      <c r="AY34" s="534"/>
      <c r="AZ34" s="534"/>
      <c r="BA34" s="534"/>
      <c r="BB34" s="534"/>
      <c r="BC34" s="534"/>
      <c r="BD34" s="534"/>
      <c r="BE34" s="534"/>
      <c r="BF34" s="534"/>
      <c r="BG34" s="534"/>
      <c r="BH34" s="534"/>
      <c r="BI34" s="534"/>
      <c r="BJ34" s="534"/>
      <c r="BK34" s="534"/>
      <c r="BL34" s="534"/>
      <c r="BM34" s="534"/>
      <c r="BN34" s="534"/>
      <c r="BO34" s="534"/>
      <c r="BP34" s="534"/>
      <c r="BQ34" s="534"/>
      <c r="BR34" s="534"/>
      <c r="BS34" s="534"/>
      <c r="BT34" s="534"/>
      <c r="BU34" s="534"/>
      <c r="BV34" s="534"/>
      <c r="BW34" s="534"/>
      <c r="BX34" s="534"/>
      <c r="BY34" s="534"/>
      <c r="BZ34" s="534"/>
      <c r="CA34" s="534"/>
      <c r="CB34" s="534"/>
      <c r="CC34" s="534"/>
      <c r="CD34" s="534"/>
      <c r="CE34" s="534"/>
      <c r="CF34" s="534"/>
      <c r="CG34" s="534"/>
      <c r="CH34" s="534"/>
      <c r="CI34" s="534"/>
      <c r="CJ34" s="534"/>
      <c r="CK34" s="534"/>
      <c r="CL34" s="534"/>
      <c r="CM34" s="534"/>
      <c r="CN34" s="534"/>
      <c r="CO34" s="534"/>
      <c r="CP34" s="534"/>
      <c r="CQ34" s="534"/>
      <c r="CR34" s="534"/>
      <c r="CS34" s="534"/>
      <c r="CT34" s="534"/>
    </row>
    <row r="35" spans="1:98" ht="12" customHeight="1">
      <c r="A35" s="518" t="s">
        <v>147</v>
      </c>
      <c r="B35" s="538">
        <v>439305400</v>
      </c>
      <c r="C35" s="538">
        <v>350489512</v>
      </c>
      <c r="D35" s="538">
        <v>507841648</v>
      </c>
      <c r="E35" s="902">
        <v>947147048</v>
      </c>
      <c r="F35" s="902">
        <v>858331160</v>
      </c>
      <c r="G35" s="538">
        <v>5836651.8880000003</v>
      </c>
      <c r="H35" s="532">
        <v>2012</v>
      </c>
      <c r="I35" s="533"/>
      <c r="J35" s="533"/>
      <c r="K35" s="533"/>
      <c r="N35" s="540"/>
      <c r="O35" s="540"/>
      <c r="P35" s="540"/>
      <c r="Q35" s="540"/>
      <c r="R35" s="540"/>
      <c r="S35" s="540"/>
      <c r="T35" s="541"/>
      <c r="W35" s="542"/>
      <c r="X35" s="542"/>
      <c r="Y35" s="542"/>
      <c r="Z35" s="542"/>
      <c r="AA35" s="542"/>
      <c r="AB35" s="542"/>
      <c r="AC35" s="542"/>
    </row>
    <row r="36" spans="1:98" ht="9" customHeight="1">
      <c r="B36" s="538"/>
      <c r="C36" s="538"/>
      <c r="D36" s="538"/>
      <c r="E36" s="902"/>
      <c r="F36" s="902"/>
      <c r="G36" s="538"/>
      <c r="N36" s="540"/>
      <c r="O36" s="540"/>
      <c r="P36" s="540"/>
      <c r="Q36" s="540"/>
      <c r="R36" s="540"/>
      <c r="S36" s="540"/>
      <c r="T36" s="541"/>
      <c r="W36" s="542"/>
      <c r="X36" s="542"/>
      <c r="Y36" s="542"/>
      <c r="Z36" s="542"/>
      <c r="AA36" s="542"/>
      <c r="AB36" s="542"/>
      <c r="AC36" s="542"/>
    </row>
    <row r="37" spans="1:98" s="529" customFormat="1" ht="12" customHeight="1">
      <c r="A37" s="529" t="s">
        <v>149</v>
      </c>
      <c r="B37" s="543">
        <v>426302692</v>
      </c>
      <c r="C37" s="543">
        <v>426302692</v>
      </c>
      <c r="D37" s="543">
        <v>1001325500</v>
      </c>
      <c r="E37" s="903">
        <v>1427628192</v>
      </c>
      <c r="F37" s="903">
        <v>1427628192</v>
      </c>
      <c r="G37" s="543">
        <v>7566429.4176000003</v>
      </c>
      <c r="H37" s="532">
        <v>2012</v>
      </c>
      <c r="I37" s="533"/>
      <c r="J37" s="533"/>
      <c r="K37" s="533"/>
      <c r="L37" s="534"/>
      <c r="M37" s="534"/>
      <c r="N37" s="545"/>
      <c r="O37" s="545"/>
      <c r="P37" s="545"/>
      <c r="Q37" s="545"/>
      <c r="R37" s="545"/>
      <c r="S37" s="545"/>
      <c r="T37" s="536"/>
      <c r="U37" s="534"/>
      <c r="V37" s="534"/>
      <c r="W37" s="537"/>
      <c r="X37" s="537"/>
      <c r="Y37" s="537"/>
      <c r="Z37" s="537"/>
      <c r="AA37" s="537"/>
      <c r="AB37" s="537"/>
      <c r="AC37" s="537"/>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4"/>
      <c r="BN37" s="534"/>
      <c r="BO37" s="534"/>
      <c r="BP37" s="534"/>
      <c r="BQ37" s="534"/>
      <c r="BR37" s="534"/>
      <c r="BS37" s="534"/>
      <c r="BT37" s="534"/>
      <c r="BU37" s="534"/>
      <c r="BV37" s="534"/>
      <c r="BW37" s="534"/>
      <c r="BX37" s="534"/>
      <c r="BY37" s="534"/>
      <c r="BZ37" s="534"/>
      <c r="CA37" s="534"/>
      <c r="CB37" s="534"/>
      <c r="CC37" s="534"/>
      <c r="CD37" s="534"/>
      <c r="CE37" s="534"/>
      <c r="CF37" s="534"/>
      <c r="CG37" s="534"/>
      <c r="CH37" s="534"/>
      <c r="CI37" s="534"/>
      <c r="CJ37" s="534"/>
      <c r="CK37" s="534"/>
      <c r="CL37" s="534"/>
      <c r="CM37" s="534"/>
      <c r="CN37" s="534"/>
      <c r="CO37" s="534"/>
      <c r="CP37" s="534"/>
      <c r="CQ37" s="534"/>
      <c r="CR37" s="534"/>
      <c r="CS37" s="534"/>
      <c r="CT37" s="534"/>
    </row>
    <row r="38" spans="1:98" s="529" customFormat="1" ht="12" customHeight="1">
      <c r="A38" s="529" t="s">
        <v>151</v>
      </c>
      <c r="B38" s="543">
        <v>1139039323</v>
      </c>
      <c r="C38" s="543">
        <v>748245780</v>
      </c>
      <c r="D38" s="543">
        <v>1568965700</v>
      </c>
      <c r="E38" s="903">
        <v>2708005023</v>
      </c>
      <c r="F38" s="903">
        <v>2317211480</v>
      </c>
      <c r="G38" s="543">
        <v>16683922.655999999</v>
      </c>
      <c r="H38" s="532">
        <v>2012</v>
      </c>
      <c r="I38" s="533"/>
      <c r="J38" s="533"/>
      <c r="K38" s="533"/>
      <c r="L38" s="534"/>
      <c r="M38" s="534"/>
      <c r="N38" s="545"/>
      <c r="O38" s="545"/>
      <c r="P38" s="545"/>
      <c r="Q38" s="545"/>
      <c r="R38" s="545"/>
      <c r="S38" s="545"/>
      <c r="T38" s="536"/>
      <c r="U38" s="534"/>
      <c r="V38" s="534"/>
      <c r="W38" s="537"/>
      <c r="X38" s="537"/>
      <c r="Y38" s="537"/>
      <c r="Z38" s="537"/>
      <c r="AA38" s="537"/>
      <c r="AB38" s="537"/>
      <c r="AC38" s="537"/>
      <c r="AD38" s="534"/>
      <c r="AE38" s="534"/>
      <c r="AF38" s="534"/>
      <c r="AG38" s="534"/>
      <c r="AH38" s="534"/>
      <c r="AI38" s="534"/>
      <c r="AJ38" s="534"/>
      <c r="AK38" s="534"/>
      <c r="AL38" s="534"/>
      <c r="AM38" s="534"/>
      <c r="AN38" s="534"/>
      <c r="AO38" s="534"/>
      <c r="AP38" s="534"/>
      <c r="AQ38" s="534"/>
      <c r="AR38" s="534"/>
      <c r="AS38" s="534"/>
      <c r="AT38" s="534"/>
      <c r="AU38" s="534"/>
      <c r="AV38" s="534"/>
      <c r="AW38" s="534"/>
      <c r="AX38" s="534"/>
      <c r="AY38" s="534"/>
      <c r="AZ38" s="534"/>
      <c r="BA38" s="534"/>
      <c r="BB38" s="534"/>
      <c r="BC38" s="534"/>
      <c r="BD38" s="534"/>
      <c r="BE38" s="534"/>
      <c r="BF38" s="534"/>
      <c r="BG38" s="534"/>
      <c r="BH38" s="534"/>
      <c r="BI38" s="534"/>
      <c r="BJ38" s="534"/>
      <c r="BK38" s="534"/>
      <c r="BL38" s="534"/>
      <c r="BM38" s="534"/>
      <c r="BN38" s="534"/>
      <c r="BO38" s="534"/>
      <c r="BP38" s="534"/>
      <c r="BQ38" s="534"/>
      <c r="BR38" s="534"/>
      <c r="BS38" s="534"/>
      <c r="BT38" s="534"/>
      <c r="BU38" s="534"/>
      <c r="BV38" s="534"/>
      <c r="BW38" s="534"/>
      <c r="BX38" s="534"/>
      <c r="BY38" s="534"/>
      <c r="BZ38" s="534"/>
      <c r="CA38" s="534"/>
      <c r="CB38" s="534"/>
      <c r="CC38" s="534"/>
      <c r="CD38" s="534"/>
      <c r="CE38" s="534"/>
      <c r="CF38" s="534"/>
      <c r="CG38" s="534"/>
      <c r="CH38" s="534"/>
      <c r="CI38" s="534"/>
      <c r="CJ38" s="534"/>
      <c r="CK38" s="534"/>
      <c r="CL38" s="534"/>
      <c r="CM38" s="534"/>
      <c r="CN38" s="534"/>
      <c r="CO38" s="534"/>
      <c r="CP38" s="534"/>
      <c r="CQ38" s="534"/>
      <c r="CR38" s="534"/>
      <c r="CS38" s="534"/>
      <c r="CT38" s="534"/>
    </row>
    <row r="39" spans="1:98" ht="12" customHeight="1">
      <c r="A39" s="518" t="s">
        <v>153</v>
      </c>
      <c r="B39" s="538">
        <v>895503500</v>
      </c>
      <c r="C39" s="538">
        <v>719800602</v>
      </c>
      <c r="D39" s="538">
        <v>785990079</v>
      </c>
      <c r="E39" s="902">
        <v>1681493579</v>
      </c>
      <c r="F39" s="902">
        <v>1505790681</v>
      </c>
      <c r="G39" s="538">
        <v>10465308.18</v>
      </c>
      <c r="H39" s="532">
        <v>2012</v>
      </c>
      <c r="I39" s="533"/>
      <c r="J39" s="533"/>
      <c r="K39" s="533"/>
      <c r="Q39" s="546"/>
      <c r="R39" s="546"/>
      <c r="T39" s="541"/>
      <c r="W39" s="542"/>
      <c r="X39" s="542"/>
      <c r="Y39" s="542"/>
      <c r="Z39" s="542"/>
      <c r="AA39" s="542"/>
      <c r="AB39" s="542"/>
      <c r="AC39" s="542"/>
    </row>
    <row r="40" spans="1:98" s="529" customFormat="1" ht="11.25" customHeight="1">
      <c r="A40" s="529" t="s">
        <v>155</v>
      </c>
      <c r="B40" s="543">
        <v>72441943547</v>
      </c>
      <c r="C40" s="543">
        <v>72289826380</v>
      </c>
      <c r="D40" s="543">
        <v>127973517530</v>
      </c>
      <c r="E40" s="903">
        <v>200415461077</v>
      </c>
      <c r="F40" s="903">
        <v>200263343910</v>
      </c>
      <c r="G40" s="543">
        <v>2152830947.0324998</v>
      </c>
      <c r="H40" s="532">
        <v>2012</v>
      </c>
      <c r="I40" s="533"/>
      <c r="J40" s="533"/>
      <c r="K40" s="533"/>
      <c r="L40" s="534"/>
      <c r="M40" s="534"/>
      <c r="N40" s="545"/>
      <c r="O40" s="545"/>
      <c r="P40" s="545"/>
      <c r="Q40" s="545"/>
      <c r="R40" s="545"/>
      <c r="S40" s="545"/>
      <c r="T40" s="536"/>
      <c r="U40" s="534"/>
      <c r="V40" s="534"/>
      <c r="W40" s="537"/>
      <c r="X40" s="537"/>
      <c r="Y40" s="537"/>
      <c r="Z40" s="537"/>
      <c r="AA40" s="537"/>
      <c r="AB40" s="537"/>
      <c r="AC40" s="537"/>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534"/>
      <c r="BF40" s="534"/>
      <c r="BG40" s="534"/>
      <c r="BH40" s="534"/>
      <c r="BI40" s="534"/>
      <c r="BJ40" s="534"/>
      <c r="BK40" s="534"/>
      <c r="BL40" s="534"/>
      <c r="BM40" s="534"/>
      <c r="BN40" s="534"/>
      <c r="BO40" s="534"/>
      <c r="BP40" s="534"/>
      <c r="BQ40" s="534"/>
      <c r="BR40" s="534"/>
      <c r="BS40" s="534"/>
      <c r="BT40" s="534"/>
      <c r="BU40" s="534"/>
      <c r="BV40" s="534"/>
      <c r="BW40" s="534"/>
      <c r="BX40" s="534"/>
      <c r="BY40" s="534"/>
      <c r="BZ40" s="534"/>
      <c r="CA40" s="534"/>
      <c r="CB40" s="534"/>
      <c r="CC40" s="534"/>
      <c r="CD40" s="534"/>
      <c r="CE40" s="534"/>
      <c r="CF40" s="534"/>
      <c r="CG40" s="534"/>
      <c r="CH40" s="534"/>
      <c r="CI40" s="534"/>
      <c r="CJ40" s="534"/>
      <c r="CK40" s="534"/>
      <c r="CL40" s="534"/>
      <c r="CM40" s="534"/>
      <c r="CN40" s="534"/>
      <c r="CO40" s="534"/>
      <c r="CP40" s="534"/>
      <c r="CQ40" s="534"/>
      <c r="CR40" s="534"/>
      <c r="CS40" s="534"/>
      <c r="CT40" s="534"/>
    </row>
    <row r="41" spans="1:98" s="529" customFormat="1" ht="12" customHeight="1">
      <c r="A41" s="529" t="s">
        <v>157</v>
      </c>
      <c r="B41" s="543">
        <v>6295790500</v>
      </c>
      <c r="C41" s="543">
        <v>4489257600</v>
      </c>
      <c r="D41" s="543">
        <v>5184898400</v>
      </c>
      <c r="E41" s="903">
        <v>11480688900</v>
      </c>
      <c r="F41" s="903">
        <v>9674156000</v>
      </c>
      <c r="G41" s="543">
        <v>93839313.200000003</v>
      </c>
      <c r="H41" s="532">
        <v>2012</v>
      </c>
      <c r="I41" s="533"/>
      <c r="J41" s="533"/>
      <c r="K41" s="533"/>
      <c r="L41" s="534"/>
      <c r="M41" s="534"/>
      <c r="N41" s="545"/>
      <c r="O41" s="545"/>
      <c r="P41" s="545"/>
      <c r="Q41" s="545"/>
      <c r="R41" s="545"/>
      <c r="S41" s="545"/>
      <c r="T41" s="536"/>
      <c r="U41" s="534"/>
      <c r="V41" s="534"/>
      <c r="W41" s="537"/>
      <c r="X41" s="537"/>
      <c r="Y41" s="537"/>
      <c r="Z41" s="537"/>
      <c r="AA41" s="537"/>
      <c r="AB41" s="537"/>
      <c r="AC41" s="537"/>
      <c r="AD41" s="534"/>
      <c r="AE41" s="534"/>
      <c r="AF41" s="534"/>
      <c r="AG41" s="534"/>
      <c r="AH41" s="534"/>
      <c r="AI41" s="534"/>
      <c r="AJ41" s="534"/>
      <c r="AK41" s="534"/>
      <c r="AL41" s="534"/>
      <c r="AM41" s="534"/>
      <c r="AN41" s="534"/>
      <c r="AO41" s="534"/>
      <c r="AP41" s="534"/>
      <c r="AQ41" s="534"/>
      <c r="AR41" s="534"/>
      <c r="AS41" s="534"/>
      <c r="AT41" s="534"/>
      <c r="AU41" s="534"/>
      <c r="AV41" s="534"/>
      <c r="AW41" s="534"/>
      <c r="AX41" s="534"/>
      <c r="AY41" s="534"/>
      <c r="AZ41" s="534"/>
      <c r="BA41" s="534"/>
      <c r="BB41" s="534"/>
      <c r="BC41" s="534"/>
      <c r="BD41" s="534"/>
      <c r="BE41" s="534"/>
      <c r="BF41" s="534"/>
      <c r="BG41" s="534"/>
      <c r="BH41" s="534"/>
      <c r="BI41" s="534"/>
      <c r="BJ41" s="534"/>
      <c r="BK41" s="534"/>
      <c r="BL41" s="534"/>
      <c r="BM41" s="534"/>
      <c r="BN41" s="534"/>
      <c r="BO41" s="534"/>
      <c r="BP41" s="534"/>
      <c r="BQ41" s="534"/>
      <c r="BR41" s="534"/>
      <c r="BS41" s="534"/>
      <c r="BT41" s="534"/>
      <c r="BU41" s="534"/>
      <c r="BV41" s="534"/>
      <c r="BW41" s="534"/>
      <c r="BX41" s="534"/>
      <c r="BY41" s="534"/>
      <c r="BZ41" s="534"/>
      <c r="CA41" s="534"/>
      <c r="CB41" s="534"/>
      <c r="CC41" s="534"/>
      <c r="CD41" s="534"/>
      <c r="CE41" s="534"/>
      <c r="CF41" s="534"/>
      <c r="CG41" s="534"/>
      <c r="CH41" s="534"/>
      <c r="CI41" s="534"/>
      <c r="CJ41" s="534"/>
      <c r="CK41" s="534"/>
      <c r="CL41" s="534"/>
      <c r="CM41" s="534"/>
      <c r="CN41" s="534"/>
      <c r="CO41" s="534"/>
      <c r="CP41" s="534"/>
      <c r="CQ41" s="534"/>
      <c r="CR41" s="534"/>
      <c r="CS41" s="534"/>
      <c r="CT41" s="534"/>
    </row>
    <row r="42" spans="1:98" ht="13.8">
      <c r="A42" s="517" t="s">
        <v>995</v>
      </c>
      <c r="N42" s="540"/>
      <c r="O42" s="540"/>
      <c r="P42" s="540"/>
      <c r="Q42" s="540"/>
      <c r="R42" s="540"/>
      <c r="S42" s="540"/>
      <c r="T42" s="541"/>
      <c r="W42" s="542"/>
      <c r="X42" s="542"/>
      <c r="Y42" s="542"/>
      <c r="Z42" s="542"/>
      <c r="AA42" s="542"/>
      <c r="AB42" s="542"/>
      <c r="AC42" s="542"/>
    </row>
    <row r="43" spans="1:98" ht="13.2">
      <c r="A43" s="1148" t="s">
        <v>1103</v>
      </c>
      <c r="B43" s="1149"/>
      <c r="C43" s="1149"/>
      <c r="D43" s="1149"/>
      <c r="E43" s="1149"/>
      <c r="F43" s="1149"/>
      <c r="G43" s="1149"/>
      <c r="H43" s="1149"/>
      <c r="N43" s="540"/>
      <c r="O43" s="540"/>
      <c r="P43" s="540"/>
      <c r="Q43" s="540"/>
      <c r="R43" s="540"/>
      <c r="S43" s="540"/>
      <c r="T43" s="541"/>
      <c r="W43" s="542"/>
      <c r="X43" s="542"/>
      <c r="Y43" s="542"/>
      <c r="Z43" s="542"/>
      <c r="AA43" s="542"/>
      <c r="AB43" s="542"/>
      <c r="AC43" s="542"/>
    </row>
    <row r="44" spans="1:98" ht="12.6" thickBot="1">
      <c r="A44" s="524"/>
      <c r="B44" s="524"/>
      <c r="C44" s="524"/>
      <c r="D44" s="524"/>
      <c r="E44" s="524"/>
      <c r="F44" s="524"/>
      <c r="G44" s="524"/>
      <c r="H44" s="524"/>
      <c r="N44" s="540"/>
      <c r="O44" s="540"/>
      <c r="P44" s="540"/>
      <c r="Q44" s="540"/>
      <c r="R44" s="540"/>
      <c r="S44" s="540"/>
      <c r="T44" s="541"/>
      <c r="W44" s="542"/>
      <c r="X44" s="542"/>
      <c r="Y44" s="542"/>
      <c r="Z44" s="542"/>
      <c r="AA44" s="542"/>
      <c r="AB44" s="542"/>
      <c r="AC44" s="542"/>
    </row>
    <row r="45" spans="1:98">
      <c r="N45" s="540"/>
      <c r="O45" s="540"/>
      <c r="P45" s="540"/>
      <c r="Q45" s="540"/>
      <c r="R45" s="540"/>
      <c r="S45" s="540"/>
      <c r="T45" s="541"/>
      <c r="W45" s="542"/>
      <c r="X45" s="542"/>
      <c r="Y45" s="542"/>
      <c r="Z45" s="542"/>
      <c r="AA45" s="542"/>
      <c r="AB45" s="542"/>
      <c r="AC45" s="542"/>
    </row>
    <row r="46" spans="1:98" ht="12">
      <c r="A46" s="525" t="s">
        <v>33</v>
      </c>
      <c r="B46" s="525" t="s">
        <v>932</v>
      </c>
      <c r="C46" s="525" t="s">
        <v>933</v>
      </c>
      <c r="D46" s="525" t="s">
        <v>934</v>
      </c>
      <c r="E46" s="525" t="s">
        <v>935</v>
      </c>
      <c r="F46" s="525" t="s">
        <v>936</v>
      </c>
      <c r="G46" s="525" t="s">
        <v>937</v>
      </c>
      <c r="H46" s="526" t="s">
        <v>938</v>
      </c>
      <c r="N46" s="540"/>
      <c r="O46" s="540"/>
      <c r="P46" s="540"/>
      <c r="Q46" s="540"/>
      <c r="R46" s="540"/>
      <c r="S46" s="540"/>
      <c r="T46" s="541"/>
      <c r="W46" s="542"/>
      <c r="X46" s="542"/>
      <c r="Y46" s="542"/>
      <c r="Z46" s="542"/>
      <c r="AA46" s="542"/>
      <c r="AB46" s="542"/>
      <c r="AC46" s="542"/>
    </row>
    <row r="47" spans="1:98" ht="8.25" customHeight="1">
      <c r="B47" s="538"/>
      <c r="C47" s="538"/>
      <c r="D47" s="538"/>
      <c r="E47" s="539"/>
      <c r="F47" s="539"/>
      <c r="G47" s="538"/>
      <c r="N47" s="540"/>
      <c r="O47" s="540"/>
      <c r="P47" s="540"/>
      <c r="Q47" s="540"/>
      <c r="R47" s="540"/>
      <c r="S47" s="540"/>
      <c r="T47" s="541"/>
      <c r="W47" s="542"/>
      <c r="X47" s="542"/>
      <c r="Y47" s="542"/>
      <c r="Z47" s="542"/>
      <c r="AA47" s="542"/>
      <c r="AB47" s="542"/>
      <c r="AC47" s="542"/>
    </row>
    <row r="48" spans="1:98" ht="12" customHeight="1">
      <c r="A48" s="518" t="s">
        <v>159</v>
      </c>
      <c r="B48" s="550">
        <v>906431600</v>
      </c>
      <c r="C48" s="550">
        <v>724477300</v>
      </c>
      <c r="D48" s="550">
        <v>792035800</v>
      </c>
      <c r="E48" s="906">
        <v>1698467400</v>
      </c>
      <c r="F48" s="906">
        <v>1516513100</v>
      </c>
      <c r="G48" s="550">
        <v>7582565.5</v>
      </c>
      <c r="H48" s="532">
        <v>2012</v>
      </c>
      <c r="I48" s="533"/>
      <c r="J48" s="533"/>
      <c r="K48" s="533"/>
      <c r="N48" s="540"/>
      <c r="O48" s="540"/>
      <c r="P48" s="540"/>
      <c r="Q48" s="540"/>
      <c r="R48" s="540"/>
      <c r="S48" s="540"/>
      <c r="T48" s="541"/>
      <c r="W48" s="542"/>
      <c r="X48" s="542"/>
      <c r="Y48" s="542"/>
      <c r="Z48" s="542"/>
      <c r="AA48" s="542"/>
      <c r="AB48" s="542"/>
      <c r="AC48" s="542"/>
    </row>
    <row r="49" spans="1:98" ht="12" customHeight="1">
      <c r="A49" s="518" t="s">
        <v>161</v>
      </c>
      <c r="B49" s="538">
        <v>1740429300</v>
      </c>
      <c r="C49" s="538">
        <v>1356522700</v>
      </c>
      <c r="D49" s="538">
        <v>1776796300</v>
      </c>
      <c r="E49" s="902">
        <v>3517225600</v>
      </c>
      <c r="F49" s="902">
        <v>3133319000</v>
      </c>
      <c r="G49" s="538">
        <v>18740380.938999999</v>
      </c>
      <c r="H49" s="532">
        <v>2012</v>
      </c>
      <c r="I49" s="533"/>
      <c r="J49" s="533"/>
      <c r="K49" s="533"/>
      <c r="N49" s="540"/>
      <c r="O49" s="540"/>
      <c r="P49" s="540"/>
      <c r="Q49" s="540"/>
      <c r="R49" s="540"/>
      <c r="S49" s="540"/>
      <c r="T49" s="541"/>
      <c r="W49" s="542"/>
      <c r="X49" s="542"/>
      <c r="Y49" s="542"/>
      <c r="Z49" s="542"/>
      <c r="AA49" s="542"/>
      <c r="AB49" s="542"/>
      <c r="AC49" s="542"/>
    </row>
    <row r="50" spans="1:98" ht="12" customHeight="1">
      <c r="A50" s="518" t="s">
        <v>36</v>
      </c>
      <c r="B50" s="538">
        <v>3151015800</v>
      </c>
      <c r="C50" s="538">
        <v>2714659473</v>
      </c>
      <c r="D50" s="538">
        <v>3759700700</v>
      </c>
      <c r="E50" s="902">
        <v>6910716500</v>
      </c>
      <c r="F50" s="902">
        <v>6474360173</v>
      </c>
      <c r="G50" s="538">
        <v>34961544.934200004</v>
      </c>
      <c r="H50" s="532">
        <v>2012</v>
      </c>
      <c r="I50" s="533"/>
      <c r="J50" s="533"/>
      <c r="K50" s="533"/>
      <c r="N50" s="540"/>
      <c r="O50" s="540"/>
      <c r="P50" s="540"/>
      <c r="Q50" s="540"/>
      <c r="R50" s="540"/>
      <c r="S50" s="540"/>
      <c r="T50" s="541"/>
      <c r="W50" s="542"/>
      <c r="X50" s="542"/>
      <c r="Y50" s="542"/>
      <c r="Z50" s="542"/>
      <c r="AA50" s="542"/>
      <c r="AB50" s="542"/>
      <c r="AC50" s="542"/>
    </row>
    <row r="51" spans="1:98" ht="12" customHeight="1">
      <c r="A51" s="518" t="s">
        <v>164</v>
      </c>
      <c r="B51" s="538">
        <v>3277362800</v>
      </c>
      <c r="C51" s="538">
        <v>2808285878</v>
      </c>
      <c r="D51" s="538">
        <v>4818580400</v>
      </c>
      <c r="E51" s="902">
        <v>8095943200</v>
      </c>
      <c r="F51" s="902">
        <v>7626866278</v>
      </c>
      <c r="G51" s="538">
        <v>44617167.726300001</v>
      </c>
      <c r="H51" s="532">
        <v>2012</v>
      </c>
      <c r="I51" s="533"/>
      <c r="J51" s="533"/>
      <c r="K51" s="533"/>
      <c r="N51" s="540"/>
      <c r="O51" s="540"/>
      <c r="P51" s="540"/>
      <c r="Q51" s="540"/>
      <c r="R51" s="540"/>
      <c r="S51" s="540"/>
      <c r="T51" s="541"/>
      <c r="W51" s="542"/>
      <c r="X51" s="542"/>
      <c r="Y51" s="542"/>
      <c r="Z51" s="542"/>
      <c r="AA51" s="542"/>
      <c r="AB51" s="542"/>
      <c r="AC51" s="542"/>
    </row>
    <row r="52" spans="1:98" s="529" customFormat="1" ht="12" customHeight="1">
      <c r="A52" s="529" t="s">
        <v>166</v>
      </c>
      <c r="B52" s="543">
        <v>449047700</v>
      </c>
      <c r="C52" s="543">
        <v>315023000</v>
      </c>
      <c r="D52" s="543">
        <v>750083400</v>
      </c>
      <c r="E52" s="903">
        <v>1199131100</v>
      </c>
      <c r="F52" s="903">
        <v>1065106400</v>
      </c>
      <c r="G52" s="543">
        <v>5751574.5600000005</v>
      </c>
      <c r="H52" s="532">
        <v>2012</v>
      </c>
      <c r="I52" s="533"/>
      <c r="J52" s="533"/>
      <c r="K52" s="533"/>
      <c r="L52" s="534"/>
      <c r="M52" s="534"/>
      <c r="N52" s="545"/>
      <c r="O52" s="545"/>
      <c r="P52" s="545"/>
      <c r="Q52" s="545"/>
      <c r="R52" s="545"/>
      <c r="S52" s="545"/>
      <c r="T52" s="536"/>
      <c r="U52" s="534"/>
      <c r="V52" s="534"/>
      <c r="W52" s="537"/>
      <c r="X52" s="537"/>
      <c r="Y52" s="537"/>
      <c r="Z52" s="537"/>
      <c r="AA52" s="537"/>
      <c r="AB52" s="537"/>
      <c r="AC52" s="537"/>
      <c r="AD52" s="534"/>
      <c r="AE52" s="534"/>
      <c r="AF52" s="534"/>
      <c r="AG52" s="534"/>
      <c r="AH52" s="534"/>
      <c r="AI52" s="534"/>
      <c r="AJ52" s="534"/>
      <c r="AK52" s="534"/>
      <c r="AL52" s="534"/>
      <c r="AM52" s="534"/>
      <c r="AN52" s="534"/>
      <c r="AO52" s="534"/>
      <c r="AP52" s="534"/>
      <c r="AQ52" s="534"/>
      <c r="AR52" s="534"/>
      <c r="AS52" s="534"/>
      <c r="AT52" s="534"/>
      <c r="AU52" s="534"/>
      <c r="AV52" s="534"/>
      <c r="AW52" s="534"/>
      <c r="AX52" s="534"/>
      <c r="AY52" s="534"/>
      <c r="AZ52" s="534"/>
      <c r="BA52" s="534"/>
      <c r="BB52" s="534"/>
      <c r="BC52" s="534"/>
      <c r="BD52" s="534"/>
      <c r="BE52" s="534"/>
      <c r="BF52" s="534"/>
      <c r="BG52" s="534"/>
      <c r="BH52" s="534"/>
      <c r="BI52" s="534"/>
      <c r="BJ52" s="534"/>
      <c r="BK52" s="534"/>
      <c r="BL52" s="534"/>
      <c r="BM52" s="534"/>
      <c r="BN52" s="534"/>
      <c r="BO52" s="534"/>
      <c r="BP52" s="534"/>
      <c r="BQ52" s="534"/>
      <c r="BR52" s="534"/>
      <c r="BS52" s="534"/>
      <c r="BT52" s="534"/>
      <c r="BU52" s="534"/>
      <c r="BV52" s="534"/>
      <c r="BW52" s="534"/>
      <c r="BX52" s="534"/>
      <c r="BY52" s="534"/>
      <c r="BZ52" s="534"/>
      <c r="CA52" s="534"/>
      <c r="CB52" s="534"/>
      <c r="CC52" s="534"/>
      <c r="CD52" s="534"/>
      <c r="CE52" s="534"/>
      <c r="CF52" s="534"/>
      <c r="CG52" s="534"/>
      <c r="CH52" s="534"/>
      <c r="CI52" s="534"/>
      <c r="CJ52" s="534"/>
      <c r="CK52" s="534"/>
      <c r="CL52" s="534"/>
      <c r="CM52" s="534"/>
      <c r="CN52" s="534"/>
      <c r="CO52" s="534"/>
      <c r="CP52" s="534"/>
      <c r="CQ52" s="534"/>
      <c r="CR52" s="534"/>
      <c r="CS52" s="534"/>
      <c r="CT52" s="534"/>
    </row>
    <row r="53" spans="1:98" ht="9" customHeight="1">
      <c r="B53" s="538"/>
      <c r="C53" s="538"/>
      <c r="D53" s="538"/>
      <c r="E53" s="902"/>
      <c r="F53" s="902"/>
      <c r="G53" s="538"/>
      <c r="N53" s="540"/>
      <c r="O53" s="540"/>
      <c r="P53" s="540"/>
      <c r="Q53" s="540"/>
      <c r="R53" s="540"/>
      <c r="S53" s="540"/>
      <c r="T53" s="541"/>
      <c r="W53" s="542"/>
      <c r="X53" s="542"/>
      <c r="Y53" s="542"/>
      <c r="Z53" s="542"/>
      <c r="AA53" s="542"/>
      <c r="AB53" s="542"/>
      <c r="AC53" s="542"/>
    </row>
    <row r="54" spans="1:98" s="529" customFormat="1" ht="12" customHeight="1">
      <c r="A54" s="529" t="s">
        <v>100</v>
      </c>
      <c r="B54" s="543">
        <v>1647700700</v>
      </c>
      <c r="C54" s="543">
        <v>1518149000</v>
      </c>
      <c r="D54" s="543">
        <v>2667621200</v>
      </c>
      <c r="E54" s="903">
        <v>4315321900</v>
      </c>
      <c r="F54" s="903">
        <v>4185770200</v>
      </c>
      <c r="G54" s="543">
        <v>27207506.300000001</v>
      </c>
      <c r="H54" s="532">
        <v>2012</v>
      </c>
      <c r="I54" s="533"/>
      <c r="J54" s="533"/>
      <c r="K54" s="533"/>
      <c r="L54" s="534"/>
      <c r="M54" s="534"/>
      <c r="N54" s="545"/>
      <c r="O54" s="545"/>
      <c r="P54" s="545"/>
      <c r="Q54" s="545"/>
      <c r="R54" s="545"/>
      <c r="S54" s="545"/>
      <c r="T54" s="536"/>
      <c r="U54" s="534"/>
      <c r="V54" s="534"/>
      <c r="W54" s="537"/>
      <c r="X54" s="537"/>
      <c r="Y54" s="537"/>
      <c r="Z54" s="537"/>
      <c r="AA54" s="537"/>
      <c r="AB54" s="537"/>
      <c r="AC54" s="537"/>
      <c r="AD54" s="534"/>
      <c r="AE54" s="534"/>
      <c r="AF54" s="534"/>
      <c r="AG54" s="534"/>
      <c r="AH54" s="534"/>
      <c r="AI54" s="534"/>
      <c r="AJ54" s="534"/>
      <c r="AK54" s="534"/>
      <c r="AL54" s="534"/>
      <c r="AM54" s="534"/>
      <c r="AN54" s="534"/>
      <c r="AO54" s="534"/>
      <c r="AP54" s="534"/>
      <c r="AQ54" s="534"/>
      <c r="AR54" s="534"/>
      <c r="AS54" s="534"/>
      <c r="AT54" s="534"/>
      <c r="AU54" s="534"/>
      <c r="AV54" s="534"/>
      <c r="AW54" s="534"/>
      <c r="AX54" s="534"/>
      <c r="AY54" s="534"/>
      <c r="AZ54" s="534"/>
      <c r="BA54" s="534"/>
      <c r="BB54" s="534"/>
      <c r="BC54" s="534"/>
      <c r="BD54" s="534"/>
      <c r="BE54" s="534"/>
      <c r="BF54" s="534"/>
      <c r="BG54" s="534"/>
      <c r="BH54" s="534"/>
      <c r="BI54" s="534"/>
      <c r="BJ54" s="534"/>
      <c r="BK54" s="534"/>
      <c r="BL54" s="534"/>
      <c r="BM54" s="534"/>
      <c r="BN54" s="534"/>
      <c r="BO54" s="534"/>
      <c r="BP54" s="534"/>
      <c r="BQ54" s="534"/>
      <c r="BR54" s="534"/>
      <c r="BS54" s="534"/>
      <c r="BT54" s="534"/>
      <c r="BU54" s="534"/>
      <c r="BV54" s="534"/>
      <c r="BW54" s="534"/>
      <c r="BX54" s="534"/>
      <c r="BY54" s="534"/>
      <c r="BZ54" s="534"/>
      <c r="CA54" s="534"/>
      <c r="CB54" s="534"/>
      <c r="CC54" s="534"/>
      <c r="CD54" s="534"/>
      <c r="CE54" s="534"/>
      <c r="CF54" s="534"/>
      <c r="CG54" s="534"/>
      <c r="CH54" s="534"/>
      <c r="CI54" s="534"/>
      <c r="CJ54" s="534"/>
      <c r="CK54" s="534"/>
      <c r="CL54" s="534"/>
      <c r="CM54" s="534"/>
      <c r="CN54" s="534"/>
      <c r="CO54" s="534"/>
      <c r="CP54" s="534"/>
      <c r="CQ54" s="534"/>
      <c r="CR54" s="534"/>
      <c r="CS54" s="534"/>
      <c r="CT54" s="534"/>
    </row>
    <row r="55" spans="1:98" ht="12" customHeight="1">
      <c r="A55" s="518" t="s">
        <v>102</v>
      </c>
      <c r="B55" s="538">
        <v>2440738049</v>
      </c>
      <c r="C55" s="538">
        <v>1823612100</v>
      </c>
      <c r="D55" s="538">
        <v>2243139808</v>
      </c>
      <c r="E55" s="902">
        <v>4683877857</v>
      </c>
      <c r="F55" s="902">
        <v>4066751908</v>
      </c>
      <c r="G55" s="538">
        <v>21553785.112399999</v>
      </c>
      <c r="H55" s="532">
        <v>2012</v>
      </c>
      <c r="I55" s="533"/>
      <c r="J55" s="533"/>
      <c r="K55" s="533"/>
      <c r="M55" s="1153"/>
      <c r="N55" s="1153"/>
      <c r="O55" s="1153"/>
      <c r="P55" s="1153"/>
      <c r="Q55" s="1153"/>
      <c r="R55" s="1153"/>
      <c r="S55" s="1153"/>
      <c r="T55" s="1153"/>
      <c r="W55" s="542"/>
      <c r="X55" s="542"/>
      <c r="Y55" s="542"/>
      <c r="Z55" s="542"/>
      <c r="AA55" s="542"/>
      <c r="AB55" s="542"/>
      <c r="AC55" s="542"/>
    </row>
    <row r="56" spans="1:98" ht="12" customHeight="1">
      <c r="A56" s="518" t="s">
        <v>104</v>
      </c>
      <c r="B56" s="538">
        <v>1064104000</v>
      </c>
      <c r="C56" s="538">
        <v>1064104000</v>
      </c>
      <c r="D56" s="538">
        <v>601021300</v>
      </c>
      <c r="E56" s="902">
        <v>1665125300</v>
      </c>
      <c r="F56" s="902">
        <v>1665125300</v>
      </c>
      <c r="G56" s="538">
        <v>8159113.9699999997</v>
      </c>
      <c r="H56" s="532">
        <v>2012</v>
      </c>
      <c r="I56" s="533"/>
      <c r="J56" s="533"/>
      <c r="K56" s="533"/>
      <c r="M56" s="521"/>
      <c r="W56" s="542"/>
      <c r="X56" s="542"/>
      <c r="Y56" s="542"/>
      <c r="Z56" s="542"/>
      <c r="AA56" s="542"/>
      <c r="AB56" s="542"/>
      <c r="AC56" s="542"/>
    </row>
    <row r="57" spans="1:98" s="529" customFormat="1" ht="12" customHeight="1">
      <c r="A57" s="529" t="s">
        <v>106</v>
      </c>
      <c r="B57" s="543">
        <v>1018199602</v>
      </c>
      <c r="C57" s="543">
        <v>698205464</v>
      </c>
      <c r="D57" s="543">
        <v>1174818100</v>
      </c>
      <c r="E57" s="903">
        <v>2193017702</v>
      </c>
      <c r="F57" s="903">
        <v>1873023564</v>
      </c>
      <c r="G57" s="543">
        <v>12923862.591599999</v>
      </c>
      <c r="H57" s="532">
        <v>2012</v>
      </c>
      <c r="I57" s="533"/>
      <c r="J57" s="533"/>
      <c r="K57" s="533"/>
      <c r="L57" s="534"/>
      <c r="M57" s="1154"/>
      <c r="N57" s="1154"/>
      <c r="O57" s="1154"/>
      <c r="P57" s="1154"/>
      <c r="Q57" s="1154"/>
      <c r="R57" s="1154"/>
      <c r="S57" s="1154"/>
      <c r="T57" s="1154"/>
      <c r="U57" s="534"/>
      <c r="V57" s="534"/>
      <c r="W57" s="537"/>
      <c r="X57" s="537"/>
      <c r="Y57" s="537"/>
      <c r="Z57" s="537"/>
      <c r="AA57" s="537"/>
      <c r="AB57" s="537"/>
      <c r="AC57" s="537"/>
      <c r="AD57" s="534"/>
      <c r="AE57" s="534"/>
      <c r="AF57" s="534"/>
      <c r="AG57" s="534"/>
      <c r="AH57" s="534"/>
      <c r="AI57" s="534"/>
      <c r="AJ57" s="534"/>
      <c r="AK57" s="534"/>
      <c r="AL57" s="534"/>
      <c r="AM57" s="534"/>
      <c r="AN57" s="534"/>
      <c r="AO57" s="534"/>
      <c r="AP57" s="534"/>
      <c r="AQ57" s="534"/>
      <c r="AR57" s="534"/>
      <c r="AS57" s="534"/>
      <c r="AT57" s="534"/>
      <c r="AU57" s="534"/>
      <c r="AV57" s="534"/>
      <c r="AW57" s="534"/>
      <c r="AX57" s="534"/>
      <c r="AY57" s="534"/>
      <c r="AZ57" s="534"/>
      <c r="BA57" s="534"/>
      <c r="BB57" s="534"/>
      <c r="BC57" s="534"/>
      <c r="BD57" s="534"/>
      <c r="BE57" s="534"/>
      <c r="BF57" s="534"/>
      <c r="BG57" s="534"/>
      <c r="BH57" s="534"/>
      <c r="BI57" s="534"/>
      <c r="BJ57" s="534"/>
      <c r="BK57" s="534"/>
      <c r="BL57" s="534"/>
      <c r="BM57" s="534"/>
      <c r="BN57" s="534"/>
      <c r="BO57" s="534"/>
      <c r="BP57" s="534"/>
      <c r="BQ57" s="534"/>
      <c r="BR57" s="534"/>
      <c r="BS57" s="534"/>
      <c r="BT57" s="534"/>
      <c r="BU57" s="534"/>
      <c r="BV57" s="534"/>
      <c r="BW57" s="534"/>
      <c r="BX57" s="534"/>
      <c r="BY57" s="534"/>
      <c r="BZ57" s="534"/>
      <c r="CA57" s="534"/>
      <c r="CB57" s="534"/>
      <c r="CC57" s="534"/>
      <c r="CD57" s="534"/>
      <c r="CE57" s="534"/>
      <c r="CF57" s="534"/>
      <c r="CG57" s="534"/>
      <c r="CH57" s="534"/>
      <c r="CI57" s="534"/>
      <c r="CJ57" s="534"/>
      <c r="CK57" s="534"/>
      <c r="CL57" s="534"/>
      <c r="CM57" s="534"/>
      <c r="CN57" s="534"/>
      <c r="CO57" s="534"/>
      <c r="CP57" s="534"/>
      <c r="CQ57" s="534"/>
      <c r="CR57" s="534"/>
      <c r="CS57" s="534"/>
      <c r="CT57" s="534"/>
    </row>
    <row r="58" spans="1:98" ht="12" customHeight="1">
      <c r="A58" s="520" t="s">
        <v>108</v>
      </c>
      <c r="B58" s="538">
        <v>370585290</v>
      </c>
      <c r="C58" s="538">
        <v>351949390</v>
      </c>
      <c r="D58" s="538">
        <v>339430100</v>
      </c>
      <c r="E58" s="902">
        <v>710015390</v>
      </c>
      <c r="F58" s="902">
        <v>691379490</v>
      </c>
      <c r="G58" s="538">
        <v>3526035.3990000002</v>
      </c>
      <c r="H58" s="532">
        <v>2012</v>
      </c>
      <c r="I58" s="533"/>
      <c r="J58" s="533"/>
      <c r="K58" s="533"/>
      <c r="W58" s="542"/>
      <c r="X58" s="542"/>
      <c r="Y58" s="542"/>
      <c r="Z58" s="542"/>
      <c r="AA58" s="542"/>
      <c r="AB58" s="542"/>
      <c r="AC58" s="542"/>
    </row>
    <row r="59" spans="1:98" ht="9" customHeight="1">
      <c r="W59" s="542"/>
      <c r="X59" s="542"/>
      <c r="Y59" s="542"/>
      <c r="Z59" s="542"/>
      <c r="AA59" s="542"/>
      <c r="AB59" s="542"/>
      <c r="AC59" s="542"/>
    </row>
    <row r="60" spans="1:98" s="529" customFormat="1" ht="12" customHeight="1">
      <c r="A60" s="529" t="s">
        <v>521</v>
      </c>
      <c r="B60" s="538">
        <v>1150666857</v>
      </c>
      <c r="C60" s="538">
        <v>1026271976</v>
      </c>
      <c r="D60" s="538">
        <v>1515929795</v>
      </c>
      <c r="E60" s="902">
        <v>2666596652</v>
      </c>
      <c r="F60" s="902">
        <v>2542201771</v>
      </c>
      <c r="G60" s="538">
        <v>11439907.969500002</v>
      </c>
      <c r="H60" s="532">
        <v>2012</v>
      </c>
      <c r="I60" s="533"/>
      <c r="J60" s="533"/>
      <c r="K60" s="533"/>
      <c r="L60" s="534"/>
      <c r="M60" s="534"/>
      <c r="N60" s="535"/>
      <c r="O60" s="535"/>
      <c r="P60" s="535"/>
      <c r="Q60" s="535"/>
      <c r="R60" s="535"/>
      <c r="S60" s="535"/>
      <c r="T60" s="536"/>
      <c r="U60" s="534"/>
      <c r="V60" s="534"/>
      <c r="W60" s="537"/>
      <c r="X60" s="537"/>
      <c r="Y60" s="537"/>
      <c r="Z60" s="537"/>
      <c r="AA60" s="537"/>
      <c r="AB60" s="537"/>
      <c r="AC60" s="537"/>
      <c r="AD60" s="534"/>
      <c r="AE60" s="534"/>
      <c r="AF60" s="534"/>
      <c r="AG60" s="534"/>
      <c r="AH60" s="534"/>
      <c r="AI60" s="534"/>
      <c r="AJ60" s="534"/>
      <c r="AK60" s="534"/>
      <c r="AL60" s="534"/>
      <c r="AM60" s="534"/>
      <c r="AN60" s="534"/>
      <c r="AO60" s="534"/>
      <c r="AP60" s="534"/>
      <c r="AQ60" s="534"/>
      <c r="AR60" s="534"/>
      <c r="AS60" s="534"/>
      <c r="AT60" s="534"/>
      <c r="AU60" s="534"/>
      <c r="AV60" s="534"/>
      <c r="AW60" s="534"/>
      <c r="AX60" s="534"/>
      <c r="AY60" s="534"/>
      <c r="AZ60" s="534"/>
      <c r="BA60" s="534"/>
      <c r="BB60" s="534"/>
      <c r="BC60" s="534"/>
      <c r="BD60" s="534"/>
      <c r="BE60" s="534"/>
      <c r="BF60" s="534"/>
      <c r="BG60" s="534"/>
      <c r="BH60" s="534"/>
      <c r="BI60" s="534"/>
      <c r="BJ60" s="534"/>
      <c r="BK60" s="534"/>
      <c r="BL60" s="534"/>
      <c r="BM60" s="534"/>
      <c r="BN60" s="534"/>
      <c r="BO60" s="534"/>
      <c r="BP60" s="534"/>
      <c r="BQ60" s="534"/>
      <c r="BR60" s="534"/>
      <c r="BS60" s="534"/>
      <c r="BT60" s="534"/>
      <c r="BU60" s="534"/>
      <c r="BV60" s="534"/>
      <c r="BW60" s="534"/>
      <c r="BX60" s="534"/>
      <c r="BY60" s="534"/>
      <c r="BZ60" s="534"/>
      <c r="CA60" s="534"/>
      <c r="CB60" s="534"/>
      <c r="CC60" s="534"/>
      <c r="CD60" s="534"/>
      <c r="CE60" s="534"/>
      <c r="CF60" s="534"/>
      <c r="CG60" s="534"/>
      <c r="CH60" s="534"/>
      <c r="CI60" s="534"/>
      <c r="CJ60" s="534"/>
      <c r="CK60" s="534"/>
      <c r="CL60" s="534"/>
      <c r="CM60" s="534"/>
      <c r="CN60" s="534"/>
      <c r="CO60" s="534"/>
      <c r="CP60" s="534"/>
      <c r="CQ60" s="534"/>
      <c r="CR60" s="534"/>
      <c r="CS60" s="534"/>
      <c r="CT60" s="534"/>
    </row>
    <row r="61" spans="1:98" ht="12" customHeight="1">
      <c r="A61" s="518" t="s">
        <v>112</v>
      </c>
      <c r="B61" s="538">
        <v>4354457200</v>
      </c>
      <c r="C61" s="538">
        <v>3705897800</v>
      </c>
      <c r="D61" s="538">
        <v>7582009500</v>
      </c>
      <c r="E61" s="902">
        <v>11936466700</v>
      </c>
      <c r="F61" s="902">
        <v>11287907300</v>
      </c>
      <c r="G61" s="538">
        <v>91432049.13000001</v>
      </c>
      <c r="H61" s="532">
        <v>2012</v>
      </c>
      <c r="I61" s="533"/>
      <c r="J61" s="533"/>
      <c r="K61" s="533"/>
      <c r="N61" s="540"/>
      <c r="O61" s="540"/>
      <c r="P61" s="540"/>
      <c r="Q61" s="540"/>
      <c r="R61" s="540"/>
      <c r="S61" s="540"/>
      <c r="T61" s="541"/>
      <c r="W61" s="542"/>
      <c r="X61" s="542"/>
      <c r="Y61" s="542"/>
      <c r="Z61" s="542"/>
      <c r="AA61" s="542"/>
      <c r="AB61" s="542"/>
      <c r="AC61" s="542"/>
    </row>
    <row r="62" spans="1:98" ht="12" customHeight="1">
      <c r="A62" s="518" t="s">
        <v>114</v>
      </c>
      <c r="B62" s="538">
        <v>8589871300</v>
      </c>
      <c r="C62" s="538">
        <v>8393054500</v>
      </c>
      <c r="D62" s="538">
        <v>22383057400</v>
      </c>
      <c r="E62" s="902">
        <v>30972928700</v>
      </c>
      <c r="F62" s="902">
        <v>30776111900</v>
      </c>
      <c r="G62" s="538">
        <v>267752173.53</v>
      </c>
      <c r="H62" s="532">
        <v>2012</v>
      </c>
      <c r="I62" s="533"/>
      <c r="J62" s="533"/>
      <c r="K62" s="533"/>
      <c r="N62" s="540"/>
      <c r="O62" s="540"/>
      <c r="P62" s="540"/>
      <c r="Q62" s="540"/>
      <c r="R62" s="540"/>
      <c r="S62" s="540"/>
      <c r="T62" s="541"/>
      <c r="W62" s="542"/>
      <c r="X62" s="542"/>
      <c r="Y62" s="542"/>
      <c r="Z62" s="542"/>
      <c r="AA62" s="542"/>
      <c r="AB62" s="542"/>
      <c r="AC62" s="542"/>
    </row>
    <row r="63" spans="1:98" s="529" customFormat="1" ht="12" customHeight="1">
      <c r="A63" s="529" t="s">
        <v>116</v>
      </c>
      <c r="B63" s="543">
        <v>760903900</v>
      </c>
      <c r="C63" s="543">
        <v>732698300</v>
      </c>
      <c r="D63" s="543">
        <v>2276719746</v>
      </c>
      <c r="E63" s="903">
        <v>3037623646</v>
      </c>
      <c r="F63" s="903">
        <v>3009418046</v>
      </c>
      <c r="G63" s="543">
        <v>13843323.011600001</v>
      </c>
      <c r="H63" s="532">
        <v>2012</v>
      </c>
      <c r="I63" s="533"/>
      <c r="J63" s="533"/>
      <c r="K63" s="533"/>
      <c r="L63" s="534"/>
      <c r="M63" s="534"/>
      <c r="N63" s="545"/>
      <c r="O63" s="545"/>
      <c r="P63" s="545"/>
      <c r="Q63" s="545"/>
      <c r="R63" s="545"/>
      <c r="S63" s="545"/>
      <c r="T63" s="536"/>
      <c r="U63" s="534"/>
      <c r="V63" s="534"/>
      <c r="W63" s="537"/>
      <c r="X63" s="537"/>
      <c r="Y63" s="537"/>
      <c r="Z63" s="537"/>
      <c r="AA63" s="537"/>
      <c r="AB63" s="537"/>
      <c r="AC63" s="537"/>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c r="BG63" s="534"/>
      <c r="BH63" s="534"/>
      <c r="BI63" s="534"/>
      <c r="BJ63" s="534"/>
      <c r="BK63" s="534"/>
      <c r="BL63" s="534"/>
      <c r="BM63" s="534"/>
      <c r="BN63" s="534"/>
      <c r="BO63" s="534"/>
      <c r="BP63" s="534"/>
      <c r="BQ63" s="534"/>
      <c r="BR63" s="534"/>
      <c r="BS63" s="534"/>
      <c r="BT63" s="534"/>
      <c r="BU63" s="534"/>
      <c r="BV63" s="534"/>
      <c r="BW63" s="534"/>
      <c r="BX63" s="534"/>
      <c r="BY63" s="534"/>
      <c r="BZ63" s="534"/>
      <c r="CA63" s="534"/>
      <c r="CB63" s="534"/>
      <c r="CC63" s="534"/>
      <c r="CD63" s="534"/>
      <c r="CE63" s="534"/>
      <c r="CF63" s="534"/>
      <c r="CG63" s="534"/>
      <c r="CH63" s="534"/>
      <c r="CI63" s="534"/>
      <c r="CJ63" s="534"/>
      <c r="CK63" s="534"/>
      <c r="CL63" s="534"/>
      <c r="CM63" s="534"/>
      <c r="CN63" s="534"/>
      <c r="CO63" s="534"/>
      <c r="CP63" s="534"/>
      <c r="CQ63" s="534"/>
      <c r="CR63" s="534"/>
      <c r="CS63" s="534"/>
      <c r="CT63" s="534"/>
    </row>
    <row r="64" spans="1:98" s="529" customFormat="1" ht="12" customHeight="1">
      <c r="A64" s="529" t="s">
        <v>118</v>
      </c>
      <c r="B64" s="543">
        <v>455304400</v>
      </c>
      <c r="C64" s="543">
        <v>455304400</v>
      </c>
      <c r="D64" s="543">
        <v>222790300</v>
      </c>
      <c r="E64" s="903">
        <v>678094700</v>
      </c>
      <c r="F64" s="903">
        <v>678094700</v>
      </c>
      <c r="G64" s="543">
        <v>2508950.39</v>
      </c>
      <c r="H64" s="532">
        <v>2012</v>
      </c>
      <c r="I64" s="533"/>
      <c r="J64" s="533"/>
      <c r="K64" s="533"/>
      <c r="L64" s="534"/>
      <c r="M64" s="534"/>
      <c r="N64" s="545"/>
      <c r="O64" s="545"/>
      <c r="P64" s="545"/>
      <c r="Q64" s="545"/>
      <c r="R64" s="545"/>
      <c r="S64" s="545"/>
      <c r="T64" s="536"/>
      <c r="U64" s="534"/>
      <c r="V64" s="534"/>
      <c r="W64" s="537"/>
      <c r="X64" s="537"/>
      <c r="Y64" s="537"/>
      <c r="Z64" s="537"/>
      <c r="AA64" s="537"/>
      <c r="AB64" s="537"/>
      <c r="AC64" s="537"/>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c r="BG64" s="534"/>
      <c r="BH64" s="534"/>
      <c r="BI64" s="534"/>
      <c r="BJ64" s="534"/>
      <c r="BK64" s="534"/>
      <c r="BL64" s="534"/>
      <c r="BM64" s="534"/>
      <c r="BN64" s="534"/>
      <c r="BO64" s="534"/>
      <c r="BP64" s="534"/>
      <c r="BQ64" s="534"/>
      <c r="BR64" s="534"/>
      <c r="BS64" s="534"/>
      <c r="BT64" s="534"/>
      <c r="BU64" s="534"/>
      <c r="BV64" s="534"/>
      <c r="BW64" s="534"/>
      <c r="BX64" s="534"/>
      <c r="BY64" s="534"/>
      <c r="BZ64" s="534"/>
      <c r="CA64" s="534"/>
      <c r="CB64" s="534"/>
      <c r="CC64" s="534"/>
      <c r="CD64" s="534"/>
      <c r="CE64" s="534"/>
      <c r="CF64" s="534"/>
      <c r="CG64" s="534"/>
      <c r="CH64" s="534"/>
      <c r="CI64" s="534"/>
      <c r="CJ64" s="534"/>
      <c r="CK64" s="534"/>
      <c r="CL64" s="534"/>
      <c r="CM64" s="534"/>
      <c r="CN64" s="534"/>
      <c r="CO64" s="534"/>
      <c r="CP64" s="534"/>
      <c r="CQ64" s="534"/>
      <c r="CR64" s="534"/>
      <c r="CS64" s="534"/>
      <c r="CT64" s="534"/>
    </row>
    <row r="65" spans="1:98" ht="9" customHeight="1">
      <c r="B65" s="538"/>
      <c r="C65" s="538"/>
      <c r="D65" s="538"/>
      <c r="E65" s="902"/>
      <c r="F65" s="902"/>
      <c r="G65" s="538"/>
      <c r="N65" s="540"/>
      <c r="O65" s="540"/>
      <c r="P65" s="540"/>
      <c r="Q65" s="540"/>
      <c r="R65" s="540"/>
      <c r="S65" s="540"/>
      <c r="T65" s="541"/>
      <c r="W65" s="542"/>
      <c r="X65" s="542"/>
      <c r="Y65" s="542"/>
      <c r="Z65" s="542"/>
      <c r="AA65" s="542"/>
      <c r="AB65" s="542"/>
      <c r="AC65" s="542"/>
    </row>
    <row r="66" spans="1:98" ht="12" customHeight="1">
      <c r="A66" s="518" t="s">
        <v>120</v>
      </c>
      <c r="B66" s="543">
        <v>1781130700</v>
      </c>
      <c r="C66" s="543">
        <v>1386194400</v>
      </c>
      <c r="D66" s="543">
        <v>2694592800</v>
      </c>
      <c r="E66" s="903">
        <v>4475723500</v>
      </c>
      <c r="F66" s="903">
        <v>4080787200</v>
      </c>
      <c r="G66" s="543">
        <v>26525116.800000001</v>
      </c>
      <c r="H66" s="532" t="s">
        <v>1115</v>
      </c>
      <c r="I66" s="533"/>
      <c r="J66" s="533"/>
      <c r="K66" s="533"/>
      <c r="N66" s="540"/>
      <c r="O66" s="540"/>
      <c r="P66" s="540"/>
      <c r="Q66" s="540"/>
      <c r="R66" s="540"/>
      <c r="S66" s="540"/>
      <c r="T66" s="541"/>
      <c r="W66" s="542"/>
      <c r="X66" s="542"/>
      <c r="Y66" s="542"/>
      <c r="Z66" s="542"/>
      <c r="AA66" s="542"/>
      <c r="AB66" s="542"/>
      <c r="AC66" s="542"/>
    </row>
    <row r="67" spans="1:98" ht="12" customHeight="1">
      <c r="A67" s="518" t="s">
        <v>122</v>
      </c>
      <c r="B67" s="538">
        <v>3271907200</v>
      </c>
      <c r="C67" s="538">
        <v>3127487600</v>
      </c>
      <c r="D67" s="538">
        <v>7793692600</v>
      </c>
      <c r="E67" s="902">
        <v>11065599800</v>
      </c>
      <c r="F67" s="902">
        <v>10921180200</v>
      </c>
      <c r="G67" s="538">
        <v>84093087.540000007</v>
      </c>
      <c r="H67" s="519" t="s">
        <v>1115</v>
      </c>
      <c r="I67" s="533"/>
      <c r="J67" s="533"/>
      <c r="K67" s="533"/>
      <c r="N67" s="540"/>
      <c r="O67" s="540"/>
      <c r="P67" s="540"/>
      <c r="Q67" s="540"/>
      <c r="R67" s="540"/>
      <c r="S67" s="540"/>
      <c r="T67" s="541"/>
      <c r="W67" s="542"/>
      <c r="X67" s="542"/>
      <c r="Y67" s="542"/>
      <c r="Z67" s="542"/>
      <c r="AA67" s="542"/>
      <c r="AB67" s="542"/>
      <c r="AC67" s="542"/>
    </row>
    <row r="68" spans="1:98" ht="12" customHeight="1">
      <c r="A68" s="518" t="s">
        <v>124</v>
      </c>
      <c r="B68" s="538">
        <v>458167125</v>
      </c>
      <c r="C68" s="538">
        <v>458167125</v>
      </c>
      <c r="D68" s="538">
        <v>380936100</v>
      </c>
      <c r="E68" s="902">
        <v>839103225</v>
      </c>
      <c r="F68" s="902">
        <v>839103225</v>
      </c>
      <c r="G68" s="538">
        <v>4363336.7700000005</v>
      </c>
      <c r="H68" s="532">
        <v>2012</v>
      </c>
      <c r="I68" s="533"/>
      <c r="J68" s="533"/>
      <c r="K68" s="533"/>
      <c r="N68" s="540"/>
      <c r="O68" s="540"/>
      <c r="P68" s="540"/>
      <c r="Q68" s="540"/>
      <c r="R68" s="540"/>
      <c r="S68" s="540"/>
      <c r="T68" s="541"/>
      <c r="W68" s="542"/>
      <c r="X68" s="542"/>
      <c r="Y68" s="542"/>
      <c r="Z68" s="542"/>
      <c r="AA68" s="542"/>
      <c r="AB68" s="542"/>
      <c r="AC68" s="542"/>
    </row>
    <row r="69" spans="1:98" ht="12" customHeight="1">
      <c r="A69" s="518" t="s">
        <v>126</v>
      </c>
      <c r="B69" s="538">
        <v>1157540700</v>
      </c>
      <c r="C69" s="538">
        <v>969691484</v>
      </c>
      <c r="D69" s="538">
        <v>1609945500</v>
      </c>
      <c r="E69" s="902">
        <v>2767486200</v>
      </c>
      <c r="F69" s="902">
        <v>2579636984</v>
      </c>
      <c r="G69" s="538">
        <v>13672076.0152</v>
      </c>
      <c r="H69" s="532">
        <v>2012</v>
      </c>
      <c r="I69" s="533"/>
      <c r="J69" s="533"/>
      <c r="K69" s="533"/>
      <c r="N69" s="540"/>
      <c r="O69" s="540"/>
      <c r="P69" s="540"/>
      <c r="Q69" s="540"/>
      <c r="R69" s="540"/>
      <c r="S69" s="540"/>
      <c r="T69" s="541"/>
      <c r="W69" s="542"/>
      <c r="X69" s="542"/>
      <c r="Y69" s="542"/>
      <c r="Z69" s="542"/>
      <c r="AA69" s="542"/>
      <c r="AB69" s="542"/>
      <c r="AC69" s="542"/>
    </row>
    <row r="70" spans="1:98" ht="12" customHeight="1">
      <c r="A70" s="518" t="s">
        <v>128</v>
      </c>
      <c r="B70" s="538">
        <v>816340863</v>
      </c>
      <c r="C70" s="538">
        <v>650864400</v>
      </c>
      <c r="D70" s="538">
        <v>1029984653</v>
      </c>
      <c r="E70" s="902">
        <v>1846325516</v>
      </c>
      <c r="F70" s="902">
        <v>1680849053</v>
      </c>
      <c r="G70" s="538">
        <v>11824706.949999999</v>
      </c>
      <c r="H70" s="532">
        <v>2012</v>
      </c>
      <c r="I70" s="533"/>
      <c r="J70" s="533"/>
      <c r="K70" s="533"/>
      <c r="T70" s="541"/>
      <c r="W70" s="542"/>
      <c r="X70" s="542"/>
      <c r="Y70" s="542"/>
      <c r="Z70" s="542"/>
      <c r="AA70" s="542"/>
      <c r="AB70" s="542"/>
      <c r="AC70" s="542"/>
    </row>
    <row r="71" spans="1:98" ht="9" customHeight="1">
      <c r="B71" s="904"/>
      <c r="C71" s="904"/>
      <c r="D71" s="904"/>
      <c r="E71" s="538"/>
      <c r="F71" s="538"/>
      <c r="G71" s="904"/>
      <c r="H71" s="905"/>
      <c r="N71" s="540"/>
      <c r="O71" s="540"/>
      <c r="P71" s="540"/>
      <c r="Q71" s="540"/>
      <c r="R71" s="540"/>
      <c r="S71" s="540"/>
      <c r="T71" s="541"/>
      <c r="W71" s="542"/>
      <c r="X71" s="542"/>
      <c r="Y71" s="542"/>
      <c r="Z71" s="542"/>
      <c r="AA71" s="542"/>
      <c r="AB71" s="542"/>
      <c r="AC71" s="542"/>
    </row>
    <row r="72" spans="1:98" ht="12" customHeight="1">
      <c r="A72" s="518" t="s">
        <v>130</v>
      </c>
      <c r="B72" s="538">
        <v>1504000600</v>
      </c>
      <c r="C72" s="538">
        <v>1470454600</v>
      </c>
      <c r="D72" s="538">
        <v>1688295900</v>
      </c>
      <c r="E72" s="902">
        <v>3192296500</v>
      </c>
      <c r="F72" s="902">
        <v>3158750500</v>
      </c>
      <c r="G72" s="538">
        <v>12319126.950000001</v>
      </c>
      <c r="H72" s="532">
        <v>2012</v>
      </c>
      <c r="I72" s="533"/>
      <c r="J72" s="533"/>
      <c r="K72" s="533"/>
      <c r="N72" s="540"/>
      <c r="O72" s="540"/>
      <c r="P72" s="540"/>
      <c r="Q72" s="540"/>
      <c r="R72" s="540"/>
      <c r="S72" s="540"/>
      <c r="T72" s="541"/>
      <c r="W72" s="542"/>
      <c r="X72" s="542"/>
      <c r="Y72" s="542"/>
      <c r="Z72" s="542"/>
      <c r="AA72" s="542"/>
      <c r="AB72" s="542"/>
      <c r="AC72" s="542"/>
    </row>
    <row r="73" spans="1:98" ht="12" customHeight="1">
      <c r="A73" s="518" t="s">
        <v>132</v>
      </c>
      <c r="B73" s="538">
        <v>298053600</v>
      </c>
      <c r="C73" s="538">
        <v>298053600</v>
      </c>
      <c r="D73" s="538">
        <v>578185415</v>
      </c>
      <c r="E73" s="902">
        <v>876239015</v>
      </c>
      <c r="F73" s="902">
        <v>876239015</v>
      </c>
      <c r="G73" s="538">
        <v>5704315.9876500005</v>
      </c>
      <c r="H73" s="532">
        <v>2012</v>
      </c>
      <c r="I73" s="533"/>
      <c r="J73" s="533"/>
      <c r="K73" s="533"/>
      <c r="N73" s="540"/>
      <c r="O73" s="540"/>
      <c r="P73" s="540"/>
      <c r="Q73" s="540"/>
      <c r="R73" s="540"/>
      <c r="S73" s="540"/>
      <c r="T73" s="541"/>
      <c r="W73" s="542"/>
      <c r="X73" s="542"/>
      <c r="Y73" s="542"/>
      <c r="Z73" s="542"/>
      <c r="AA73" s="542"/>
      <c r="AB73" s="542"/>
      <c r="AC73" s="542"/>
    </row>
    <row r="74" spans="1:98" s="529" customFormat="1" ht="12" customHeight="1">
      <c r="A74" s="529" t="s">
        <v>134</v>
      </c>
      <c r="B74" s="543">
        <v>21630728700</v>
      </c>
      <c r="C74" s="543">
        <v>19590333890</v>
      </c>
      <c r="D74" s="543">
        <v>34529081200</v>
      </c>
      <c r="E74" s="903">
        <v>56159809900</v>
      </c>
      <c r="F74" s="903">
        <v>54119415090</v>
      </c>
      <c r="G74" s="543">
        <v>668374776.36150002</v>
      </c>
      <c r="H74" s="532">
        <v>2012</v>
      </c>
      <c r="I74" s="533"/>
      <c r="J74" s="533"/>
      <c r="K74" s="533"/>
      <c r="L74" s="534"/>
      <c r="M74" s="534"/>
      <c r="N74" s="545"/>
      <c r="O74" s="545"/>
      <c r="P74" s="545"/>
      <c r="Q74" s="545"/>
      <c r="R74" s="545"/>
      <c r="S74" s="545"/>
      <c r="T74" s="536"/>
      <c r="U74" s="534"/>
      <c r="V74" s="534"/>
      <c r="W74" s="537"/>
      <c r="X74" s="537"/>
      <c r="Y74" s="537"/>
      <c r="Z74" s="537"/>
      <c r="AA74" s="537"/>
      <c r="AB74" s="537"/>
      <c r="AC74" s="537"/>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534"/>
      <c r="BA74" s="534"/>
      <c r="BB74" s="534"/>
      <c r="BC74" s="534"/>
      <c r="BD74" s="534"/>
      <c r="BE74" s="534"/>
      <c r="BF74" s="534"/>
      <c r="BG74" s="534"/>
      <c r="BH74" s="534"/>
      <c r="BI74" s="534"/>
      <c r="BJ74" s="534"/>
      <c r="BK74" s="534"/>
      <c r="BL74" s="534"/>
      <c r="BM74" s="534"/>
      <c r="BN74" s="534"/>
      <c r="BO74" s="534"/>
      <c r="BP74" s="534"/>
      <c r="BQ74" s="534"/>
      <c r="BR74" s="534"/>
      <c r="BS74" s="534"/>
      <c r="BT74" s="534"/>
      <c r="BU74" s="534"/>
      <c r="BV74" s="534"/>
      <c r="BW74" s="534"/>
      <c r="BX74" s="534"/>
      <c r="BY74" s="534"/>
      <c r="BZ74" s="534"/>
      <c r="CA74" s="534"/>
      <c r="CB74" s="534"/>
      <c r="CC74" s="534"/>
      <c r="CD74" s="534"/>
      <c r="CE74" s="534"/>
      <c r="CF74" s="534"/>
      <c r="CG74" s="534"/>
      <c r="CH74" s="534"/>
      <c r="CI74" s="534"/>
      <c r="CJ74" s="534"/>
      <c r="CK74" s="534"/>
      <c r="CL74" s="534"/>
      <c r="CM74" s="534"/>
      <c r="CN74" s="534"/>
      <c r="CO74" s="534"/>
      <c r="CP74" s="534"/>
      <c r="CQ74" s="534"/>
      <c r="CR74" s="534"/>
      <c r="CS74" s="534"/>
      <c r="CT74" s="534"/>
    </row>
    <row r="75" spans="1:98" ht="12" customHeight="1">
      <c r="A75" s="518" t="s">
        <v>136</v>
      </c>
      <c r="B75" s="538">
        <v>2357897200</v>
      </c>
      <c r="C75" s="538">
        <v>1757861000</v>
      </c>
      <c r="D75" s="538">
        <v>2280350300</v>
      </c>
      <c r="E75" s="902">
        <v>4638247500</v>
      </c>
      <c r="F75" s="902">
        <v>4038211300</v>
      </c>
      <c r="G75" s="538">
        <v>26248373.449999999</v>
      </c>
      <c r="H75" s="532">
        <v>2012</v>
      </c>
      <c r="I75" s="533"/>
      <c r="J75" s="533"/>
      <c r="K75" s="533"/>
      <c r="N75" s="540"/>
      <c r="O75" s="540"/>
      <c r="P75" s="540"/>
      <c r="Q75" s="540"/>
      <c r="R75" s="540"/>
      <c r="S75" s="540"/>
      <c r="T75" s="541"/>
      <c r="W75" s="542"/>
      <c r="X75" s="542"/>
      <c r="Y75" s="542"/>
      <c r="Z75" s="542"/>
      <c r="AA75" s="542"/>
      <c r="AB75" s="542"/>
      <c r="AC75" s="542"/>
    </row>
    <row r="76" spans="1:98" ht="12" customHeight="1">
      <c r="A76" s="518" t="s">
        <v>138</v>
      </c>
      <c r="B76" s="538">
        <v>434495200</v>
      </c>
      <c r="C76" s="538">
        <v>434495200</v>
      </c>
      <c r="D76" s="538">
        <v>408250800</v>
      </c>
      <c r="E76" s="902">
        <v>842746000</v>
      </c>
      <c r="F76" s="902">
        <v>842746000</v>
      </c>
      <c r="G76" s="538">
        <v>3202434.8</v>
      </c>
      <c r="H76" s="532">
        <v>2012</v>
      </c>
      <c r="I76" s="533"/>
      <c r="J76" s="533"/>
      <c r="K76" s="533"/>
      <c r="N76" s="540"/>
      <c r="O76" s="540"/>
      <c r="P76" s="540"/>
      <c r="Q76" s="540"/>
      <c r="R76" s="540"/>
      <c r="S76" s="540"/>
      <c r="T76" s="541"/>
      <c r="W76" s="542"/>
      <c r="X76" s="542"/>
      <c r="Y76" s="542"/>
      <c r="Z76" s="542"/>
      <c r="AA76" s="542"/>
      <c r="AB76" s="542"/>
      <c r="AC76" s="542"/>
    </row>
    <row r="77" spans="1:98" ht="9" customHeight="1">
      <c r="B77" s="538"/>
      <c r="C77" s="538"/>
      <c r="D77" s="538"/>
      <c r="E77" s="902"/>
      <c r="F77" s="902"/>
      <c r="G77" s="538"/>
      <c r="I77" s="529"/>
      <c r="J77" s="529"/>
      <c r="K77" s="529"/>
      <c r="N77" s="1152"/>
      <c r="O77" s="1152"/>
      <c r="P77" s="1152"/>
      <c r="Q77" s="1152"/>
      <c r="R77" s="1152"/>
      <c r="S77" s="1152"/>
      <c r="T77" s="541"/>
      <c r="W77" s="542"/>
      <c r="X77" s="542"/>
      <c r="Y77" s="542"/>
      <c r="Z77" s="542"/>
      <c r="AA77" s="542"/>
      <c r="AB77" s="542"/>
      <c r="AC77" s="542"/>
    </row>
    <row r="78" spans="1:98" ht="12" customHeight="1">
      <c r="A78" s="518" t="s">
        <v>140</v>
      </c>
      <c r="B78" s="538">
        <v>1720829100</v>
      </c>
      <c r="C78" s="538">
        <v>969286400</v>
      </c>
      <c r="D78" s="538">
        <v>1015968000</v>
      </c>
      <c r="E78" s="902">
        <v>2736797100</v>
      </c>
      <c r="F78" s="902">
        <v>1985254400</v>
      </c>
      <c r="G78" s="538">
        <v>10521848.32</v>
      </c>
      <c r="H78" s="532">
        <v>2012</v>
      </c>
      <c r="I78" s="533"/>
      <c r="J78" s="533"/>
      <c r="K78" s="533"/>
      <c r="N78" s="540"/>
      <c r="O78" s="540"/>
      <c r="P78" s="540"/>
      <c r="Q78" s="540"/>
      <c r="R78" s="540"/>
      <c r="S78" s="540"/>
      <c r="T78" s="541"/>
      <c r="W78" s="542"/>
      <c r="X78" s="542"/>
      <c r="Y78" s="542"/>
      <c r="Z78" s="542"/>
      <c r="AA78" s="542"/>
      <c r="AB78" s="542"/>
      <c r="AC78" s="542"/>
    </row>
    <row r="79" spans="1:98" s="529" customFormat="1" ht="12" customHeight="1">
      <c r="A79" s="529" t="s">
        <v>142</v>
      </c>
      <c r="B79" s="543">
        <v>788800950</v>
      </c>
      <c r="C79" s="543">
        <v>788800950</v>
      </c>
      <c r="D79" s="543">
        <v>870240060</v>
      </c>
      <c r="E79" s="903">
        <v>1659041010</v>
      </c>
      <c r="F79" s="903">
        <v>1659041010</v>
      </c>
      <c r="G79" s="543">
        <v>7797492.7469999995</v>
      </c>
      <c r="H79" s="532">
        <v>2012</v>
      </c>
      <c r="I79" s="533"/>
      <c r="J79" s="533"/>
      <c r="K79" s="533"/>
      <c r="L79" s="534"/>
      <c r="M79" s="534"/>
      <c r="N79" s="545"/>
      <c r="O79" s="545"/>
      <c r="P79" s="545"/>
      <c r="Q79" s="545"/>
      <c r="R79" s="545"/>
      <c r="S79" s="545"/>
      <c r="T79" s="536"/>
      <c r="U79" s="534"/>
      <c r="V79" s="534"/>
      <c r="W79" s="537"/>
      <c r="X79" s="537"/>
      <c r="Y79" s="537"/>
      <c r="Z79" s="537"/>
      <c r="AA79" s="537"/>
      <c r="AB79" s="537"/>
      <c r="AC79" s="537"/>
      <c r="AD79" s="534"/>
      <c r="AE79" s="534"/>
      <c r="AF79" s="534"/>
      <c r="AG79" s="534"/>
      <c r="AH79" s="534"/>
      <c r="AI79" s="534"/>
      <c r="AJ79" s="534"/>
      <c r="AK79" s="534"/>
      <c r="AL79" s="534"/>
      <c r="AM79" s="534"/>
      <c r="AN79" s="534"/>
      <c r="AO79" s="534"/>
      <c r="AP79" s="534"/>
      <c r="AQ79" s="534"/>
      <c r="AR79" s="534"/>
      <c r="AS79" s="534"/>
      <c r="AT79" s="534"/>
      <c r="AU79" s="534"/>
      <c r="AV79" s="534"/>
      <c r="AW79" s="534"/>
      <c r="AX79" s="534"/>
      <c r="AY79" s="534"/>
      <c r="AZ79" s="534"/>
      <c r="BA79" s="534"/>
      <c r="BB79" s="534"/>
      <c r="BC79" s="534"/>
      <c r="BD79" s="534"/>
      <c r="BE79" s="534"/>
      <c r="BF79" s="534"/>
      <c r="BG79" s="534"/>
      <c r="BH79" s="534"/>
      <c r="BI79" s="534"/>
      <c r="BJ79" s="534"/>
      <c r="BK79" s="534"/>
      <c r="BL79" s="534"/>
      <c r="BM79" s="534"/>
      <c r="BN79" s="534"/>
      <c r="BO79" s="534"/>
      <c r="BP79" s="534"/>
      <c r="BQ79" s="534"/>
      <c r="BR79" s="534"/>
      <c r="BS79" s="534"/>
      <c r="BT79" s="534"/>
      <c r="BU79" s="534"/>
      <c r="BV79" s="534"/>
      <c r="BW79" s="534"/>
      <c r="BX79" s="534"/>
      <c r="BY79" s="534"/>
      <c r="BZ79" s="534"/>
      <c r="CA79" s="534"/>
      <c r="CB79" s="534"/>
      <c r="CC79" s="534"/>
      <c r="CD79" s="534"/>
      <c r="CE79" s="534"/>
      <c r="CF79" s="534"/>
      <c r="CG79" s="534"/>
      <c r="CH79" s="534"/>
      <c r="CI79" s="534"/>
      <c r="CJ79" s="534"/>
      <c r="CK79" s="534"/>
      <c r="CL79" s="534"/>
      <c r="CM79" s="534"/>
      <c r="CN79" s="534"/>
      <c r="CO79" s="534"/>
      <c r="CP79" s="534"/>
      <c r="CQ79" s="534"/>
      <c r="CR79" s="534"/>
      <c r="CS79" s="534"/>
      <c r="CT79" s="534"/>
    </row>
    <row r="80" spans="1:98" ht="12" customHeight="1">
      <c r="A80" s="518" t="s">
        <v>144</v>
      </c>
      <c r="B80" s="538">
        <v>1670390400</v>
      </c>
      <c r="C80" s="538">
        <v>1670390400</v>
      </c>
      <c r="D80" s="538">
        <v>2020960500</v>
      </c>
      <c r="E80" s="902">
        <v>3691350900</v>
      </c>
      <c r="F80" s="902">
        <v>3691350900</v>
      </c>
      <c r="G80" s="538">
        <v>14027133.42</v>
      </c>
      <c r="H80" s="519" t="s">
        <v>1115</v>
      </c>
      <c r="I80" s="533"/>
      <c r="J80" s="533"/>
      <c r="K80" s="533"/>
      <c r="N80" s="540"/>
      <c r="O80" s="540"/>
      <c r="P80" s="540"/>
      <c r="Q80" s="540"/>
      <c r="R80" s="540"/>
      <c r="S80" s="540"/>
      <c r="T80" s="541"/>
      <c r="W80" s="542"/>
      <c r="X80" s="542"/>
      <c r="Y80" s="542"/>
      <c r="Z80" s="542"/>
      <c r="AA80" s="542"/>
      <c r="AB80" s="542"/>
      <c r="AC80" s="542"/>
    </row>
    <row r="81" spans="1:29" ht="12" customHeight="1">
      <c r="A81" s="518" t="s">
        <v>146</v>
      </c>
      <c r="B81" s="538">
        <v>1121571100</v>
      </c>
      <c r="C81" s="538">
        <v>1050191700</v>
      </c>
      <c r="D81" s="538">
        <v>1071867400</v>
      </c>
      <c r="E81" s="902">
        <v>2193438500</v>
      </c>
      <c r="F81" s="902">
        <v>2122059100</v>
      </c>
      <c r="G81" s="538">
        <v>9761471.8600000013</v>
      </c>
      <c r="H81" s="532">
        <v>2012</v>
      </c>
      <c r="I81" s="533"/>
      <c r="J81" s="533"/>
      <c r="K81" s="533"/>
      <c r="N81" s="546"/>
      <c r="T81" s="541"/>
      <c r="W81" s="542"/>
      <c r="X81" s="542"/>
      <c r="Y81" s="542"/>
      <c r="Z81" s="542"/>
      <c r="AA81" s="542"/>
      <c r="AB81" s="542"/>
      <c r="AC81" s="542"/>
    </row>
    <row r="82" spans="1:29" ht="12" customHeight="1">
      <c r="A82" s="518" t="s">
        <v>148</v>
      </c>
      <c r="B82" s="538">
        <v>2179399000</v>
      </c>
      <c r="C82" s="538">
        <v>1992124700</v>
      </c>
      <c r="D82" s="538">
        <v>5007888200</v>
      </c>
      <c r="E82" s="902">
        <v>7187287200</v>
      </c>
      <c r="F82" s="902">
        <v>7000012900</v>
      </c>
      <c r="G82" s="538">
        <v>60900112.229999997</v>
      </c>
      <c r="H82" s="532">
        <v>2012</v>
      </c>
      <c r="I82" s="533"/>
      <c r="J82" s="533"/>
      <c r="K82" s="533"/>
      <c r="N82" s="540"/>
      <c r="O82" s="540"/>
      <c r="P82" s="540"/>
      <c r="Q82" s="540"/>
      <c r="R82" s="540"/>
      <c r="S82" s="540"/>
      <c r="T82" s="541"/>
      <c r="W82" s="542"/>
      <c r="X82" s="542"/>
      <c r="Y82" s="542"/>
      <c r="Z82" s="542"/>
      <c r="AA82" s="542"/>
      <c r="AB82" s="542"/>
      <c r="AC82" s="542"/>
    </row>
    <row r="83" spans="1:29" ht="13.8">
      <c r="A83" s="517" t="s">
        <v>995</v>
      </c>
      <c r="N83" s="540"/>
      <c r="O83" s="540"/>
      <c r="P83" s="540"/>
      <c r="Q83" s="540"/>
      <c r="R83" s="540"/>
      <c r="S83" s="540"/>
      <c r="T83" s="541"/>
      <c r="W83" s="542"/>
      <c r="X83" s="542"/>
      <c r="Y83" s="542"/>
      <c r="Z83" s="542"/>
      <c r="AA83" s="542"/>
      <c r="AB83" s="542"/>
      <c r="AC83" s="542"/>
    </row>
    <row r="84" spans="1:29" ht="13.2">
      <c r="A84" s="1148" t="s">
        <v>1103</v>
      </c>
      <c r="B84" s="1149"/>
      <c r="C84" s="1149"/>
      <c r="D84" s="1149"/>
      <c r="E84" s="1149"/>
      <c r="F84" s="1149"/>
      <c r="G84" s="1149"/>
      <c r="H84" s="1149"/>
      <c r="N84" s="540"/>
      <c r="O84" s="540"/>
      <c r="P84" s="540"/>
      <c r="Q84" s="540"/>
      <c r="R84" s="540"/>
      <c r="S84" s="540"/>
      <c r="T84" s="541"/>
      <c r="W84" s="542"/>
      <c r="X84" s="542"/>
      <c r="Y84" s="542"/>
      <c r="Z84" s="542"/>
      <c r="AA84" s="542"/>
      <c r="AB84" s="542"/>
      <c r="AC84" s="542"/>
    </row>
    <row r="85" spans="1:29" ht="11.25" customHeight="1" thickBot="1">
      <c r="A85" s="524"/>
      <c r="B85" s="524"/>
      <c r="C85" s="524"/>
      <c r="D85" s="524"/>
      <c r="E85" s="524"/>
      <c r="F85" s="524"/>
      <c r="G85" s="524"/>
      <c r="H85" s="524"/>
      <c r="N85" s="540"/>
      <c r="O85" s="540"/>
      <c r="P85" s="540"/>
      <c r="Q85" s="540"/>
      <c r="R85" s="540"/>
      <c r="S85" s="540"/>
      <c r="T85" s="541"/>
      <c r="W85" s="542"/>
      <c r="X85" s="542"/>
      <c r="Y85" s="542"/>
      <c r="Z85" s="542"/>
      <c r="AA85" s="542"/>
      <c r="AB85" s="542"/>
      <c r="AC85" s="542"/>
    </row>
    <row r="86" spans="1:29" ht="11.25" customHeight="1">
      <c r="N86" s="540"/>
      <c r="O86" s="540"/>
      <c r="P86" s="540"/>
      <c r="Q86" s="540"/>
      <c r="R86" s="540"/>
      <c r="S86" s="540"/>
      <c r="T86" s="541"/>
      <c r="W86" s="542"/>
      <c r="X86" s="542"/>
      <c r="Y86" s="542"/>
      <c r="Z86" s="542"/>
      <c r="AA86" s="542"/>
      <c r="AB86" s="542"/>
      <c r="AC86" s="542"/>
    </row>
    <row r="87" spans="1:29" ht="11.25" customHeight="1">
      <c r="A87" s="525" t="s">
        <v>33</v>
      </c>
      <c r="B87" s="525" t="s">
        <v>932</v>
      </c>
      <c r="C87" s="525" t="s">
        <v>933</v>
      </c>
      <c r="D87" s="525" t="s">
        <v>934</v>
      </c>
      <c r="E87" s="525" t="s">
        <v>935</v>
      </c>
      <c r="F87" s="525" t="s">
        <v>936</v>
      </c>
      <c r="G87" s="525" t="s">
        <v>937</v>
      </c>
      <c r="H87" s="526" t="s">
        <v>938</v>
      </c>
      <c r="N87" s="540"/>
      <c r="O87" s="540"/>
      <c r="P87" s="540"/>
      <c r="Q87" s="540"/>
      <c r="R87" s="540"/>
      <c r="S87" s="540"/>
      <c r="T87" s="541"/>
      <c r="W87" s="542"/>
      <c r="X87" s="542"/>
      <c r="Y87" s="542"/>
      <c r="Z87" s="542"/>
      <c r="AA87" s="542"/>
      <c r="AB87" s="542"/>
      <c r="AC87" s="542"/>
    </row>
    <row r="88" spans="1:29" ht="8.25" customHeight="1">
      <c r="B88" s="547"/>
      <c r="C88" s="547"/>
      <c r="D88" s="547"/>
      <c r="E88" s="538"/>
      <c r="F88" s="538"/>
      <c r="G88" s="547"/>
      <c r="H88" s="548"/>
      <c r="N88" s="540"/>
      <c r="O88" s="540"/>
      <c r="P88" s="540"/>
      <c r="Q88" s="540"/>
      <c r="R88" s="540"/>
      <c r="S88" s="540"/>
      <c r="T88" s="541"/>
      <c r="W88" s="542"/>
      <c r="X88" s="542"/>
      <c r="Y88" s="542"/>
      <c r="Z88" s="542"/>
      <c r="AA88" s="542"/>
      <c r="AB88" s="542"/>
      <c r="AC88" s="542"/>
    </row>
    <row r="89" spans="1:29" ht="12" customHeight="1">
      <c r="A89" s="518" t="s">
        <v>150</v>
      </c>
      <c r="B89" s="550">
        <v>1761105390</v>
      </c>
      <c r="C89" s="550">
        <v>1074625140</v>
      </c>
      <c r="D89" s="550">
        <v>1888124520</v>
      </c>
      <c r="E89" s="551">
        <v>3649229910</v>
      </c>
      <c r="F89" s="551">
        <v>2962749660</v>
      </c>
      <c r="G89" s="550">
        <v>17776497.960000001</v>
      </c>
      <c r="H89" s="519">
        <v>2012</v>
      </c>
      <c r="I89" s="533"/>
      <c r="J89" s="533"/>
      <c r="K89" s="533"/>
      <c r="N89" s="540"/>
      <c r="O89" s="540"/>
      <c r="P89" s="540"/>
      <c r="Q89" s="540"/>
      <c r="R89" s="540"/>
      <c r="S89" s="540"/>
      <c r="T89" s="541"/>
      <c r="W89" s="542"/>
      <c r="X89" s="542"/>
      <c r="Y89" s="542"/>
      <c r="Z89" s="542"/>
      <c r="AA89" s="542"/>
      <c r="AB89" s="542"/>
      <c r="AC89" s="542"/>
    </row>
    <row r="90" spans="1:29" ht="12" customHeight="1">
      <c r="A90" s="518" t="s">
        <v>152</v>
      </c>
      <c r="B90" s="538">
        <v>1006479633</v>
      </c>
      <c r="C90" s="538">
        <v>930926933</v>
      </c>
      <c r="D90" s="538">
        <v>1339981124</v>
      </c>
      <c r="E90" s="539">
        <v>2346460757</v>
      </c>
      <c r="F90" s="539">
        <v>2270908057</v>
      </c>
      <c r="G90" s="538">
        <v>18394355.261700001</v>
      </c>
      <c r="H90" s="519">
        <v>2012</v>
      </c>
      <c r="I90" s="533"/>
      <c r="J90" s="533"/>
      <c r="K90" s="533"/>
      <c r="N90" s="540"/>
      <c r="O90" s="540"/>
      <c r="P90" s="540"/>
      <c r="Q90" s="540"/>
      <c r="R90" s="540"/>
      <c r="S90" s="540"/>
      <c r="T90" s="541"/>
      <c r="W90" s="542"/>
      <c r="X90" s="542"/>
      <c r="Y90" s="542"/>
      <c r="Z90" s="542"/>
      <c r="AA90" s="542"/>
      <c r="AB90" s="542"/>
      <c r="AC90" s="542"/>
    </row>
    <row r="91" spans="1:29" ht="12" customHeight="1">
      <c r="A91" s="518" t="s">
        <v>154</v>
      </c>
      <c r="B91" s="538">
        <v>1763493000</v>
      </c>
      <c r="C91" s="538">
        <v>1491868600</v>
      </c>
      <c r="D91" s="538">
        <v>1119800000</v>
      </c>
      <c r="E91" s="539">
        <v>2883293000</v>
      </c>
      <c r="F91" s="539">
        <v>2611668600</v>
      </c>
      <c r="G91" s="538">
        <v>14103010.440000001</v>
      </c>
      <c r="H91" s="519">
        <v>2012</v>
      </c>
      <c r="I91" s="533"/>
      <c r="J91" s="533"/>
      <c r="K91" s="533"/>
      <c r="N91" s="540"/>
      <c r="O91" s="540"/>
      <c r="P91" s="540"/>
      <c r="Q91" s="540"/>
      <c r="R91" s="540"/>
      <c r="S91" s="540"/>
      <c r="T91" s="541"/>
      <c r="W91" s="542"/>
      <c r="X91" s="542"/>
      <c r="Y91" s="542"/>
      <c r="Z91" s="542"/>
      <c r="AA91" s="542"/>
      <c r="AB91" s="542"/>
      <c r="AC91" s="542"/>
    </row>
    <row r="92" spans="1:29" ht="12" customHeight="1">
      <c r="A92" s="518" t="s">
        <v>156</v>
      </c>
      <c r="B92" s="538">
        <v>1611932100</v>
      </c>
      <c r="C92" s="538">
        <v>1460171907</v>
      </c>
      <c r="D92" s="538">
        <v>1644304400</v>
      </c>
      <c r="E92" s="539">
        <v>3256236500</v>
      </c>
      <c r="F92" s="539">
        <v>3104476307</v>
      </c>
      <c r="G92" s="538">
        <v>13038800.489399999</v>
      </c>
      <c r="H92" s="519">
        <v>2012</v>
      </c>
      <c r="I92" s="533"/>
      <c r="J92" s="533"/>
      <c r="K92" s="533"/>
      <c r="N92" s="540"/>
      <c r="O92" s="540"/>
      <c r="P92" s="540"/>
      <c r="Q92" s="540"/>
      <c r="R92" s="540"/>
      <c r="S92" s="540"/>
      <c r="T92" s="541"/>
      <c r="W92" s="542"/>
      <c r="X92" s="542"/>
      <c r="Y92" s="542"/>
      <c r="Z92" s="542"/>
      <c r="AA92" s="542"/>
      <c r="AB92" s="542"/>
      <c r="AC92" s="542"/>
    </row>
    <row r="93" spans="1:29" s="534" customFormat="1" ht="12" customHeight="1">
      <c r="A93" s="529" t="s">
        <v>158</v>
      </c>
      <c r="B93" s="543">
        <v>345094370</v>
      </c>
      <c r="C93" s="543">
        <v>321617970</v>
      </c>
      <c r="D93" s="543">
        <v>554242874</v>
      </c>
      <c r="E93" s="544">
        <v>899337244</v>
      </c>
      <c r="F93" s="544">
        <v>875860844</v>
      </c>
      <c r="G93" s="543">
        <v>3853787.7135999999</v>
      </c>
      <c r="H93" s="532">
        <v>2012</v>
      </c>
      <c r="I93" s="533"/>
      <c r="J93" s="533"/>
      <c r="K93" s="533"/>
      <c r="N93" s="545"/>
      <c r="O93" s="545"/>
      <c r="P93" s="545"/>
      <c r="Q93" s="545"/>
      <c r="R93" s="545"/>
      <c r="S93" s="545"/>
      <c r="T93" s="536"/>
      <c r="W93" s="537"/>
      <c r="X93" s="537"/>
      <c r="Y93" s="537"/>
      <c r="Z93" s="537"/>
      <c r="AA93" s="537"/>
      <c r="AB93" s="537"/>
      <c r="AC93" s="537"/>
    </row>
    <row r="94" spans="1:29" ht="9" customHeight="1">
      <c r="B94" s="538"/>
      <c r="C94" s="538"/>
      <c r="D94" s="538"/>
      <c r="E94" s="539"/>
      <c r="F94" s="539"/>
      <c r="G94" s="538"/>
      <c r="I94" s="529"/>
      <c r="J94" s="529"/>
      <c r="K94" s="529"/>
      <c r="N94" s="540"/>
      <c r="O94" s="540"/>
      <c r="P94" s="540"/>
      <c r="Q94" s="540"/>
      <c r="R94" s="540"/>
      <c r="S94" s="540"/>
      <c r="T94" s="541"/>
      <c r="W94" s="542"/>
      <c r="X94" s="542"/>
      <c r="Y94" s="542"/>
      <c r="Z94" s="542"/>
      <c r="AA94" s="542"/>
      <c r="AB94" s="542"/>
      <c r="AC94" s="542"/>
    </row>
    <row r="95" spans="1:29" ht="12" customHeight="1">
      <c r="A95" s="518" t="s">
        <v>160</v>
      </c>
      <c r="B95" s="538">
        <v>1772779100</v>
      </c>
      <c r="C95" s="538">
        <v>1373668300</v>
      </c>
      <c r="D95" s="538">
        <v>2243811900</v>
      </c>
      <c r="E95" s="539">
        <v>4016591000</v>
      </c>
      <c r="F95" s="539">
        <v>3617480200</v>
      </c>
      <c r="G95" s="538">
        <v>26045857.439999998</v>
      </c>
      <c r="H95" s="519">
        <v>2012</v>
      </c>
      <c r="I95" s="533"/>
      <c r="J95" s="533"/>
      <c r="K95" s="533"/>
      <c r="N95" s="540"/>
      <c r="O95" s="540"/>
      <c r="P95" s="540"/>
      <c r="Q95" s="540"/>
      <c r="R95" s="540"/>
      <c r="S95" s="540"/>
      <c r="T95" s="541"/>
      <c r="W95" s="542"/>
      <c r="X95" s="542"/>
      <c r="Y95" s="542"/>
      <c r="Z95" s="542"/>
      <c r="AA95" s="542"/>
      <c r="AB95" s="542"/>
      <c r="AC95" s="542"/>
    </row>
    <row r="96" spans="1:29" ht="12" customHeight="1">
      <c r="A96" s="518" t="s">
        <v>162</v>
      </c>
      <c r="B96" s="538">
        <v>1004615500</v>
      </c>
      <c r="C96" s="538">
        <v>576139400</v>
      </c>
      <c r="D96" s="538">
        <v>1406722145</v>
      </c>
      <c r="E96" s="539">
        <v>2411337645</v>
      </c>
      <c r="F96" s="539">
        <v>1982861545</v>
      </c>
      <c r="G96" s="538">
        <v>12690313.888</v>
      </c>
      <c r="H96" s="519">
        <v>2012</v>
      </c>
      <c r="I96" s="533"/>
      <c r="J96" s="533"/>
      <c r="K96" s="533"/>
      <c r="N96" s="540"/>
      <c r="O96" s="540"/>
      <c r="P96" s="540"/>
      <c r="Q96" s="540"/>
      <c r="R96" s="540"/>
      <c r="S96" s="540"/>
      <c r="T96" s="541"/>
      <c r="W96" s="542"/>
      <c r="X96" s="542"/>
      <c r="Y96" s="542"/>
      <c r="Z96" s="542"/>
      <c r="AA96" s="542"/>
      <c r="AB96" s="542"/>
      <c r="AC96" s="542"/>
    </row>
    <row r="97" spans="1:98" s="529" customFormat="1" ht="12" customHeight="1">
      <c r="A97" s="529" t="s">
        <v>163</v>
      </c>
      <c r="B97" s="543">
        <v>882182000</v>
      </c>
      <c r="C97" s="543">
        <v>882182000</v>
      </c>
      <c r="D97" s="543">
        <v>860670100</v>
      </c>
      <c r="E97" s="544">
        <v>1742852100</v>
      </c>
      <c r="F97" s="544">
        <v>1742852100</v>
      </c>
      <c r="G97" s="543">
        <v>8365690.0800000001</v>
      </c>
      <c r="H97" s="532">
        <v>2012</v>
      </c>
      <c r="I97" s="533"/>
      <c r="J97" s="533"/>
      <c r="K97" s="533"/>
      <c r="L97" s="534"/>
      <c r="M97" s="534"/>
      <c r="N97" s="534"/>
      <c r="O97" s="534"/>
      <c r="P97" s="534"/>
      <c r="Q97" s="534"/>
      <c r="R97" s="534"/>
      <c r="S97" s="534"/>
      <c r="T97" s="536"/>
      <c r="U97" s="534"/>
      <c r="V97" s="534"/>
      <c r="W97" s="537"/>
      <c r="X97" s="537"/>
      <c r="Y97" s="537"/>
      <c r="Z97" s="537"/>
      <c r="AA97" s="537"/>
      <c r="AB97" s="537"/>
      <c r="AC97" s="537"/>
      <c r="AD97" s="534"/>
      <c r="AE97" s="534"/>
      <c r="AF97" s="534"/>
      <c r="AG97" s="534"/>
      <c r="AH97" s="534"/>
      <c r="AI97" s="534"/>
      <c r="AJ97" s="534"/>
      <c r="AK97" s="534"/>
      <c r="AL97" s="534"/>
      <c r="AM97" s="534"/>
      <c r="AN97" s="534"/>
      <c r="AO97" s="534"/>
      <c r="AP97" s="534"/>
      <c r="AQ97" s="534"/>
      <c r="AR97" s="534"/>
      <c r="AS97" s="534"/>
      <c r="AT97" s="534"/>
      <c r="AU97" s="534"/>
      <c r="AV97" s="534"/>
      <c r="AW97" s="534"/>
      <c r="AX97" s="534"/>
      <c r="AY97" s="534"/>
      <c r="AZ97" s="534"/>
      <c r="BA97" s="534"/>
      <c r="BB97" s="534"/>
      <c r="BC97" s="534"/>
      <c r="BD97" s="534"/>
      <c r="BE97" s="534"/>
      <c r="BF97" s="534"/>
      <c r="BG97" s="534"/>
      <c r="BH97" s="534"/>
      <c r="BI97" s="534"/>
      <c r="BJ97" s="534"/>
      <c r="BK97" s="534"/>
      <c r="BL97" s="534"/>
      <c r="BM97" s="534"/>
      <c r="BN97" s="534"/>
      <c r="BO97" s="534"/>
      <c r="BP97" s="534"/>
      <c r="BQ97" s="534"/>
      <c r="BR97" s="534"/>
      <c r="BS97" s="534"/>
      <c r="BT97" s="534"/>
      <c r="BU97" s="534"/>
      <c r="BV97" s="534"/>
      <c r="BW97" s="534"/>
      <c r="BX97" s="534"/>
      <c r="BY97" s="534"/>
      <c r="BZ97" s="534"/>
      <c r="CA97" s="534"/>
      <c r="CB97" s="534"/>
      <c r="CC97" s="534"/>
      <c r="CD97" s="534"/>
      <c r="CE97" s="534"/>
      <c r="CF97" s="534"/>
      <c r="CG97" s="534"/>
      <c r="CH97" s="534"/>
      <c r="CI97" s="534"/>
      <c r="CJ97" s="534"/>
      <c r="CK97" s="534"/>
      <c r="CL97" s="534"/>
      <c r="CM97" s="534"/>
      <c r="CN97" s="534"/>
      <c r="CO97" s="534"/>
      <c r="CP97" s="534"/>
      <c r="CQ97" s="534"/>
      <c r="CR97" s="534"/>
      <c r="CS97" s="534"/>
      <c r="CT97" s="534"/>
    </row>
    <row r="98" spans="1:98" ht="12" customHeight="1">
      <c r="A98" s="518" t="s">
        <v>165</v>
      </c>
      <c r="B98" s="538">
        <v>1724698930</v>
      </c>
      <c r="C98" s="538">
        <v>1207424430</v>
      </c>
      <c r="D98" s="538">
        <v>2510768300</v>
      </c>
      <c r="E98" s="539">
        <v>4235467230</v>
      </c>
      <c r="F98" s="539">
        <v>3718192730</v>
      </c>
      <c r="G98" s="538">
        <v>20821879.287999999</v>
      </c>
      <c r="H98" s="519">
        <v>2012</v>
      </c>
      <c r="I98" s="533"/>
      <c r="J98" s="533"/>
      <c r="K98" s="533"/>
      <c r="N98" s="540"/>
      <c r="O98" s="540"/>
      <c r="P98" s="540"/>
      <c r="Q98" s="540"/>
      <c r="R98" s="540"/>
      <c r="S98" s="540"/>
      <c r="T98" s="541"/>
      <c r="W98" s="542"/>
      <c r="X98" s="542"/>
      <c r="Y98" s="542"/>
      <c r="Z98" s="542"/>
      <c r="AA98" s="542"/>
      <c r="AB98" s="542"/>
      <c r="AC98" s="542"/>
    </row>
    <row r="99" spans="1:98" ht="12" customHeight="1">
      <c r="A99" s="518" t="s">
        <v>167</v>
      </c>
      <c r="B99" s="538">
        <v>1511023300</v>
      </c>
      <c r="C99" s="538">
        <v>1189668600</v>
      </c>
      <c r="D99" s="538">
        <v>1821330700</v>
      </c>
      <c r="E99" s="539">
        <v>3332354000</v>
      </c>
      <c r="F99" s="539">
        <v>3010999300</v>
      </c>
      <c r="G99" s="538">
        <v>27098993.699999999</v>
      </c>
      <c r="H99" s="519">
        <v>2012</v>
      </c>
      <c r="I99" s="533"/>
      <c r="J99" s="533"/>
      <c r="K99" s="533"/>
      <c r="N99" s="540"/>
      <c r="O99" s="540"/>
      <c r="P99" s="540"/>
      <c r="Q99" s="540"/>
      <c r="R99" s="540"/>
      <c r="S99" s="540"/>
      <c r="T99" s="541"/>
      <c r="W99" s="542"/>
      <c r="X99" s="542"/>
      <c r="Y99" s="542"/>
      <c r="Z99" s="542"/>
      <c r="AA99" s="542"/>
      <c r="AB99" s="542"/>
      <c r="AC99" s="542"/>
    </row>
    <row r="100" spans="1:98" ht="12" customHeight="1">
      <c r="B100" s="547"/>
      <c r="C100" s="547"/>
      <c r="D100" s="547"/>
      <c r="E100" s="538"/>
      <c r="F100" s="538"/>
      <c r="G100" s="547"/>
      <c r="H100" s="548"/>
      <c r="I100" s="529"/>
      <c r="J100" s="529"/>
      <c r="K100" s="529"/>
      <c r="N100" s="540"/>
      <c r="O100" s="540"/>
      <c r="P100" s="540"/>
      <c r="Q100" s="540"/>
      <c r="R100" s="540"/>
      <c r="S100" s="540"/>
      <c r="T100" s="541"/>
      <c r="W100" s="542"/>
      <c r="X100" s="542"/>
      <c r="Y100" s="542"/>
      <c r="Z100" s="542"/>
      <c r="AA100" s="542"/>
      <c r="AB100" s="542"/>
      <c r="AC100" s="542"/>
    </row>
    <row r="101" spans="1:98" s="529" customFormat="1" ht="12" customHeight="1">
      <c r="A101" s="529" t="s">
        <v>168</v>
      </c>
      <c r="B101" s="543">
        <v>587049300</v>
      </c>
      <c r="C101" s="543">
        <v>571650200</v>
      </c>
      <c r="D101" s="543">
        <v>1005067055</v>
      </c>
      <c r="E101" s="544">
        <v>1592116355</v>
      </c>
      <c r="F101" s="544">
        <v>1576717255</v>
      </c>
      <c r="G101" s="543">
        <v>6622212.4709999999</v>
      </c>
      <c r="H101" s="532">
        <v>2012</v>
      </c>
      <c r="I101" s="533"/>
      <c r="J101" s="533"/>
      <c r="K101" s="533"/>
      <c r="L101" s="534"/>
      <c r="M101" s="534"/>
      <c r="N101" s="545"/>
      <c r="O101" s="545"/>
      <c r="P101" s="545"/>
      <c r="Q101" s="545"/>
      <c r="R101" s="545"/>
      <c r="S101" s="545"/>
      <c r="T101" s="536"/>
      <c r="U101" s="534"/>
      <c r="V101" s="534"/>
      <c r="W101" s="537"/>
      <c r="X101" s="537"/>
      <c r="Y101" s="537"/>
      <c r="Z101" s="537"/>
      <c r="AA101" s="537"/>
      <c r="AB101" s="537"/>
      <c r="AC101" s="537"/>
      <c r="AD101" s="534"/>
      <c r="AE101" s="534"/>
      <c r="AF101" s="534"/>
      <c r="AG101" s="534"/>
      <c r="AH101" s="534"/>
      <c r="AI101" s="534"/>
      <c r="AJ101" s="534"/>
      <c r="AK101" s="534"/>
      <c r="AL101" s="534"/>
      <c r="AM101" s="534"/>
      <c r="AN101" s="534"/>
      <c r="AO101" s="534"/>
      <c r="AP101" s="534"/>
      <c r="AQ101" s="534"/>
      <c r="AR101" s="534"/>
      <c r="AS101" s="534"/>
      <c r="AT101" s="534"/>
      <c r="AU101" s="534"/>
      <c r="AV101" s="534"/>
      <c r="AW101" s="534"/>
      <c r="AX101" s="534"/>
      <c r="AY101" s="534"/>
      <c r="AZ101" s="534"/>
      <c r="BA101" s="534"/>
      <c r="BB101" s="534"/>
      <c r="BC101" s="534"/>
      <c r="BD101" s="534"/>
      <c r="BE101" s="534"/>
      <c r="BF101" s="534"/>
      <c r="BG101" s="534"/>
      <c r="BH101" s="534"/>
      <c r="BI101" s="534"/>
      <c r="BJ101" s="534"/>
      <c r="BK101" s="534"/>
      <c r="BL101" s="534"/>
      <c r="BM101" s="534"/>
      <c r="BN101" s="534"/>
      <c r="BO101" s="534"/>
      <c r="BP101" s="534"/>
      <c r="BQ101" s="534"/>
      <c r="BR101" s="534"/>
      <c r="BS101" s="534"/>
      <c r="BT101" s="534"/>
      <c r="BU101" s="534"/>
      <c r="BV101" s="534"/>
      <c r="BW101" s="534"/>
      <c r="BX101" s="534"/>
      <c r="BY101" s="534"/>
      <c r="BZ101" s="534"/>
      <c r="CA101" s="534"/>
      <c r="CB101" s="534"/>
      <c r="CC101" s="534"/>
      <c r="CD101" s="534"/>
      <c r="CE101" s="534"/>
      <c r="CF101" s="534"/>
      <c r="CG101" s="534"/>
      <c r="CH101" s="534"/>
      <c r="CI101" s="534"/>
      <c r="CJ101" s="534"/>
      <c r="CK101" s="534"/>
      <c r="CL101" s="534"/>
      <c r="CM101" s="534"/>
      <c r="CN101" s="534"/>
      <c r="CO101" s="534"/>
      <c r="CP101" s="534"/>
      <c r="CQ101" s="534"/>
      <c r="CR101" s="534"/>
      <c r="CS101" s="534"/>
      <c r="CT101" s="534"/>
    </row>
    <row r="102" spans="1:98" ht="12" customHeight="1">
      <c r="A102" s="518" t="s">
        <v>170</v>
      </c>
      <c r="B102" s="538">
        <v>928437800</v>
      </c>
      <c r="C102" s="538">
        <v>736967000</v>
      </c>
      <c r="D102" s="538">
        <v>1750472800</v>
      </c>
      <c r="E102" s="539">
        <v>2678910600</v>
      </c>
      <c r="F102" s="539">
        <v>2487439800</v>
      </c>
      <c r="G102" s="538">
        <v>19899518.400000002</v>
      </c>
      <c r="H102" s="519">
        <v>2012</v>
      </c>
      <c r="I102" s="533"/>
      <c r="J102" s="533"/>
      <c r="K102" s="533"/>
      <c r="N102" s="540"/>
      <c r="O102" s="540"/>
      <c r="P102" s="540"/>
      <c r="Q102" s="540"/>
      <c r="R102" s="540"/>
      <c r="S102" s="540"/>
      <c r="T102" s="541"/>
      <c r="W102" s="542"/>
      <c r="X102" s="542"/>
      <c r="Y102" s="542"/>
      <c r="Z102" s="542"/>
      <c r="AA102" s="542"/>
      <c r="AB102" s="542"/>
      <c r="AC102" s="542"/>
    </row>
    <row r="103" spans="1:98" s="529" customFormat="1" ht="12.75" customHeight="1">
      <c r="A103" s="529" t="s">
        <v>172</v>
      </c>
      <c r="B103" s="543">
        <v>14755199100</v>
      </c>
      <c r="C103" s="543">
        <v>14358868900</v>
      </c>
      <c r="D103" s="543">
        <v>27518432000</v>
      </c>
      <c r="E103" s="544">
        <v>42273631100</v>
      </c>
      <c r="F103" s="544">
        <v>41877300900</v>
      </c>
      <c r="G103" s="543">
        <v>506296567.88100004</v>
      </c>
      <c r="H103" s="532">
        <v>2012</v>
      </c>
      <c r="I103" s="533"/>
      <c r="J103" s="533"/>
      <c r="K103" s="533"/>
      <c r="L103" s="534"/>
      <c r="M103" s="534"/>
      <c r="N103" s="545"/>
      <c r="O103" s="545"/>
      <c r="P103" s="545"/>
      <c r="Q103" s="545"/>
      <c r="R103" s="545"/>
      <c r="S103" s="545"/>
      <c r="T103" s="536"/>
      <c r="U103" s="534"/>
      <c r="V103" s="534"/>
      <c r="W103" s="537"/>
      <c r="X103" s="537"/>
      <c r="Y103" s="537"/>
      <c r="Z103" s="537"/>
      <c r="AA103" s="537"/>
      <c r="AB103" s="537"/>
      <c r="AC103" s="537"/>
      <c r="AD103" s="534"/>
      <c r="AE103" s="534"/>
      <c r="AF103" s="534"/>
      <c r="AG103" s="534"/>
      <c r="AH103" s="534"/>
      <c r="AI103" s="534"/>
      <c r="AJ103" s="534"/>
      <c r="AK103" s="534"/>
      <c r="AL103" s="534"/>
      <c r="AM103" s="534"/>
      <c r="AN103" s="534"/>
      <c r="AO103" s="534"/>
      <c r="AP103" s="534"/>
      <c r="AQ103" s="534"/>
      <c r="AR103" s="534"/>
      <c r="AS103" s="534"/>
      <c r="AT103" s="534"/>
      <c r="AU103" s="534"/>
      <c r="AV103" s="534"/>
      <c r="AW103" s="534"/>
      <c r="AX103" s="534"/>
      <c r="AY103" s="534"/>
      <c r="AZ103" s="534"/>
      <c r="BA103" s="534"/>
      <c r="BB103" s="534"/>
      <c r="BC103" s="534"/>
      <c r="BD103" s="534"/>
      <c r="BE103" s="534"/>
      <c r="BF103" s="534"/>
      <c r="BG103" s="534"/>
      <c r="BH103" s="534"/>
      <c r="BI103" s="534"/>
      <c r="BJ103" s="534"/>
      <c r="BK103" s="534"/>
      <c r="BL103" s="534"/>
      <c r="BM103" s="534"/>
      <c r="BN103" s="534"/>
      <c r="BO103" s="534"/>
      <c r="BP103" s="534"/>
      <c r="BQ103" s="534"/>
      <c r="BR103" s="534"/>
      <c r="BS103" s="534"/>
      <c r="BT103" s="534"/>
      <c r="BU103" s="534"/>
      <c r="BV103" s="534"/>
      <c r="BW103" s="534"/>
      <c r="BX103" s="534"/>
      <c r="BY103" s="534"/>
      <c r="BZ103" s="534"/>
      <c r="CA103" s="534"/>
      <c r="CB103" s="534"/>
      <c r="CC103" s="534"/>
      <c r="CD103" s="534"/>
      <c r="CE103" s="534"/>
      <c r="CF103" s="534"/>
      <c r="CG103" s="534"/>
      <c r="CH103" s="534"/>
      <c r="CI103" s="534"/>
      <c r="CJ103" s="534"/>
      <c r="CK103" s="534"/>
      <c r="CL103" s="534"/>
      <c r="CM103" s="534"/>
      <c r="CN103" s="534"/>
      <c r="CO103" s="534"/>
      <c r="CP103" s="534"/>
      <c r="CQ103" s="534"/>
      <c r="CR103" s="534"/>
      <c r="CS103" s="534"/>
      <c r="CT103" s="534"/>
    </row>
    <row r="104" spans="1:98" s="529" customFormat="1" ht="12" customHeight="1">
      <c r="A104" s="529" t="s">
        <v>174</v>
      </c>
      <c r="B104" s="543">
        <v>995039200</v>
      </c>
      <c r="C104" s="543">
        <v>811636050</v>
      </c>
      <c r="D104" s="543">
        <v>1840218800</v>
      </c>
      <c r="E104" s="544">
        <v>2835258000</v>
      </c>
      <c r="F104" s="544">
        <v>2651854850</v>
      </c>
      <c r="G104" s="543">
        <v>14320016.190000001</v>
      </c>
      <c r="H104" s="532">
        <v>2012</v>
      </c>
      <c r="I104" s="533"/>
      <c r="J104" s="533"/>
      <c r="K104" s="533"/>
      <c r="L104" s="534"/>
      <c r="M104" s="534"/>
      <c r="N104" s="545"/>
      <c r="O104" s="545"/>
      <c r="P104" s="545"/>
      <c r="Q104" s="545"/>
      <c r="R104" s="545"/>
      <c r="S104" s="545"/>
      <c r="T104" s="536"/>
      <c r="U104" s="534"/>
      <c r="V104" s="534"/>
      <c r="W104" s="537"/>
      <c r="X104" s="537"/>
      <c r="Y104" s="537"/>
      <c r="Z104" s="537"/>
      <c r="AA104" s="537"/>
      <c r="AB104" s="537"/>
      <c r="AC104" s="537"/>
      <c r="AD104" s="534"/>
      <c r="AE104" s="534"/>
      <c r="AF104" s="534"/>
      <c r="AG104" s="534"/>
      <c r="AH104" s="534"/>
      <c r="AI104" s="534"/>
      <c r="AJ104" s="534"/>
      <c r="AK104" s="534"/>
      <c r="AL104" s="534"/>
      <c r="AM104" s="534"/>
      <c r="AN104" s="534"/>
      <c r="AO104" s="534"/>
      <c r="AP104" s="534"/>
      <c r="AQ104" s="534"/>
      <c r="AR104" s="534"/>
      <c r="AS104" s="534"/>
      <c r="AT104" s="534"/>
      <c r="AU104" s="534"/>
      <c r="AV104" s="534"/>
      <c r="AW104" s="534"/>
      <c r="AX104" s="534"/>
      <c r="AY104" s="534"/>
      <c r="AZ104" s="534"/>
      <c r="BA104" s="534"/>
      <c r="BB104" s="534"/>
      <c r="BC104" s="534"/>
      <c r="BD104" s="534"/>
      <c r="BE104" s="534"/>
      <c r="BF104" s="534"/>
      <c r="BG104" s="534"/>
      <c r="BH104" s="534"/>
      <c r="BI104" s="534"/>
      <c r="BJ104" s="534"/>
      <c r="BK104" s="534"/>
      <c r="BL104" s="534"/>
      <c r="BM104" s="534"/>
      <c r="BN104" s="534"/>
      <c r="BO104" s="534"/>
      <c r="BP104" s="534"/>
      <c r="BQ104" s="534"/>
      <c r="BR104" s="534"/>
      <c r="BS104" s="534"/>
      <c r="BT104" s="534"/>
      <c r="BU104" s="534"/>
      <c r="BV104" s="534"/>
      <c r="BW104" s="534"/>
      <c r="BX104" s="534"/>
      <c r="BY104" s="534"/>
      <c r="BZ104" s="534"/>
      <c r="CA104" s="534"/>
      <c r="CB104" s="534"/>
      <c r="CC104" s="534"/>
      <c r="CD104" s="534"/>
      <c r="CE104" s="534"/>
      <c r="CF104" s="534"/>
      <c r="CG104" s="534"/>
      <c r="CH104" s="534"/>
      <c r="CI104" s="534"/>
      <c r="CJ104" s="534"/>
      <c r="CK104" s="534"/>
      <c r="CL104" s="534"/>
      <c r="CM104" s="534"/>
      <c r="CN104" s="534"/>
      <c r="CO104" s="534"/>
      <c r="CP104" s="534"/>
      <c r="CQ104" s="534"/>
      <c r="CR104" s="534"/>
      <c r="CS104" s="534"/>
      <c r="CT104" s="534"/>
    </row>
    <row r="105" spans="1:98" s="529" customFormat="1" ht="12" customHeight="1">
      <c r="A105" s="529" t="s">
        <v>176</v>
      </c>
      <c r="B105" s="543">
        <v>1237198200</v>
      </c>
      <c r="C105" s="543">
        <v>639866201</v>
      </c>
      <c r="D105" s="543">
        <v>889120500</v>
      </c>
      <c r="E105" s="544">
        <v>2126318700</v>
      </c>
      <c r="F105" s="544">
        <v>1528986701</v>
      </c>
      <c r="G105" s="543">
        <v>9326818.8761</v>
      </c>
      <c r="H105" s="532">
        <v>2012</v>
      </c>
      <c r="I105" s="533"/>
      <c r="J105" s="533"/>
      <c r="K105" s="533"/>
      <c r="L105" s="534"/>
      <c r="M105" s="534"/>
      <c r="N105" s="545"/>
      <c r="O105" s="545"/>
      <c r="P105" s="545"/>
      <c r="Q105" s="545"/>
      <c r="R105" s="545"/>
      <c r="S105" s="545"/>
      <c r="T105" s="536"/>
      <c r="U105" s="534"/>
      <c r="V105" s="534"/>
      <c r="W105" s="537"/>
      <c r="X105" s="537"/>
      <c r="Y105" s="537"/>
      <c r="Z105" s="537"/>
      <c r="AA105" s="537"/>
      <c r="AB105" s="537"/>
      <c r="AC105" s="537"/>
      <c r="AD105" s="534"/>
      <c r="AE105" s="534"/>
      <c r="AF105" s="534"/>
      <c r="AG105" s="534"/>
      <c r="AH105" s="534"/>
      <c r="AI105" s="534"/>
      <c r="AJ105" s="534"/>
      <c r="AK105" s="534"/>
      <c r="AL105" s="534"/>
      <c r="AM105" s="534"/>
      <c r="AN105" s="534"/>
      <c r="AO105" s="534"/>
      <c r="AP105" s="534"/>
      <c r="AQ105" s="534"/>
      <c r="AR105" s="534"/>
      <c r="AS105" s="534"/>
      <c r="AT105" s="534"/>
      <c r="AU105" s="534"/>
      <c r="AV105" s="534"/>
      <c r="AW105" s="534"/>
      <c r="AX105" s="534"/>
      <c r="AY105" s="534"/>
      <c r="AZ105" s="534"/>
      <c r="BA105" s="534"/>
      <c r="BB105" s="534"/>
      <c r="BC105" s="534"/>
      <c r="BD105" s="534"/>
      <c r="BE105" s="534"/>
      <c r="BF105" s="534"/>
      <c r="BG105" s="534"/>
      <c r="BH105" s="534"/>
      <c r="BI105" s="534"/>
      <c r="BJ105" s="534"/>
      <c r="BK105" s="534"/>
      <c r="BL105" s="534"/>
      <c r="BM105" s="534"/>
      <c r="BN105" s="534"/>
      <c r="BO105" s="534"/>
      <c r="BP105" s="534"/>
      <c r="BQ105" s="534"/>
      <c r="BR105" s="534"/>
      <c r="BS105" s="534"/>
      <c r="BT105" s="534"/>
      <c r="BU105" s="534"/>
      <c r="BV105" s="534"/>
      <c r="BW105" s="534"/>
      <c r="BX105" s="534"/>
      <c r="BY105" s="534"/>
      <c r="BZ105" s="534"/>
      <c r="CA105" s="534"/>
      <c r="CB105" s="534"/>
      <c r="CC105" s="534"/>
      <c r="CD105" s="534"/>
      <c r="CE105" s="534"/>
      <c r="CF105" s="534"/>
      <c r="CG105" s="534"/>
      <c r="CH105" s="534"/>
      <c r="CI105" s="534"/>
      <c r="CJ105" s="534"/>
      <c r="CK105" s="534"/>
      <c r="CL105" s="534"/>
      <c r="CM105" s="534"/>
      <c r="CN105" s="534"/>
      <c r="CO105" s="534"/>
      <c r="CP105" s="534"/>
      <c r="CQ105" s="534"/>
      <c r="CR105" s="534"/>
      <c r="CS105" s="534"/>
      <c r="CT105" s="534"/>
    </row>
    <row r="106" spans="1:98" ht="9" customHeight="1">
      <c r="B106" s="538"/>
      <c r="C106" s="538"/>
      <c r="D106" s="538"/>
      <c r="E106" s="539"/>
      <c r="F106" s="539"/>
      <c r="G106" s="538"/>
      <c r="I106" s="529"/>
      <c r="J106" s="529"/>
      <c r="K106" s="529"/>
      <c r="N106" s="540"/>
      <c r="O106" s="540"/>
      <c r="P106" s="540"/>
      <c r="Q106" s="540"/>
      <c r="R106" s="540"/>
      <c r="S106" s="540"/>
      <c r="T106" s="541"/>
      <c r="W106" s="542"/>
      <c r="X106" s="542"/>
      <c r="Y106" s="542"/>
      <c r="Z106" s="542"/>
      <c r="AA106" s="542"/>
      <c r="AB106" s="542"/>
      <c r="AC106" s="542"/>
    </row>
    <row r="107" spans="1:98" ht="12" customHeight="1">
      <c r="A107" s="518" t="s">
        <v>178</v>
      </c>
      <c r="B107" s="538">
        <v>423003243</v>
      </c>
      <c r="C107" s="538">
        <v>351206699</v>
      </c>
      <c r="D107" s="538">
        <v>432670765</v>
      </c>
      <c r="E107" s="539">
        <v>855674008</v>
      </c>
      <c r="F107" s="539">
        <v>783877464</v>
      </c>
      <c r="G107" s="538">
        <v>5251979.0088</v>
      </c>
      <c r="H107" s="519">
        <v>2012</v>
      </c>
      <c r="I107" s="533"/>
      <c r="J107" s="533"/>
      <c r="K107" s="533"/>
      <c r="N107" s="540"/>
      <c r="O107" s="540"/>
      <c r="P107" s="540"/>
      <c r="Q107" s="540"/>
      <c r="R107" s="540"/>
      <c r="S107" s="540"/>
      <c r="T107" s="541"/>
      <c r="W107" s="542"/>
      <c r="X107" s="542"/>
      <c r="Y107" s="542"/>
      <c r="Z107" s="542"/>
      <c r="AA107" s="542"/>
      <c r="AB107" s="542"/>
      <c r="AC107" s="542"/>
    </row>
    <row r="108" spans="1:98" ht="12" customHeight="1">
      <c r="A108" s="518" t="s">
        <v>37</v>
      </c>
      <c r="B108" s="538">
        <v>2102103600</v>
      </c>
      <c r="C108" s="538">
        <v>1932923800</v>
      </c>
      <c r="D108" s="538">
        <v>6035106400</v>
      </c>
      <c r="E108" s="539">
        <v>8137210000</v>
      </c>
      <c r="F108" s="539">
        <v>7968030200</v>
      </c>
      <c r="G108" s="538">
        <v>86851529.180000007</v>
      </c>
      <c r="H108" s="519">
        <v>2012</v>
      </c>
      <c r="I108" s="533"/>
      <c r="J108" s="533"/>
      <c r="K108" s="533"/>
      <c r="M108" s="1153"/>
      <c r="N108" s="1153"/>
      <c r="O108" s="1153"/>
      <c r="P108" s="1153"/>
      <c r="Q108" s="1153"/>
      <c r="R108" s="1153"/>
      <c r="S108" s="1153"/>
      <c r="T108" s="1153"/>
      <c r="W108" s="542"/>
      <c r="X108" s="542"/>
      <c r="Y108" s="542"/>
      <c r="Z108" s="542"/>
      <c r="AA108" s="542"/>
      <c r="AB108" s="542"/>
      <c r="AC108" s="542"/>
    </row>
    <row r="109" spans="1:98" s="529" customFormat="1" ht="12" customHeight="1">
      <c r="A109" s="529" t="s">
        <v>180</v>
      </c>
      <c r="B109" s="543">
        <v>1300201806</v>
      </c>
      <c r="C109" s="543">
        <v>926063406</v>
      </c>
      <c r="D109" s="543">
        <v>1466943200</v>
      </c>
      <c r="E109" s="544">
        <v>2767145006</v>
      </c>
      <c r="F109" s="544">
        <v>2393006606</v>
      </c>
      <c r="G109" s="543">
        <v>15315242.2784</v>
      </c>
      <c r="H109" s="532">
        <v>2012</v>
      </c>
      <c r="I109" s="533"/>
      <c r="J109" s="533"/>
      <c r="K109" s="533"/>
      <c r="L109" s="534"/>
      <c r="M109" s="552"/>
      <c r="N109" s="534"/>
      <c r="O109" s="534"/>
      <c r="P109" s="534"/>
      <c r="Q109" s="534"/>
      <c r="R109" s="534"/>
      <c r="S109" s="534"/>
      <c r="T109" s="534"/>
      <c r="U109" s="534"/>
      <c r="V109" s="534"/>
      <c r="W109" s="537"/>
      <c r="X109" s="537"/>
      <c r="Y109" s="537"/>
      <c r="Z109" s="537"/>
      <c r="AA109" s="537"/>
      <c r="AB109" s="537"/>
      <c r="AC109" s="537"/>
      <c r="AD109" s="534"/>
      <c r="AE109" s="534"/>
      <c r="AF109" s="534"/>
      <c r="AG109" s="534"/>
      <c r="AH109" s="534"/>
      <c r="AI109" s="534"/>
      <c r="AJ109" s="534"/>
      <c r="AK109" s="534"/>
      <c r="AL109" s="534"/>
      <c r="AM109" s="534"/>
      <c r="AN109" s="534"/>
      <c r="AO109" s="534"/>
      <c r="AP109" s="534"/>
      <c r="AQ109" s="534"/>
      <c r="AR109" s="534"/>
      <c r="AS109" s="534"/>
      <c r="AT109" s="534"/>
      <c r="AU109" s="534"/>
      <c r="AV109" s="534"/>
      <c r="AW109" s="534"/>
      <c r="AX109" s="534"/>
      <c r="AY109" s="534"/>
      <c r="AZ109" s="534"/>
      <c r="BA109" s="534"/>
      <c r="BB109" s="534"/>
      <c r="BC109" s="534"/>
      <c r="BD109" s="534"/>
      <c r="BE109" s="534"/>
      <c r="BF109" s="534"/>
      <c r="BG109" s="534"/>
      <c r="BH109" s="534"/>
      <c r="BI109" s="534"/>
      <c r="BJ109" s="534"/>
      <c r="BK109" s="534"/>
      <c r="BL109" s="534"/>
      <c r="BM109" s="534"/>
      <c r="BN109" s="534"/>
      <c r="BO109" s="534"/>
      <c r="BP109" s="534"/>
      <c r="BQ109" s="534"/>
      <c r="BR109" s="534"/>
      <c r="BS109" s="534"/>
      <c r="BT109" s="534"/>
      <c r="BU109" s="534"/>
      <c r="BV109" s="534"/>
      <c r="BW109" s="534"/>
      <c r="BX109" s="534"/>
      <c r="BY109" s="534"/>
      <c r="BZ109" s="534"/>
      <c r="CA109" s="534"/>
      <c r="CB109" s="534"/>
      <c r="CC109" s="534"/>
      <c r="CD109" s="534"/>
      <c r="CE109" s="534"/>
      <c r="CF109" s="534"/>
      <c r="CG109" s="534"/>
      <c r="CH109" s="534"/>
      <c r="CI109" s="534"/>
      <c r="CJ109" s="534"/>
      <c r="CK109" s="534"/>
      <c r="CL109" s="534"/>
      <c r="CM109" s="534"/>
      <c r="CN109" s="534"/>
      <c r="CO109" s="534"/>
      <c r="CP109" s="534"/>
      <c r="CQ109" s="534"/>
      <c r="CR109" s="534"/>
      <c r="CS109" s="534"/>
      <c r="CT109" s="534"/>
    </row>
    <row r="110" spans="1:98" s="529" customFormat="1" ht="12" customHeight="1">
      <c r="A110" s="529" t="s">
        <v>181</v>
      </c>
      <c r="B110" s="543">
        <v>2988123200</v>
      </c>
      <c r="C110" s="543">
        <v>2087575700</v>
      </c>
      <c r="D110" s="543">
        <v>4996673400</v>
      </c>
      <c r="E110" s="544">
        <v>7984796600</v>
      </c>
      <c r="F110" s="544">
        <v>7084249100</v>
      </c>
      <c r="G110" s="543">
        <v>45339194.240000002</v>
      </c>
      <c r="H110" s="532">
        <v>2012</v>
      </c>
      <c r="I110" s="533"/>
      <c r="J110" s="533"/>
      <c r="K110" s="533"/>
      <c r="L110" s="534"/>
      <c r="M110" s="1154"/>
      <c r="N110" s="1154"/>
      <c r="O110" s="1154"/>
      <c r="P110" s="1154"/>
      <c r="Q110" s="1154"/>
      <c r="R110" s="1154"/>
      <c r="S110" s="1154"/>
      <c r="T110" s="1154"/>
      <c r="U110" s="534"/>
      <c r="V110" s="534"/>
      <c r="W110" s="537"/>
      <c r="X110" s="537"/>
      <c r="Y110" s="537"/>
      <c r="Z110" s="537"/>
      <c r="AA110" s="537"/>
      <c r="AB110" s="537"/>
      <c r="AC110" s="537"/>
      <c r="AD110" s="534"/>
      <c r="AE110" s="534"/>
      <c r="AF110" s="534"/>
      <c r="AG110" s="534"/>
      <c r="AH110" s="534"/>
      <c r="AI110" s="534"/>
      <c r="AJ110" s="534"/>
      <c r="AK110" s="534"/>
      <c r="AL110" s="534"/>
      <c r="AM110" s="534"/>
      <c r="AN110" s="534"/>
      <c r="AO110" s="534"/>
      <c r="AP110" s="534"/>
      <c r="AQ110" s="534"/>
      <c r="AR110" s="534"/>
      <c r="AS110" s="534"/>
      <c r="AT110" s="534"/>
      <c r="AU110" s="534"/>
      <c r="AV110" s="534"/>
      <c r="AW110" s="534"/>
      <c r="AX110" s="534"/>
      <c r="AY110" s="534"/>
      <c r="AZ110" s="534"/>
      <c r="BA110" s="534"/>
      <c r="BB110" s="534"/>
      <c r="BC110" s="534"/>
      <c r="BD110" s="534"/>
      <c r="BE110" s="534"/>
      <c r="BF110" s="534"/>
      <c r="BG110" s="534"/>
      <c r="BH110" s="534"/>
      <c r="BI110" s="534"/>
      <c r="BJ110" s="534"/>
      <c r="BK110" s="534"/>
      <c r="BL110" s="534"/>
      <c r="BM110" s="534"/>
      <c r="BN110" s="534"/>
      <c r="BO110" s="534"/>
      <c r="BP110" s="534"/>
      <c r="BQ110" s="534"/>
      <c r="BR110" s="534"/>
      <c r="BS110" s="534"/>
      <c r="BT110" s="534"/>
      <c r="BU110" s="534"/>
      <c r="BV110" s="534"/>
      <c r="BW110" s="534"/>
      <c r="BX110" s="534"/>
      <c r="BY110" s="534"/>
      <c r="BZ110" s="534"/>
      <c r="CA110" s="534"/>
      <c r="CB110" s="534"/>
      <c r="CC110" s="534"/>
      <c r="CD110" s="534"/>
      <c r="CE110" s="534"/>
      <c r="CF110" s="534"/>
      <c r="CG110" s="534"/>
      <c r="CH110" s="534"/>
      <c r="CI110" s="534"/>
      <c r="CJ110" s="534"/>
      <c r="CK110" s="534"/>
      <c r="CL110" s="534"/>
      <c r="CM110" s="534"/>
      <c r="CN110" s="534"/>
      <c r="CO110" s="534"/>
      <c r="CP110" s="534"/>
      <c r="CQ110" s="534"/>
      <c r="CR110" s="534"/>
      <c r="CS110" s="534"/>
      <c r="CT110" s="534"/>
    </row>
    <row r="111" spans="1:98" ht="12" customHeight="1">
      <c r="A111" s="520" t="s">
        <v>183</v>
      </c>
      <c r="B111" s="553">
        <v>444450262</v>
      </c>
      <c r="C111" s="553">
        <v>335174784</v>
      </c>
      <c r="D111" s="553">
        <v>885102954</v>
      </c>
      <c r="E111" s="540">
        <v>1329553216</v>
      </c>
      <c r="F111" s="540">
        <v>1220277738</v>
      </c>
      <c r="G111" s="553">
        <v>8541944.1659999993</v>
      </c>
      <c r="H111" s="519">
        <v>2012</v>
      </c>
      <c r="I111" s="533"/>
      <c r="J111" s="533"/>
      <c r="K111" s="533"/>
      <c r="W111" s="542"/>
      <c r="X111" s="542"/>
      <c r="Y111" s="542"/>
      <c r="Z111" s="542"/>
      <c r="AA111" s="542"/>
      <c r="AB111" s="542"/>
      <c r="AC111" s="542"/>
    </row>
    <row r="112" spans="1:98" ht="9" customHeight="1">
      <c r="I112" s="529"/>
      <c r="J112" s="529"/>
      <c r="K112" s="529"/>
      <c r="W112" s="542"/>
      <c r="X112" s="542"/>
      <c r="Y112" s="542"/>
      <c r="Z112" s="542"/>
      <c r="AA112" s="542"/>
      <c r="AB112" s="542"/>
      <c r="AC112" s="542"/>
    </row>
    <row r="113" spans="1:98" ht="12" customHeight="1">
      <c r="A113" s="518" t="s">
        <v>185</v>
      </c>
      <c r="B113" s="538">
        <v>422261700</v>
      </c>
      <c r="C113" s="538">
        <v>422261700</v>
      </c>
      <c r="D113" s="538">
        <v>756078900</v>
      </c>
      <c r="E113" s="539">
        <v>1178340600</v>
      </c>
      <c r="F113" s="539">
        <v>1178340600</v>
      </c>
      <c r="G113" s="538">
        <v>8130550.1399999997</v>
      </c>
      <c r="H113" s="519">
        <v>2012</v>
      </c>
      <c r="I113" s="533"/>
      <c r="J113" s="533"/>
      <c r="K113" s="533"/>
      <c r="N113" s="554"/>
      <c r="O113" s="554"/>
      <c r="P113" s="554"/>
      <c r="Q113" s="554"/>
      <c r="R113" s="554"/>
      <c r="S113" s="554"/>
      <c r="T113" s="541"/>
      <c r="W113" s="542"/>
      <c r="X113" s="542"/>
      <c r="Y113" s="542"/>
      <c r="Z113" s="542"/>
      <c r="AA113" s="542"/>
      <c r="AB113" s="542"/>
      <c r="AC113" s="542"/>
    </row>
    <row r="114" spans="1:98" ht="12" customHeight="1">
      <c r="A114" s="518" t="s">
        <v>187</v>
      </c>
      <c r="B114" s="538">
        <v>2405705100</v>
      </c>
      <c r="C114" s="538">
        <v>1745356600</v>
      </c>
      <c r="D114" s="538">
        <v>2667840700</v>
      </c>
      <c r="E114" s="539">
        <v>5073545800</v>
      </c>
      <c r="F114" s="539">
        <v>4413197300</v>
      </c>
      <c r="G114" s="538">
        <v>22507306.23</v>
      </c>
      <c r="H114" s="519">
        <v>2012</v>
      </c>
      <c r="I114" s="533"/>
      <c r="J114" s="533"/>
      <c r="K114" s="533"/>
      <c r="N114" s="540"/>
      <c r="O114" s="540"/>
      <c r="P114" s="540"/>
      <c r="Q114" s="540"/>
      <c r="R114" s="540"/>
      <c r="S114" s="540"/>
      <c r="T114" s="541"/>
      <c r="W114" s="542"/>
      <c r="X114" s="542"/>
      <c r="Y114" s="542"/>
      <c r="Z114" s="542"/>
      <c r="AA114" s="542"/>
      <c r="AB114" s="542"/>
      <c r="AC114" s="542"/>
    </row>
    <row r="115" spans="1:98" s="529" customFormat="1" ht="12" customHeight="1">
      <c r="A115" s="529" t="s">
        <v>189</v>
      </c>
      <c r="B115" s="543">
        <v>579864562</v>
      </c>
      <c r="C115" s="543">
        <v>410492238</v>
      </c>
      <c r="D115" s="543">
        <v>1034175000</v>
      </c>
      <c r="E115" s="544">
        <v>1614039562</v>
      </c>
      <c r="F115" s="544">
        <v>1444667238</v>
      </c>
      <c r="G115" s="543">
        <v>10690537</v>
      </c>
      <c r="H115" s="532">
        <v>2012</v>
      </c>
      <c r="I115" s="533"/>
      <c r="J115" s="533"/>
      <c r="K115" s="533"/>
      <c r="L115" s="534"/>
      <c r="M115" s="534"/>
      <c r="N115" s="545"/>
      <c r="O115" s="545"/>
      <c r="P115" s="545"/>
      <c r="Q115" s="545"/>
      <c r="R115" s="545"/>
      <c r="S115" s="545"/>
      <c r="T115" s="536"/>
      <c r="U115" s="534"/>
      <c r="V115" s="534"/>
      <c r="W115" s="537"/>
      <c r="X115" s="537"/>
      <c r="Y115" s="537"/>
      <c r="Z115" s="537"/>
      <c r="AA115" s="537"/>
      <c r="AB115" s="537"/>
      <c r="AC115" s="537"/>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4"/>
      <c r="BZ115" s="534"/>
      <c r="CA115" s="534"/>
      <c r="CB115" s="534"/>
      <c r="CC115" s="534"/>
      <c r="CD115" s="534"/>
      <c r="CE115" s="534"/>
      <c r="CF115" s="534"/>
      <c r="CG115" s="534"/>
      <c r="CH115" s="534"/>
      <c r="CI115" s="534"/>
      <c r="CJ115" s="534"/>
      <c r="CK115" s="534"/>
      <c r="CL115" s="534"/>
      <c r="CM115" s="534"/>
      <c r="CN115" s="534"/>
      <c r="CO115" s="534"/>
      <c r="CP115" s="534"/>
      <c r="CQ115" s="534"/>
      <c r="CR115" s="534"/>
      <c r="CS115" s="534"/>
      <c r="CT115" s="534"/>
    </row>
    <row r="116" spans="1:98" ht="12" customHeight="1">
      <c r="A116" s="518" t="s">
        <v>191</v>
      </c>
      <c r="B116" s="538">
        <v>856165200</v>
      </c>
      <c r="C116" s="538">
        <v>506631100</v>
      </c>
      <c r="D116" s="538">
        <v>831091900</v>
      </c>
      <c r="E116" s="539">
        <v>1687257100</v>
      </c>
      <c r="F116" s="539">
        <v>1337723000</v>
      </c>
      <c r="G116" s="538">
        <v>10032922.5</v>
      </c>
      <c r="H116" s="519">
        <v>2012</v>
      </c>
      <c r="I116" s="533"/>
      <c r="J116" s="533"/>
      <c r="K116" s="533"/>
      <c r="N116" s="540"/>
      <c r="O116" s="540"/>
      <c r="P116" s="540"/>
      <c r="Q116" s="540"/>
      <c r="R116" s="540"/>
      <c r="S116" s="540"/>
      <c r="T116" s="541"/>
      <c r="W116" s="542"/>
      <c r="X116" s="542"/>
      <c r="Y116" s="542"/>
      <c r="Z116" s="542"/>
      <c r="AA116" s="542"/>
      <c r="AB116" s="542"/>
      <c r="AC116" s="542"/>
    </row>
    <row r="117" spans="1:98" ht="12" customHeight="1">
      <c r="A117" s="518" t="s">
        <v>193</v>
      </c>
      <c r="B117" s="538">
        <v>4687039300</v>
      </c>
      <c r="C117" s="538">
        <v>4324561560</v>
      </c>
      <c r="D117" s="538">
        <v>7646018200</v>
      </c>
      <c r="E117" s="539">
        <v>12333057500</v>
      </c>
      <c r="F117" s="539">
        <v>11970579760</v>
      </c>
      <c r="G117" s="538">
        <v>105341101.888</v>
      </c>
      <c r="H117" s="519">
        <v>2012</v>
      </c>
      <c r="I117" s="533"/>
      <c r="J117" s="533"/>
      <c r="K117" s="533"/>
      <c r="N117" s="540"/>
      <c r="O117" s="540"/>
      <c r="P117" s="540"/>
      <c r="Q117" s="540"/>
      <c r="R117" s="540"/>
      <c r="S117" s="540"/>
      <c r="T117" s="541"/>
      <c r="W117" s="542"/>
      <c r="X117" s="542"/>
      <c r="Y117" s="542"/>
      <c r="Z117" s="542"/>
      <c r="AA117" s="542"/>
      <c r="AB117" s="542"/>
      <c r="AC117" s="542"/>
    </row>
    <row r="118" spans="1:98" ht="9" customHeight="1">
      <c r="B118" s="538"/>
      <c r="C118" s="538"/>
      <c r="D118" s="538"/>
      <c r="E118" s="539"/>
      <c r="F118" s="539"/>
      <c r="G118" s="538"/>
      <c r="I118" s="529"/>
      <c r="J118" s="529"/>
      <c r="K118" s="529"/>
      <c r="N118" s="540"/>
      <c r="O118" s="540"/>
      <c r="P118" s="540"/>
      <c r="Q118" s="540"/>
      <c r="R118" s="540"/>
      <c r="S118" s="540"/>
      <c r="T118" s="541"/>
      <c r="W118" s="542"/>
      <c r="X118" s="542"/>
      <c r="Y118" s="542"/>
      <c r="Z118" s="542"/>
      <c r="AA118" s="542"/>
      <c r="AB118" s="542"/>
      <c r="AC118" s="542"/>
    </row>
    <row r="119" spans="1:98" ht="12" customHeight="1">
      <c r="A119" s="518" t="s">
        <v>195</v>
      </c>
      <c r="B119" s="538">
        <v>5221467300</v>
      </c>
      <c r="C119" s="538">
        <v>4846077142</v>
      </c>
      <c r="D119" s="538">
        <v>8156248976</v>
      </c>
      <c r="E119" s="539">
        <v>13377716276</v>
      </c>
      <c r="F119" s="539">
        <v>13002326118</v>
      </c>
      <c r="G119" s="538">
        <v>139124889.46260002</v>
      </c>
      <c r="H119" s="519">
        <v>2012</v>
      </c>
      <c r="I119" s="533"/>
      <c r="J119" s="533"/>
      <c r="K119" s="533"/>
      <c r="N119" s="540"/>
      <c r="O119" s="540"/>
      <c r="P119" s="540"/>
      <c r="Q119" s="540"/>
      <c r="R119" s="540"/>
      <c r="S119" s="540"/>
      <c r="T119" s="541"/>
      <c r="W119" s="542"/>
      <c r="X119" s="542"/>
      <c r="Y119" s="542"/>
      <c r="Z119" s="542"/>
      <c r="AA119" s="542"/>
      <c r="AB119" s="542"/>
      <c r="AC119" s="542"/>
    </row>
    <row r="120" spans="1:98" s="529" customFormat="1" ht="12" customHeight="1">
      <c r="A120" s="529" t="s">
        <v>197</v>
      </c>
      <c r="B120" s="543">
        <v>460123900</v>
      </c>
      <c r="C120" s="543">
        <v>460123900</v>
      </c>
      <c r="D120" s="543">
        <v>418246700</v>
      </c>
      <c r="E120" s="544">
        <v>878370600</v>
      </c>
      <c r="F120" s="544">
        <v>878370600</v>
      </c>
      <c r="G120" s="543">
        <v>6412105.3799999999</v>
      </c>
      <c r="H120" s="532">
        <v>2012</v>
      </c>
      <c r="I120" s="533"/>
      <c r="J120" s="533"/>
      <c r="K120" s="533"/>
      <c r="L120" s="534"/>
      <c r="M120" s="534"/>
      <c r="N120" s="545"/>
      <c r="O120" s="545"/>
      <c r="P120" s="545"/>
      <c r="Q120" s="545"/>
      <c r="R120" s="545"/>
      <c r="S120" s="545"/>
      <c r="T120" s="536"/>
      <c r="U120" s="534"/>
      <c r="V120" s="534"/>
      <c r="W120" s="537"/>
      <c r="X120" s="537"/>
      <c r="Y120" s="537"/>
      <c r="Z120" s="537"/>
      <c r="AA120" s="537"/>
      <c r="AB120" s="537"/>
      <c r="AC120" s="537"/>
      <c r="AD120" s="534"/>
      <c r="AE120" s="534"/>
      <c r="AF120" s="534"/>
      <c r="AG120" s="534"/>
      <c r="AH120" s="534"/>
      <c r="AI120" s="534"/>
      <c r="AJ120" s="534"/>
      <c r="AK120" s="534"/>
      <c r="AL120" s="534"/>
      <c r="AM120" s="534"/>
      <c r="AN120" s="534"/>
      <c r="AO120" s="534"/>
      <c r="AP120" s="534"/>
      <c r="AQ120" s="534"/>
      <c r="AR120" s="534"/>
      <c r="AS120" s="534"/>
      <c r="AT120" s="534"/>
      <c r="AU120" s="534"/>
      <c r="AV120" s="534"/>
      <c r="AW120" s="534"/>
      <c r="AX120" s="534"/>
      <c r="AY120" s="534"/>
      <c r="AZ120" s="534"/>
      <c r="BA120" s="534"/>
      <c r="BB120" s="534"/>
      <c r="BC120" s="534"/>
      <c r="BD120" s="534"/>
      <c r="BE120" s="534"/>
      <c r="BF120" s="534"/>
      <c r="BG120" s="534"/>
      <c r="BH120" s="534"/>
      <c r="BI120" s="534"/>
      <c r="BJ120" s="534"/>
      <c r="BK120" s="534"/>
      <c r="BL120" s="534"/>
      <c r="BM120" s="534"/>
      <c r="BN120" s="534"/>
      <c r="BO120" s="534"/>
      <c r="BP120" s="534"/>
      <c r="BQ120" s="534"/>
      <c r="BR120" s="534"/>
      <c r="BS120" s="534"/>
      <c r="BT120" s="534"/>
      <c r="BU120" s="534"/>
      <c r="BV120" s="534"/>
      <c r="BW120" s="534"/>
      <c r="BX120" s="534"/>
      <c r="BY120" s="534"/>
      <c r="BZ120" s="534"/>
      <c r="CA120" s="534"/>
      <c r="CB120" s="534"/>
      <c r="CC120" s="534"/>
      <c r="CD120" s="534"/>
      <c r="CE120" s="534"/>
      <c r="CF120" s="534"/>
      <c r="CG120" s="534"/>
      <c r="CH120" s="534"/>
      <c r="CI120" s="534"/>
      <c r="CJ120" s="534"/>
      <c r="CK120" s="534"/>
      <c r="CL120" s="534"/>
      <c r="CM120" s="534"/>
      <c r="CN120" s="534"/>
      <c r="CO120" s="534"/>
      <c r="CP120" s="534"/>
      <c r="CQ120" s="534"/>
      <c r="CR120" s="534"/>
      <c r="CS120" s="534"/>
      <c r="CT120" s="534"/>
    </row>
    <row r="121" spans="1:98" ht="12" customHeight="1">
      <c r="A121" s="518" t="s">
        <v>199</v>
      </c>
      <c r="B121" s="538">
        <v>558262300</v>
      </c>
      <c r="C121" s="538">
        <v>558262300</v>
      </c>
      <c r="D121" s="538">
        <v>371510175</v>
      </c>
      <c r="E121" s="539">
        <v>929772475</v>
      </c>
      <c r="F121" s="539">
        <v>929772475</v>
      </c>
      <c r="G121" s="538">
        <v>5020771.3650000002</v>
      </c>
      <c r="H121" s="519">
        <v>2012</v>
      </c>
      <c r="I121" s="533"/>
      <c r="J121" s="533"/>
      <c r="K121" s="533"/>
      <c r="N121" s="540"/>
      <c r="O121" s="540"/>
      <c r="P121" s="540"/>
      <c r="Q121" s="540"/>
      <c r="R121" s="540"/>
      <c r="S121" s="540"/>
      <c r="T121" s="541"/>
      <c r="W121" s="542"/>
      <c r="X121" s="542"/>
      <c r="Y121" s="542"/>
      <c r="Z121" s="542"/>
      <c r="AA121" s="542"/>
      <c r="AB121" s="542"/>
      <c r="AC121" s="542"/>
    </row>
    <row r="122" spans="1:98" ht="12" customHeight="1">
      <c r="A122" s="518" t="s">
        <v>201</v>
      </c>
      <c r="B122" s="538">
        <v>733430300</v>
      </c>
      <c r="C122" s="538">
        <v>613619900</v>
      </c>
      <c r="D122" s="538">
        <v>2053749700</v>
      </c>
      <c r="E122" s="539">
        <v>2787180000</v>
      </c>
      <c r="F122" s="539">
        <v>2667369600</v>
      </c>
      <c r="G122" s="538">
        <v>15204006.719999999</v>
      </c>
      <c r="H122" s="519">
        <v>2012</v>
      </c>
      <c r="I122" s="533"/>
      <c r="J122" s="533"/>
      <c r="K122" s="533"/>
      <c r="N122" s="540"/>
      <c r="O122" s="540"/>
      <c r="P122" s="540"/>
      <c r="Q122" s="540"/>
      <c r="R122" s="540"/>
      <c r="S122" s="540"/>
      <c r="T122" s="541"/>
      <c r="W122" s="542"/>
      <c r="X122" s="542"/>
      <c r="Y122" s="542"/>
      <c r="Z122" s="542"/>
      <c r="AA122" s="542"/>
      <c r="AB122" s="542"/>
      <c r="AC122" s="542"/>
    </row>
    <row r="123" spans="1:98" ht="12" customHeight="1">
      <c r="A123" s="518" t="s">
        <v>203</v>
      </c>
      <c r="B123" s="538">
        <v>1573196400</v>
      </c>
      <c r="C123" s="538">
        <v>1244388800</v>
      </c>
      <c r="D123" s="538">
        <v>2551439900</v>
      </c>
      <c r="E123" s="539">
        <v>4124636300</v>
      </c>
      <c r="F123" s="539">
        <v>3795828700</v>
      </c>
      <c r="G123" s="538">
        <v>22395389.329999998</v>
      </c>
      <c r="H123" s="519">
        <v>2012</v>
      </c>
      <c r="I123" s="533"/>
      <c r="J123" s="533"/>
      <c r="K123" s="533"/>
      <c r="N123" s="546"/>
      <c r="O123" s="546"/>
      <c r="P123" s="546"/>
      <c r="S123" s="546"/>
      <c r="T123" s="541"/>
      <c r="W123" s="542"/>
      <c r="X123" s="542"/>
      <c r="Y123" s="542"/>
      <c r="Z123" s="542"/>
      <c r="AA123" s="542"/>
      <c r="AB123" s="542"/>
      <c r="AC123" s="542"/>
    </row>
    <row r="124" spans="1:98" ht="13.8">
      <c r="A124" s="517" t="s">
        <v>995</v>
      </c>
      <c r="I124" s="529"/>
      <c r="J124" s="529"/>
      <c r="K124" s="529"/>
      <c r="N124" s="540"/>
      <c r="O124" s="540"/>
      <c r="P124" s="540"/>
      <c r="Q124" s="540"/>
      <c r="R124" s="540"/>
      <c r="S124" s="540"/>
      <c r="T124" s="541"/>
      <c r="W124" s="542"/>
      <c r="X124" s="542"/>
      <c r="Y124" s="542"/>
      <c r="Z124" s="542"/>
      <c r="AA124" s="542"/>
      <c r="AB124" s="542"/>
      <c r="AC124" s="542"/>
    </row>
    <row r="125" spans="1:98" ht="13.2">
      <c r="A125" s="1148" t="s">
        <v>1103</v>
      </c>
      <c r="B125" s="1149"/>
      <c r="C125" s="1149"/>
      <c r="D125" s="1149"/>
      <c r="E125" s="1149"/>
      <c r="F125" s="1149"/>
      <c r="G125" s="1149"/>
      <c r="H125" s="1149"/>
      <c r="I125" s="529"/>
      <c r="J125" s="529"/>
      <c r="K125" s="529"/>
      <c r="N125" s="540"/>
      <c r="O125" s="540"/>
      <c r="P125" s="540"/>
      <c r="Q125" s="540"/>
      <c r="R125" s="540"/>
      <c r="S125" s="540"/>
      <c r="T125" s="541"/>
      <c r="W125" s="542"/>
      <c r="X125" s="542"/>
      <c r="Y125" s="542"/>
      <c r="Z125" s="542"/>
      <c r="AA125" s="542"/>
      <c r="AB125" s="542"/>
      <c r="AC125" s="542"/>
    </row>
    <row r="126" spans="1:98" ht="11.25" customHeight="1" thickBot="1">
      <c r="A126" s="524"/>
      <c r="B126" s="524"/>
      <c r="C126" s="524"/>
      <c r="D126" s="524"/>
      <c r="E126" s="524"/>
      <c r="F126" s="524"/>
      <c r="G126" s="524"/>
      <c r="H126" s="524"/>
      <c r="I126" s="529"/>
      <c r="J126" s="529"/>
      <c r="K126" s="529"/>
      <c r="N126" s="540"/>
      <c r="O126" s="540"/>
      <c r="P126" s="540"/>
      <c r="Q126" s="540"/>
      <c r="R126" s="540"/>
      <c r="S126" s="540"/>
      <c r="T126" s="541"/>
      <c r="W126" s="542"/>
      <c r="X126" s="542"/>
      <c r="Y126" s="542"/>
      <c r="Z126" s="542"/>
      <c r="AA126" s="542"/>
      <c r="AB126" s="542"/>
      <c r="AC126" s="542"/>
    </row>
    <row r="127" spans="1:98" ht="11.25" customHeight="1">
      <c r="I127" s="529"/>
      <c r="J127" s="529"/>
      <c r="K127" s="529"/>
      <c r="N127" s="540"/>
      <c r="O127" s="540"/>
      <c r="P127" s="540"/>
      <c r="Q127" s="540"/>
      <c r="R127" s="540"/>
      <c r="S127" s="540"/>
      <c r="T127" s="541"/>
      <c r="W127" s="542"/>
      <c r="X127" s="542"/>
      <c r="Y127" s="542"/>
      <c r="Z127" s="542"/>
      <c r="AA127" s="542"/>
      <c r="AB127" s="542"/>
      <c r="AC127" s="542"/>
    </row>
    <row r="128" spans="1:98" ht="11.25" customHeight="1">
      <c r="A128" s="525" t="s">
        <v>33</v>
      </c>
      <c r="B128" s="525" t="s">
        <v>932</v>
      </c>
      <c r="C128" s="525" t="s">
        <v>933</v>
      </c>
      <c r="D128" s="525" t="s">
        <v>934</v>
      </c>
      <c r="E128" s="525" t="s">
        <v>935</v>
      </c>
      <c r="F128" s="525" t="s">
        <v>936</v>
      </c>
      <c r="G128" s="525" t="s">
        <v>937</v>
      </c>
      <c r="H128" s="526" t="s">
        <v>938</v>
      </c>
      <c r="I128" s="529"/>
      <c r="J128" s="529"/>
      <c r="K128" s="529"/>
      <c r="N128" s="540"/>
      <c r="O128" s="540"/>
      <c r="P128" s="540"/>
      <c r="Q128" s="540"/>
      <c r="R128" s="540"/>
      <c r="S128" s="540"/>
      <c r="T128" s="541"/>
      <c r="W128" s="542"/>
      <c r="X128" s="542"/>
      <c r="Y128" s="542"/>
      <c r="Z128" s="542"/>
      <c r="AA128" s="542"/>
      <c r="AB128" s="542"/>
      <c r="AC128" s="542"/>
    </row>
    <row r="129" spans="1:98" ht="8.25" customHeight="1">
      <c r="B129" s="538"/>
      <c r="C129" s="538"/>
      <c r="D129" s="538"/>
      <c r="E129" s="539"/>
      <c r="F129" s="539"/>
      <c r="G129" s="538"/>
      <c r="I129" s="529"/>
      <c r="J129" s="529"/>
      <c r="K129" s="529"/>
      <c r="N129" s="540"/>
      <c r="O129" s="540"/>
      <c r="P129" s="540"/>
      <c r="Q129" s="540"/>
      <c r="R129" s="540"/>
      <c r="S129" s="540"/>
      <c r="T129" s="541"/>
      <c r="W129" s="542"/>
      <c r="X129" s="542"/>
      <c r="Y129" s="542"/>
      <c r="Z129" s="542"/>
      <c r="AA129" s="542"/>
      <c r="AB129" s="542"/>
      <c r="AC129" s="542"/>
    </row>
    <row r="130" spans="1:98" s="529" customFormat="1">
      <c r="A130" s="529" t="s">
        <v>205</v>
      </c>
      <c r="B130" s="530">
        <v>1876936000</v>
      </c>
      <c r="C130" s="530">
        <v>1188597400</v>
      </c>
      <c r="D130" s="530">
        <v>2633083200</v>
      </c>
      <c r="E130" s="531">
        <v>4510019200</v>
      </c>
      <c r="F130" s="531">
        <v>3821680600</v>
      </c>
      <c r="G130" s="530">
        <v>24076587.780000001</v>
      </c>
      <c r="H130" s="532">
        <v>2012</v>
      </c>
      <c r="I130" s="533"/>
      <c r="J130" s="533"/>
      <c r="K130" s="533"/>
      <c r="L130" s="534"/>
      <c r="M130" s="534"/>
      <c r="N130" s="545"/>
      <c r="O130" s="545"/>
      <c r="P130" s="545"/>
      <c r="Q130" s="545"/>
      <c r="R130" s="545"/>
      <c r="S130" s="545"/>
      <c r="T130" s="536"/>
      <c r="U130" s="534"/>
      <c r="V130" s="534"/>
      <c r="W130" s="537"/>
      <c r="X130" s="537"/>
      <c r="Y130" s="537"/>
      <c r="Z130" s="537"/>
      <c r="AA130" s="537"/>
      <c r="AB130" s="537"/>
      <c r="AC130" s="537"/>
      <c r="AD130" s="534"/>
      <c r="AE130" s="534"/>
      <c r="AF130" s="534"/>
      <c r="AG130" s="534"/>
      <c r="AH130" s="534"/>
      <c r="AI130" s="534"/>
      <c r="AJ130" s="534"/>
      <c r="AK130" s="534"/>
      <c r="AL130" s="534"/>
      <c r="AM130" s="534"/>
      <c r="AN130" s="534"/>
      <c r="AO130" s="534"/>
      <c r="AP130" s="534"/>
      <c r="AQ130" s="534"/>
      <c r="AR130" s="534"/>
      <c r="AS130" s="534"/>
      <c r="AT130" s="534"/>
      <c r="AU130" s="534"/>
      <c r="AV130" s="534"/>
      <c r="AW130" s="534"/>
      <c r="AX130" s="534"/>
      <c r="AY130" s="534"/>
      <c r="AZ130" s="534"/>
      <c r="BA130" s="534"/>
      <c r="BB130" s="534"/>
      <c r="BC130" s="534"/>
      <c r="BD130" s="534"/>
      <c r="BE130" s="534"/>
      <c r="BF130" s="534"/>
      <c r="BG130" s="534"/>
      <c r="BH130" s="534"/>
      <c r="BI130" s="534"/>
      <c r="BJ130" s="534"/>
      <c r="BK130" s="534"/>
      <c r="BL130" s="534"/>
      <c r="BM130" s="534"/>
      <c r="BN130" s="534"/>
      <c r="BO130" s="534"/>
      <c r="BP130" s="534"/>
      <c r="BQ130" s="534"/>
      <c r="BR130" s="534"/>
      <c r="BS130" s="534"/>
      <c r="BT130" s="534"/>
      <c r="BU130" s="534"/>
      <c r="BV130" s="534"/>
      <c r="BW130" s="534"/>
      <c r="BX130" s="534"/>
      <c r="BY130" s="534"/>
      <c r="BZ130" s="534"/>
      <c r="CA130" s="534"/>
      <c r="CB130" s="534"/>
      <c r="CC130" s="534"/>
      <c r="CD130" s="534"/>
      <c r="CE130" s="534"/>
      <c r="CF130" s="534"/>
      <c r="CG130" s="534"/>
      <c r="CH130" s="534"/>
      <c r="CI130" s="534"/>
      <c r="CJ130" s="534"/>
      <c r="CK130" s="534"/>
      <c r="CL130" s="534"/>
      <c r="CM130" s="534"/>
      <c r="CN130" s="534"/>
      <c r="CO130" s="534"/>
      <c r="CP130" s="534"/>
      <c r="CQ130" s="534"/>
      <c r="CR130" s="534"/>
      <c r="CS130" s="534"/>
      <c r="CT130" s="534"/>
    </row>
    <row r="131" spans="1:98">
      <c r="A131" s="518" t="s">
        <v>207</v>
      </c>
      <c r="B131" s="538">
        <v>1210450900</v>
      </c>
      <c r="C131" s="538">
        <v>1076455780</v>
      </c>
      <c r="D131" s="538">
        <v>1417822500</v>
      </c>
      <c r="E131" s="539">
        <v>2628273400</v>
      </c>
      <c r="F131" s="539">
        <v>2494278280</v>
      </c>
      <c r="G131" s="538">
        <v>11065269.890000001</v>
      </c>
      <c r="H131" s="519">
        <v>2012</v>
      </c>
      <c r="I131" s="533"/>
      <c r="J131" s="533"/>
      <c r="K131" s="533"/>
      <c r="N131" s="540"/>
      <c r="O131" s="540"/>
      <c r="P131" s="540"/>
      <c r="Q131" s="540"/>
      <c r="R131" s="540"/>
      <c r="S131" s="540"/>
      <c r="T131" s="541"/>
      <c r="W131" s="542"/>
      <c r="X131" s="542"/>
      <c r="Y131" s="542"/>
      <c r="Z131" s="542"/>
      <c r="AA131" s="542"/>
      <c r="AB131" s="542"/>
      <c r="AC131" s="542"/>
    </row>
    <row r="132" spans="1:98">
      <c r="A132" s="518" t="s">
        <v>209</v>
      </c>
      <c r="B132" s="538">
        <v>494475390</v>
      </c>
      <c r="C132" s="538">
        <v>491438549</v>
      </c>
      <c r="D132" s="538">
        <v>1543510700</v>
      </c>
      <c r="E132" s="539">
        <v>2037986090</v>
      </c>
      <c r="F132" s="539">
        <v>2034949249</v>
      </c>
      <c r="G132" s="538">
        <v>11599210.719299998</v>
      </c>
      <c r="H132" s="519">
        <v>2012</v>
      </c>
      <c r="I132" s="533"/>
      <c r="J132" s="533"/>
      <c r="K132" s="533"/>
      <c r="N132" s="540"/>
      <c r="O132" s="540"/>
      <c r="P132" s="540"/>
      <c r="Q132" s="540"/>
      <c r="R132" s="540"/>
      <c r="S132" s="540"/>
      <c r="T132" s="541"/>
      <c r="W132" s="542"/>
      <c r="X132" s="542"/>
      <c r="Y132" s="542"/>
      <c r="Z132" s="542"/>
      <c r="AA132" s="542"/>
      <c r="AB132" s="542"/>
      <c r="AC132" s="542"/>
    </row>
    <row r="133" spans="1:98">
      <c r="A133" s="518" t="s">
        <v>211</v>
      </c>
      <c r="B133" s="538">
        <v>1072030500</v>
      </c>
      <c r="C133" s="538">
        <v>815963619</v>
      </c>
      <c r="D133" s="538">
        <v>1420105900</v>
      </c>
      <c r="E133" s="539">
        <v>2492136400</v>
      </c>
      <c r="F133" s="539">
        <v>2236069519</v>
      </c>
      <c r="G133" s="538">
        <v>9838705.8836000003</v>
      </c>
      <c r="H133" s="519">
        <v>2012</v>
      </c>
      <c r="I133" s="533"/>
      <c r="J133" s="533"/>
      <c r="K133" s="533"/>
      <c r="N133" s="540"/>
      <c r="O133" s="540"/>
      <c r="P133" s="540"/>
      <c r="Q133" s="540"/>
      <c r="R133" s="540"/>
      <c r="S133" s="540"/>
      <c r="T133" s="541"/>
      <c r="W133" s="542"/>
      <c r="X133" s="542"/>
      <c r="Y133" s="542"/>
      <c r="Z133" s="542"/>
      <c r="AA133" s="542"/>
      <c r="AB133" s="542"/>
      <c r="AC133" s="542"/>
    </row>
    <row r="134" spans="1:98">
      <c r="A134" s="518" t="s">
        <v>213</v>
      </c>
      <c r="B134" s="538">
        <v>3352225823</v>
      </c>
      <c r="C134" s="538">
        <v>3323865223</v>
      </c>
      <c r="D134" s="538">
        <v>5333449800</v>
      </c>
      <c r="E134" s="539">
        <v>8685675623</v>
      </c>
      <c r="F134" s="539">
        <v>8657315023</v>
      </c>
      <c r="G134" s="538">
        <v>64193990.895545006</v>
      </c>
      <c r="H134" s="519">
        <v>2012</v>
      </c>
      <c r="I134" s="533"/>
      <c r="J134" s="533"/>
      <c r="K134" s="533"/>
      <c r="O134" s="546"/>
      <c r="P134" s="546"/>
      <c r="T134" s="541"/>
      <c r="W134" s="542"/>
      <c r="X134" s="542"/>
      <c r="Y134" s="542"/>
      <c r="Z134" s="542"/>
      <c r="AA134" s="542"/>
      <c r="AB134" s="542"/>
      <c r="AC134" s="542"/>
    </row>
    <row r="135" spans="1:98">
      <c r="C135" s="555"/>
      <c r="D135" s="555"/>
      <c r="I135" s="529"/>
      <c r="J135" s="529"/>
      <c r="K135" s="529"/>
      <c r="O135" s="546"/>
      <c r="P135" s="546"/>
      <c r="T135" s="541"/>
      <c r="W135" s="542"/>
      <c r="X135" s="542"/>
      <c r="Y135" s="542"/>
      <c r="Z135" s="542"/>
      <c r="AA135" s="542"/>
      <c r="AB135" s="542"/>
      <c r="AC135" s="542"/>
    </row>
    <row r="136" spans="1:98" s="563" customFormat="1" ht="12.75" customHeight="1">
      <c r="A136" s="556" t="s">
        <v>34</v>
      </c>
      <c r="B136" s="557">
        <f>SUM(B7:B134)</f>
        <v>284290183231</v>
      </c>
      <c r="C136" s="557">
        <f>SUM(C7:C134)</f>
        <v>256071765990</v>
      </c>
      <c r="D136" s="557">
        <f t="shared" ref="D136:F136" si="0">SUM(D7:D134)</f>
        <v>453857977165</v>
      </c>
      <c r="E136" s="557">
        <f t="shared" si="0"/>
        <v>738148160396</v>
      </c>
      <c r="F136" s="557">
        <f t="shared" si="0"/>
        <v>709929743155</v>
      </c>
      <c r="G136" s="557">
        <f>SUM(G7:G134)</f>
        <v>6504941997.5151901</v>
      </c>
      <c r="H136" s="558"/>
      <c r="I136" s="559"/>
      <c r="J136" s="559"/>
      <c r="K136" s="559"/>
      <c r="L136" s="560"/>
      <c r="M136" s="561"/>
      <c r="N136" s="562"/>
      <c r="O136" s="562"/>
      <c r="P136" s="562"/>
      <c r="Q136" s="562"/>
      <c r="R136" s="562"/>
      <c r="S136" s="562"/>
      <c r="T136" s="561"/>
      <c r="U136" s="560"/>
      <c r="V136" s="520"/>
      <c r="W136" s="542"/>
      <c r="X136" s="542"/>
      <c r="Y136" s="542"/>
      <c r="Z136" s="542"/>
      <c r="AA136" s="542"/>
      <c r="AB136" s="542"/>
      <c r="AC136" s="542"/>
      <c r="AD136" s="560"/>
      <c r="AE136" s="560"/>
      <c r="AF136" s="560"/>
      <c r="AG136" s="560"/>
      <c r="AH136" s="560"/>
      <c r="AI136" s="560"/>
      <c r="AJ136" s="560"/>
      <c r="AK136" s="560"/>
      <c r="AL136" s="560"/>
      <c r="AM136" s="560"/>
      <c r="AN136" s="560"/>
      <c r="AO136" s="560"/>
      <c r="AP136" s="560"/>
      <c r="AQ136" s="560"/>
      <c r="AR136" s="560"/>
      <c r="AS136" s="560"/>
      <c r="AT136" s="560"/>
      <c r="AU136" s="560"/>
      <c r="AV136" s="560"/>
      <c r="AW136" s="560"/>
      <c r="AX136" s="560"/>
      <c r="AY136" s="560"/>
      <c r="AZ136" s="560"/>
      <c r="BA136" s="560"/>
      <c r="BB136" s="560"/>
      <c r="BC136" s="560"/>
      <c r="BD136" s="560"/>
      <c r="BE136" s="560"/>
      <c r="BF136" s="560"/>
      <c r="BG136" s="560"/>
      <c r="BH136" s="560"/>
      <c r="BI136" s="560"/>
      <c r="BJ136" s="560"/>
      <c r="BK136" s="560"/>
      <c r="BL136" s="560"/>
      <c r="BM136" s="560"/>
      <c r="BN136" s="560"/>
      <c r="BO136" s="560"/>
      <c r="BP136" s="560"/>
      <c r="BQ136" s="560"/>
      <c r="BR136" s="560"/>
      <c r="BS136" s="560"/>
      <c r="BT136" s="560"/>
      <c r="BU136" s="560"/>
      <c r="BV136" s="560"/>
      <c r="BW136" s="560"/>
      <c r="BX136" s="560"/>
      <c r="BY136" s="560"/>
      <c r="BZ136" s="560"/>
      <c r="CA136" s="560"/>
      <c r="CB136" s="560"/>
      <c r="CC136" s="560"/>
      <c r="CD136" s="560"/>
      <c r="CE136" s="560"/>
      <c r="CF136" s="560"/>
      <c r="CG136" s="560"/>
      <c r="CH136" s="560"/>
      <c r="CI136" s="560"/>
      <c r="CJ136" s="560"/>
      <c r="CK136" s="560"/>
      <c r="CL136" s="560"/>
      <c r="CM136" s="560"/>
      <c r="CN136" s="560"/>
      <c r="CO136" s="560"/>
      <c r="CP136" s="560"/>
      <c r="CQ136" s="560"/>
      <c r="CR136" s="560"/>
      <c r="CS136" s="560"/>
      <c r="CT136" s="560"/>
    </row>
    <row r="137" spans="1:98">
      <c r="I137" s="529"/>
      <c r="J137" s="529"/>
      <c r="K137" s="529"/>
      <c r="T137" s="541"/>
      <c r="W137" s="542"/>
      <c r="X137" s="542"/>
      <c r="Y137" s="542"/>
      <c r="Z137" s="542"/>
      <c r="AA137" s="542"/>
      <c r="AB137" s="542"/>
      <c r="AC137" s="542"/>
    </row>
    <row r="138" spans="1:98" ht="12" thickBot="1">
      <c r="B138" s="550"/>
      <c r="C138" s="550"/>
      <c r="D138" s="550"/>
      <c r="E138" s="550"/>
      <c r="F138" s="550"/>
      <c r="G138" s="550"/>
      <c r="I138" s="529"/>
      <c r="J138" s="529"/>
      <c r="K138" s="529"/>
      <c r="N138" s="564"/>
      <c r="O138" s="564"/>
      <c r="P138" s="564"/>
      <c r="Q138" s="564"/>
      <c r="R138" s="564"/>
      <c r="S138" s="564"/>
      <c r="T138" s="541"/>
      <c r="W138" s="542"/>
      <c r="X138" s="542"/>
      <c r="Y138" s="542"/>
      <c r="Z138" s="542"/>
      <c r="AA138" s="542"/>
      <c r="AB138" s="542"/>
      <c r="AC138" s="542"/>
    </row>
    <row r="139" spans="1:98">
      <c r="A139" s="565"/>
      <c r="B139" s="565"/>
      <c r="C139" s="565"/>
      <c r="D139" s="565"/>
      <c r="E139" s="565"/>
      <c r="F139" s="565"/>
      <c r="G139" s="565"/>
      <c r="H139" s="566"/>
      <c r="I139" s="529"/>
      <c r="J139" s="529"/>
      <c r="K139" s="529"/>
      <c r="W139" s="542"/>
      <c r="X139" s="542"/>
      <c r="Y139" s="542"/>
      <c r="Z139" s="542"/>
      <c r="AA139" s="542"/>
      <c r="AB139" s="542"/>
      <c r="AC139" s="542"/>
    </row>
    <row r="140" spans="1:98" s="568" customFormat="1" ht="12">
      <c r="A140" s="525" t="s">
        <v>35</v>
      </c>
      <c r="B140" s="525" t="s">
        <v>932</v>
      </c>
      <c r="C140" s="525" t="s">
        <v>933</v>
      </c>
      <c r="D140" s="525" t="s">
        <v>934</v>
      </c>
      <c r="E140" s="525" t="s">
        <v>935</v>
      </c>
      <c r="F140" s="525" t="s">
        <v>936</v>
      </c>
      <c r="G140" s="525" t="s">
        <v>937</v>
      </c>
      <c r="H140" s="526" t="s">
        <v>938</v>
      </c>
      <c r="I140" s="567"/>
      <c r="J140" s="567"/>
      <c r="K140" s="567"/>
      <c r="L140" s="521"/>
      <c r="M140" s="528"/>
      <c r="N140" s="528"/>
      <c r="O140" s="528"/>
      <c r="P140" s="528"/>
      <c r="Q140" s="528"/>
      <c r="R140" s="528"/>
      <c r="S140" s="528"/>
      <c r="T140" s="528"/>
      <c r="U140" s="521"/>
      <c r="V140" s="520"/>
      <c r="W140" s="542"/>
      <c r="X140" s="542"/>
      <c r="Y140" s="542"/>
      <c r="Z140" s="542"/>
      <c r="AA140" s="542"/>
      <c r="AB140" s="542"/>
      <c r="AC140" s="542"/>
      <c r="AD140" s="521"/>
      <c r="AE140" s="521"/>
      <c r="AF140" s="521"/>
      <c r="AG140" s="521"/>
      <c r="AH140" s="521"/>
      <c r="AI140" s="521"/>
      <c r="AJ140" s="521"/>
      <c r="AK140" s="521"/>
      <c r="AL140" s="521"/>
      <c r="AM140" s="521"/>
      <c r="AN140" s="521"/>
      <c r="AO140" s="521"/>
      <c r="AP140" s="521"/>
      <c r="AQ140" s="521"/>
      <c r="AR140" s="521"/>
      <c r="AS140" s="521"/>
      <c r="AT140" s="521"/>
      <c r="AU140" s="521"/>
      <c r="AV140" s="521"/>
      <c r="AW140" s="521"/>
      <c r="AX140" s="521"/>
      <c r="AY140" s="521"/>
      <c r="AZ140" s="521"/>
      <c r="BA140" s="521"/>
      <c r="BB140" s="521"/>
      <c r="BC140" s="521"/>
      <c r="BD140" s="521"/>
      <c r="BE140" s="521"/>
      <c r="BF140" s="521"/>
      <c r="BG140" s="521"/>
      <c r="BH140" s="521"/>
      <c r="BI140" s="521"/>
      <c r="BJ140" s="521"/>
      <c r="BK140" s="521"/>
      <c r="BL140" s="521"/>
      <c r="BM140" s="521"/>
      <c r="BN140" s="521"/>
      <c r="BO140" s="521"/>
      <c r="BP140" s="521"/>
      <c r="BQ140" s="521"/>
      <c r="BR140" s="521"/>
      <c r="BS140" s="521"/>
      <c r="BT140" s="521"/>
      <c r="BU140" s="521"/>
      <c r="BV140" s="521"/>
      <c r="BW140" s="521"/>
      <c r="BX140" s="521"/>
      <c r="BY140" s="521"/>
      <c r="BZ140" s="521"/>
      <c r="CA140" s="521"/>
      <c r="CB140" s="521"/>
      <c r="CC140" s="521"/>
      <c r="CD140" s="521"/>
      <c r="CE140" s="521"/>
      <c r="CF140" s="521"/>
      <c r="CG140" s="521"/>
      <c r="CH140" s="521"/>
      <c r="CI140" s="521"/>
      <c r="CJ140" s="521"/>
      <c r="CK140" s="521"/>
      <c r="CL140" s="521"/>
      <c r="CM140" s="521"/>
      <c r="CN140" s="521"/>
      <c r="CO140" s="521"/>
      <c r="CP140" s="521"/>
      <c r="CQ140" s="521"/>
      <c r="CR140" s="521"/>
      <c r="CS140" s="521"/>
      <c r="CT140" s="521"/>
    </row>
    <row r="141" spans="1:98" s="568" customFormat="1" ht="8.25" customHeight="1">
      <c r="A141" s="528"/>
      <c r="B141" s="528"/>
      <c r="C141" s="528"/>
      <c r="D141" s="528"/>
      <c r="E141" s="528"/>
      <c r="F141" s="528"/>
      <c r="G141" s="528"/>
      <c r="H141" s="569"/>
      <c r="I141" s="567"/>
      <c r="J141" s="567"/>
      <c r="K141" s="567"/>
      <c r="L141" s="521"/>
      <c r="M141" s="528"/>
      <c r="N141" s="528"/>
      <c r="O141" s="528"/>
      <c r="P141" s="528"/>
      <c r="Q141" s="528"/>
      <c r="R141" s="528"/>
      <c r="S141" s="528"/>
      <c r="T141" s="528"/>
      <c r="U141" s="521"/>
      <c r="V141" s="520"/>
      <c r="W141" s="542"/>
      <c r="X141" s="542"/>
      <c r="Y141" s="542"/>
      <c r="Z141" s="542"/>
      <c r="AA141" s="542"/>
      <c r="AB141" s="542"/>
      <c r="AC141" s="542"/>
      <c r="AD141" s="521"/>
      <c r="AE141" s="521"/>
      <c r="AF141" s="521"/>
      <c r="AG141" s="521"/>
      <c r="AH141" s="521"/>
      <c r="AI141" s="521"/>
      <c r="AJ141" s="521"/>
      <c r="AK141" s="521"/>
      <c r="AL141" s="521"/>
      <c r="AM141" s="521"/>
      <c r="AN141" s="521"/>
      <c r="AO141" s="521"/>
      <c r="AP141" s="521"/>
      <c r="AQ141" s="521"/>
      <c r="AR141" s="521"/>
      <c r="AS141" s="521"/>
      <c r="AT141" s="521"/>
      <c r="AU141" s="521"/>
      <c r="AV141" s="521"/>
      <c r="AW141" s="521"/>
      <c r="AX141" s="521"/>
      <c r="AY141" s="521"/>
      <c r="AZ141" s="521"/>
      <c r="BA141" s="521"/>
      <c r="BB141" s="521"/>
      <c r="BC141" s="521"/>
      <c r="BD141" s="521"/>
      <c r="BE141" s="521"/>
      <c r="BF141" s="521"/>
      <c r="BG141" s="521"/>
      <c r="BH141" s="521"/>
      <c r="BI141" s="521"/>
      <c r="BJ141" s="521"/>
      <c r="BK141" s="521"/>
      <c r="BL141" s="521"/>
      <c r="BM141" s="521"/>
      <c r="BN141" s="521"/>
      <c r="BO141" s="521"/>
      <c r="BP141" s="521"/>
      <c r="BQ141" s="521"/>
      <c r="BR141" s="521"/>
      <c r="BS141" s="521"/>
      <c r="BT141" s="521"/>
      <c r="BU141" s="521"/>
      <c r="BV141" s="521"/>
      <c r="BW141" s="521"/>
      <c r="BX141" s="521"/>
      <c r="BY141" s="521"/>
      <c r="BZ141" s="521"/>
      <c r="CA141" s="521"/>
      <c r="CB141" s="521"/>
      <c r="CC141" s="521"/>
      <c r="CD141" s="521"/>
      <c r="CE141" s="521"/>
      <c r="CF141" s="521"/>
      <c r="CG141" s="521"/>
      <c r="CH141" s="521"/>
      <c r="CI141" s="521"/>
      <c r="CJ141" s="521"/>
      <c r="CK141" s="521"/>
      <c r="CL141" s="521"/>
      <c r="CM141" s="521"/>
      <c r="CN141" s="521"/>
      <c r="CO141" s="521"/>
      <c r="CP141" s="521"/>
      <c r="CQ141" s="521"/>
      <c r="CR141" s="521"/>
      <c r="CS141" s="521"/>
      <c r="CT141" s="521"/>
    </row>
    <row r="142" spans="1:98" s="529" customFormat="1" ht="12" customHeight="1">
      <c r="A142" s="529" t="s">
        <v>218</v>
      </c>
      <c r="B142" s="530">
        <v>13216328708</v>
      </c>
      <c r="C142" s="530">
        <v>13216328708</v>
      </c>
      <c r="D142" s="530">
        <v>19673894751</v>
      </c>
      <c r="E142" s="531">
        <v>32890223459</v>
      </c>
      <c r="F142" s="531">
        <v>32890223459</v>
      </c>
      <c r="G142" s="530">
        <v>328244430.12081999</v>
      </c>
      <c r="H142" s="532">
        <v>2012</v>
      </c>
      <c r="I142" s="533"/>
      <c r="J142" s="533"/>
      <c r="K142" s="533"/>
      <c r="L142" s="534"/>
      <c r="M142" s="534"/>
      <c r="N142" s="535"/>
      <c r="O142" s="535"/>
      <c r="P142" s="535"/>
      <c r="Q142" s="535"/>
      <c r="R142" s="535"/>
      <c r="S142" s="535"/>
      <c r="T142" s="536"/>
      <c r="U142" s="534"/>
      <c r="V142" s="534"/>
      <c r="W142" s="537"/>
      <c r="X142" s="537"/>
      <c r="Y142" s="537"/>
      <c r="Z142" s="537"/>
      <c r="AA142" s="537"/>
      <c r="AB142" s="537"/>
      <c r="AC142" s="537"/>
      <c r="AD142" s="534"/>
      <c r="AE142" s="534"/>
      <c r="AF142" s="534"/>
      <c r="AG142" s="534"/>
      <c r="AH142" s="534"/>
      <c r="AI142" s="534"/>
      <c r="AJ142" s="534"/>
      <c r="AK142" s="534"/>
      <c r="AL142" s="534"/>
      <c r="AM142" s="534"/>
      <c r="AN142" s="534"/>
      <c r="AO142" s="534"/>
      <c r="AP142" s="534"/>
      <c r="AQ142" s="534"/>
      <c r="AR142" s="534"/>
      <c r="AS142" s="534"/>
      <c r="AT142" s="534"/>
      <c r="AU142" s="534"/>
      <c r="AV142" s="534"/>
      <c r="AW142" s="534"/>
      <c r="AX142" s="534"/>
      <c r="AY142" s="534"/>
      <c r="AZ142" s="534"/>
      <c r="BA142" s="534"/>
      <c r="BB142" s="534"/>
      <c r="BC142" s="534"/>
      <c r="BD142" s="534"/>
      <c r="BE142" s="534"/>
      <c r="BF142" s="534"/>
      <c r="BG142" s="534"/>
      <c r="BH142" s="534"/>
      <c r="BI142" s="534"/>
      <c r="BJ142" s="534"/>
      <c r="BK142" s="534"/>
      <c r="BL142" s="534"/>
      <c r="BM142" s="534"/>
      <c r="BN142" s="534"/>
      <c r="BO142" s="534"/>
      <c r="BP142" s="534"/>
      <c r="BQ142" s="534"/>
      <c r="BR142" s="534"/>
      <c r="BS142" s="534"/>
      <c r="BT142" s="534"/>
      <c r="BU142" s="534"/>
      <c r="BV142" s="534"/>
      <c r="BW142" s="534"/>
      <c r="BX142" s="534"/>
      <c r="BY142" s="534"/>
      <c r="BZ142" s="534"/>
      <c r="CA142" s="534"/>
      <c r="CB142" s="534"/>
      <c r="CC142" s="534"/>
      <c r="CD142" s="534"/>
      <c r="CE142" s="534"/>
      <c r="CF142" s="534"/>
      <c r="CG142" s="534"/>
      <c r="CH142" s="534"/>
      <c r="CI142" s="534"/>
      <c r="CJ142" s="534"/>
      <c r="CK142" s="534"/>
      <c r="CL142" s="534"/>
      <c r="CM142" s="534"/>
      <c r="CN142" s="534"/>
      <c r="CO142" s="534"/>
      <c r="CP142" s="534"/>
      <c r="CQ142" s="534"/>
      <c r="CR142" s="534"/>
      <c r="CS142" s="534"/>
      <c r="CT142" s="534"/>
    </row>
    <row r="143" spans="1:98" ht="11.25" customHeight="1">
      <c r="A143" s="518" t="s">
        <v>117</v>
      </c>
      <c r="B143" s="538">
        <v>103062200</v>
      </c>
      <c r="C143" s="538">
        <v>103062200</v>
      </c>
      <c r="D143" s="538">
        <v>324351800</v>
      </c>
      <c r="E143" s="539">
        <v>427414000</v>
      </c>
      <c r="F143" s="539">
        <v>427414000</v>
      </c>
      <c r="G143" s="538">
        <v>3675760.4</v>
      </c>
      <c r="H143" s="519" t="s">
        <v>1115</v>
      </c>
      <c r="I143" s="533"/>
      <c r="J143" s="533"/>
      <c r="K143" s="533"/>
      <c r="N143" s="540"/>
      <c r="O143" s="540"/>
      <c r="P143" s="540"/>
      <c r="Q143" s="540"/>
      <c r="R143" s="540"/>
      <c r="S143" s="540"/>
      <c r="T143" s="541"/>
      <c r="W143" s="542"/>
      <c r="X143" s="542"/>
      <c r="Y143" s="542"/>
      <c r="Z143" s="542"/>
      <c r="AA143" s="542"/>
      <c r="AB143" s="542"/>
      <c r="AC143" s="542"/>
    </row>
    <row r="144" spans="1:98" s="529" customFormat="1" ht="12" customHeight="1">
      <c r="A144" s="529" t="s">
        <v>220</v>
      </c>
      <c r="B144" s="543">
        <v>276826850</v>
      </c>
      <c r="C144" s="543">
        <v>276826850</v>
      </c>
      <c r="D144" s="543">
        <v>778502400</v>
      </c>
      <c r="E144" s="544">
        <v>1055329250</v>
      </c>
      <c r="F144" s="544">
        <v>1055329250</v>
      </c>
      <c r="G144" s="543">
        <v>10447759.574999999</v>
      </c>
      <c r="H144" s="532">
        <v>2012</v>
      </c>
      <c r="I144" s="533"/>
      <c r="J144" s="533"/>
      <c r="K144" s="533"/>
      <c r="L144" s="534"/>
      <c r="M144" s="534"/>
      <c r="N144" s="545"/>
      <c r="O144" s="545"/>
      <c r="P144" s="545"/>
      <c r="Q144" s="545"/>
      <c r="R144" s="545"/>
      <c r="S144" s="545"/>
      <c r="T144" s="536"/>
      <c r="U144" s="534"/>
      <c r="V144" s="534"/>
      <c r="W144" s="537"/>
      <c r="X144" s="537"/>
      <c r="Y144" s="537"/>
      <c r="Z144" s="537"/>
      <c r="AA144" s="537"/>
      <c r="AB144" s="537"/>
      <c r="AC144" s="537"/>
      <c r="AD144" s="534"/>
      <c r="AE144" s="534"/>
      <c r="AF144" s="534"/>
      <c r="AG144" s="534"/>
      <c r="AH144" s="534"/>
      <c r="AI144" s="534"/>
      <c r="AJ144" s="534"/>
      <c r="AK144" s="534"/>
      <c r="AL144" s="534"/>
      <c r="AM144" s="534"/>
      <c r="AN144" s="534"/>
      <c r="AO144" s="534"/>
      <c r="AP144" s="534"/>
      <c r="AQ144" s="534"/>
      <c r="AR144" s="534"/>
      <c r="AS144" s="534"/>
      <c r="AT144" s="534"/>
      <c r="AU144" s="534"/>
      <c r="AV144" s="534"/>
      <c r="AW144" s="534"/>
      <c r="AX144" s="534"/>
      <c r="AY144" s="534"/>
      <c r="AZ144" s="534"/>
      <c r="BA144" s="534"/>
      <c r="BB144" s="534"/>
      <c r="BC144" s="534"/>
      <c r="BD144" s="534"/>
      <c r="BE144" s="534"/>
      <c r="BF144" s="534"/>
      <c r="BG144" s="534"/>
      <c r="BH144" s="534"/>
      <c r="BI144" s="534"/>
      <c r="BJ144" s="534"/>
      <c r="BK144" s="534"/>
      <c r="BL144" s="534"/>
      <c r="BM144" s="534"/>
      <c r="BN144" s="534"/>
      <c r="BO144" s="534"/>
      <c r="BP144" s="534"/>
      <c r="BQ144" s="534"/>
      <c r="BR144" s="534"/>
      <c r="BS144" s="534"/>
      <c r="BT144" s="534"/>
      <c r="BU144" s="534"/>
      <c r="BV144" s="534"/>
      <c r="BW144" s="534"/>
      <c r="BX144" s="534"/>
      <c r="BY144" s="534"/>
      <c r="BZ144" s="534"/>
      <c r="CA144" s="534"/>
      <c r="CB144" s="534"/>
      <c r="CC144" s="534"/>
      <c r="CD144" s="534"/>
      <c r="CE144" s="534"/>
      <c r="CF144" s="534"/>
      <c r="CG144" s="534"/>
      <c r="CH144" s="534"/>
      <c r="CI144" s="534"/>
      <c r="CJ144" s="534"/>
      <c r="CK144" s="534"/>
      <c r="CL144" s="534"/>
      <c r="CM144" s="534"/>
      <c r="CN144" s="534"/>
      <c r="CO144" s="534"/>
      <c r="CP144" s="534"/>
      <c r="CQ144" s="534"/>
      <c r="CR144" s="534"/>
      <c r="CS144" s="534"/>
      <c r="CT144" s="534"/>
    </row>
    <row r="145" spans="1:98" ht="12" customHeight="1">
      <c r="A145" s="518" t="s">
        <v>222</v>
      </c>
      <c r="B145" s="538">
        <v>83983600</v>
      </c>
      <c r="C145" s="538">
        <v>83846300</v>
      </c>
      <c r="D145" s="538">
        <v>285920000</v>
      </c>
      <c r="E145" s="539">
        <v>369903600</v>
      </c>
      <c r="F145" s="539">
        <v>369766300</v>
      </c>
      <c r="G145" s="538">
        <v>3956499.41</v>
      </c>
      <c r="H145" s="519" t="s">
        <v>1115</v>
      </c>
      <c r="I145" s="533"/>
      <c r="J145" s="533"/>
      <c r="K145" s="533"/>
      <c r="N145" s="540"/>
      <c r="O145" s="540"/>
      <c r="P145" s="540"/>
      <c r="Q145" s="540"/>
      <c r="R145" s="540"/>
      <c r="S145" s="540"/>
      <c r="T145" s="541"/>
      <c r="W145" s="542"/>
      <c r="X145" s="542"/>
      <c r="Y145" s="542"/>
      <c r="Z145" s="542"/>
      <c r="AA145" s="542"/>
      <c r="AB145" s="542"/>
      <c r="AC145" s="542"/>
    </row>
    <row r="146" spans="1:98" s="529" customFormat="1" ht="12" customHeight="1">
      <c r="A146" s="529" t="s">
        <v>224</v>
      </c>
      <c r="B146" s="543">
        <v>1472340100</v>
      </c>
      <c r="C146" s="543">
        <v>1472340100</v>
      </c>
      <c r="D146" s="543">
        <v>3808680900</v>
      </c>
      <c r="E146" s="544">
        <v>5281021000</v>
      </c>
      <c r="F146" s="544">
        <v>5281021000</v>
      </c>
      <c r="G146" s="543">
        <v>50169699.5</v>
      </c>
      <c r="H146" s="532">
        <v>2012</v>
      </c>
      <c r="I146" s="533"/>
      <c r="J146" s="533"/>
      <c r="K146" s="533"/>
      <c r="L146" s="534"/>
      <c r="M146" s="534"/>
      <c r="N146" s="545"/>
      <c r="O146" s="545"/>
      <c r="P146" s="545"/>
      <c r="Q146" s="545"/>
      <c r="R146" s="545"/>
      <c r="S146" s="545"/>
      <c r="T146" s="536"/>
      <c r="U146" s="534"/>
      <c r="V146" s="534"/>
      <c r="W146" s="537"/>
      <c r="X146" s="537"/>
      <c r="Y146" s="537"/>
      <c r="Z146" s="537"/>
      <c r="AA146" s="537"/>
      <c r="AB146" s="537"/>
      <c r="AC146" s="537"/>
      <c r="AD146" s="534"/>
      <c r="AE146" s="534"/>
      <c r="AF146" s="534"/>
      <c r="AG146" s="534"/>
      <c r="AH146" s="534"/>
      <c r="AI146" s="534"/>
      <c r="AJ146" s="534"/>
      <c r="AK146" s="534"/>
      <c r="AL146" s="534"/>
      <c r="AM146" s="534"/>
      <c r="AN146" s="534"/>
      <c r="AO146" s="534"/>
      <c r="AP146" s="534"/>
      <c r="AQ146" s="534"/>
      <c r="AR146" s="534"/>
      <c r="AS146" s="534"/>
      <c r="AT146" s="534"/>
      <c r="AU146" s="534"/>
      <c r="AV146" s="534"/>
      <c r="AW146" s="534"/>
      <c r="AX146" s="534"/>
      <c r="AY146" s="534"/>
      <c r="AZ146" s="534"/>
      <c r="BA146" s="534"/>
      <c r="BB146" s="534"/>
      <c r="BC146" s="534"/>
      <c r="BD146" s="534"/>
      <c r="BE146" s="534"/>
      <c r="BF146" s="534"/>
      <c r="BG146" s="534"/>
      <c r="BH146" s="534"/>
      <c r="BI146" s="534"/>
      <c r="BJ146" s="534"/>
      <c r="BK146" s="534"/>
      <c r="BL146" s="534"/>
      <c r="BM146" s="534"/>
      <c r="BN146" s="534"/>
      <c r="BO146" s="534"/>
      <c r="BP146" s="534"/>
      <c r="BQ146" s="534"/>
      <c r="BR146" s="534"/>
      <c r="BS146" s="534"/>
      <c r="BT146" s="534"/>
      <c r="BU146" s="534"/>
      <c r="BV146" s="534"/>
      <c r="BW146" s="534"/>
      <c r="BX146" s="534"/>
      <c r="BY146" s="534"/>
      <c r="BZ146" s="534"/>
      <c r="CA146" s="534"/>
      <c r="CB146" s="534"/>
      <c r="CC146" s="534"/>
      <c r="CD146" s="534"/>
      <c r="CE146" s="534"/>
      <c r="CF146" s="534"/>
      <c r="CG146" s="534"/>
      <c r="CH146" s="534"/>
      <c r="CI146" s="534"/>
      <c r="CJ146" s="534"/>
      <c r="CK146" s="534"/>
      <c r="CL146" s="534"/>
      <c r="CM146" s="534"/>
      <c r="CN146" s="534"/>
      <c r="CO146" s="534"/>
      <c r="CP146" s="534"/>
      <c r="CQ146" s="534"/>
      <c r="CR146" s="534"/>
      <c r="CS146" s="534"/>
      <c r="CT146" s="534"/>
    </row>
    <row r="147" spans="1:98" ht="9" customHeight="1">
      <c r="B147" s="538"/>
      <c r="C147" s="538"/>
      <c r="D147" s="538"/>
      <c r="E147" s="539"/>
      <c r="F147" s="539"/>
      <c r="G147" s="538"/>
      <c r="I147" s="529"/>
      <c r="J147" s="529"/>
      <c r="K147" s="529"/>
      <c r="N147" s="540"/>
      <c r="O147" s="540"/>
      <c r="P147" s="540"/>
      <c r="Q147" s="540"/>
      <c r="R147" s="540"/>
      <c r="S147" s="540"/>
      <c r="T147" s="541"/>
      <c r="W147" s="542"/>
      <c r="X147" s="542"/>
      <c r="Y147" s="542"/>
      <c r="Z147" s="542"/>
      <c r="AA147" s="542"/>
      <c r="AB147" s="542"/>
      <c r="AC147" s="542"/>
    </row>
    <row r="148" spans="1:98" ht="12" customHeight="1">
      <c r="A148" s="518" t="s">
        <v>169</v>
      </c>
      <c r="B148" s="538">
        <v>8204981134</v>
      </c>
      <c r="C148" s="538">
        <v>8204981134</v>
      </c>
      <c r="D148" s="538">
        <v>13959628100</v>
      </c>
      <c r="E148" s="539">
        <v>22164609234</v>
      </c>
      <c r="F148" s="539">
        <v>22164609234</v>
      </c>
      <c r="G148" s="538">
        <v>232728396.95700002</v>
      </c>
      <c r="H148" s="519" t="s">
        <v>1115</v>
      </c>
      <c r="I148" s="533"/>
      <c r="J148" s="533"/>
      <c r="K148" s="533"/>
      <c r="N148" s="540"/>
      <c r="O148" s="540"/>
      <c r="P148" s="540"/>
      <c r="Q148" s="540"/>
      <c r="R148" s="540"/>
      <c r="S148" s="540"/>
      <c r="T148" s="541"/>
      <c r="W148" s="542"/>
      <c r="X148" s="542"/>
      <c r="Y148" s="542"/>
      <c r="Z148" s="542"/>
      <c r="AA148" s="542"/>
      <c r="AB148" s="542"/>
      <c r="AC148" s="542"/>
    </row>
    <row r="149" spans="1:98" ht="12" customHeight="1">
      <c r="A149" s="518" t="s">
        <v>171</v>
      </c>
      <c r="B149" s="538">
        <v>544879000</v>
      </c>
      <c r="C149" s="538">
        <v>544879000</v>
      </c>
      <c r="D149" s="538">
        <v>1072519300</v>
      </c>
      <c r="E149" s="539">
        <v>1617398300</v>
      </c>
      <c r="F149" s="539">
        <v>1617398300</v>
      </c>
      <c r="G149" s="538">
        <v>18438340.619999997</v>
      </c>
      <c r="H149" s="519">
        <v>2012</v>
      </c>
      <c r="I149" s="533"/>
      <c r="J149" s="533"/>
      <c r="K149" s="533"/>
      <c r="N149" s="540"/>
      <c r="O149" s="540"/>
      <c r="P149" s="540"/>
      <c r="Q149" s="540"/>
      <c r="R149" s="540"/>
      <c r="S149" s="540"/>
      <c r="T149" s="541"/>
      <c r="W149" s="542"/>
      <c r="X149" s="542"/>
      <c r="Y149" s="542"/>
      <c r="Z149" s="542"/>
      <c r="AA149" s="542"/>
      <c r="AB149" s="542"/>
      <c r="AC149" s="542"/>
    </row>
    <row r="150" spans="1:98" ht="12" customHeight="1">
      <c r="A150" s="518" t="s">
        <v>173</v>
      </c>
      <c r="B150" s="538">
        <v>53418822</v>
      </c>
      <c r="C150" s="538">
        <v>53418822</v>
      </c>
      <c r="D150" s="538">
        <v>219641900</v>
      </c>
      <c r="E150" s="539">
        <v>273060722</v>
      </c>
      <c r="F150" s="539">
        <v>273060722</v>
      </c>
      <c r="G150" s="538">
        <v>1884118.9818</v>
      </c>
      <c r="H150" s="519" t="s">
        <v>1115</v>
      </c>
      <c r="I150" s="533"/>
      <c r="J150" s="533"/>
      <c r="K150" s="533"/>
      <c r="N150" s="540"/>
      <c r="O150" s="540"/>
      <c r="P150" s="540"/>
      <c r="Q150" s="540"/>
      <c r="R150" s="540"/>
      <c r="S150" s="540"/>
      <c r="T150" s="541"/>
      <c r="W150" s="542"/>
      <c r="X150" s="542"/>
      <c r="Y150" s="542"/>
      <c r="Z150" s="542"/>
      <c r="AA150" s="542"/>
      <c r="AB150" s="542"/>
      <c r="AC150" s="542"/>
    </row>
    <row r="151" spans="1:98" ht="12" customHeight="1">
      <c r="A151" s="518" t="s">
        <v>175</v>
      </c>
      <c r="B151" s="538">
        <v>320369500</v>
      </c>
      <c r="C151" s="538">
        <v>319018800</v>
      </c>
      <c r="D151" s="538">
        <v>1913436000</v>
      </c>
      <c r="E151" s="539">
        <v>2233805500</v>
      </c>
      <c r="F151" s="539">
        <v>2232454800</v>
      </c>
      <c r="G151" s="538">
        <v>16297042.01</v>
      </c>
      <c r="H151" s="519" t="s">
        <v>1115</v>
      </c>
      <c r="I151" s="533"/>
      <c r="J151" s="533"/>
      <c r="K151" s="533"/>
      <c r="N151" s="540"/>
      <c r="O151" s="540"/>
      <c r="P151" s="540"/>
      <c r="Q151" s="540"/>
      <c r="R151" s="540"/>
      <c r="S151" s="540"/>
      <c r="T151" s="541"/>
      <c r="W151" s="542"/>
      <c r="X151" s="542"/>
      <c r="Y151" s="542"/>
      <c r="Z151" s="542"/>
      <c r="AA151" s="542"/>
      <c r="AB151" s="542"/>
      <c r="AC151" s="542"/>
    </row>
    <row r="152" spans="1:98" ht="12" customHeight="1">
      <c r="A152" s="518" t="s">
        <v>177</v>
      </c>
      <c r="B152" s="538">
        <v>64749000</v>
      </c>
      <c r="C152" s="538">
        <v>64749000</v>
      </c>
      <c r="D152" s="538">
        <v>299626800</v>
      </c>
      <c r="E152" s="539">
        <v>364375800</v>
      </c>
      <c r="F152" s="539">
        <v>364375800</v>
      </c>
      <c r="G152" s="538">
        <v>3024319.14</v>
      </c>
      <c r="H152" s="519">
        <v>2012</v>
      </c>
      <c r="I152" s="533"/>
      <c r="J152" s="533"/>
      <c r="K152" s="533"/>
      <c r="N152" s="540"/>
      <c r="O152" s="540"/>
      <c r="P152" s="540"/>
      <c r="Q152" s="540"/>
      <c r="R152" s="540"/>
      <c r="S152" s="540"/>
      <c r="T152" s="541"/>
      <c r="W152" s="542"/>
      <c r="X152" s="542"/>
      <c r="Y152" s="542"/>
      <c r="Z152" s="542"/>
      <c r="AA152" s="542"/>
      <c r="AB152" s="542"/>
      <c r="AC152" s="542"/>
    </row>
    <row r="153" spans="1:98" ht="9" customHeight="1">
      <c r="B153" s="538"/>
      <c r="C153" s="538"/>
      <c r="D153" s="538"/>
      <c r="E153" s="539"/>
      <c r="F153" s="539"/>
      <c r="G153" s="538"/>
      <c r="I153" s="529"/>
      <c r="J153" s="529"/>
      <c r="K153" s="529"/>
      <c r="N153" s="540"/>
      <c r="O153" s="540"/>
      <c r="P153" s="540"/>
      <c r="Q153" s="540"/>
      <c r="R153" s="540"/>
      <c r="S153" s="540"/>
      <c r="T153" s="541"/>
      <c r="W153" s="542"/>
      <c r="X153" s="542"/>
      <c r="Y153" s="542"/>
      <c r="Z153" s="542"/>
      <c r="AA153" s="542"/>
      <c r="AB153" s="542"/>
      <c r="AC153" s="542"/>
    </row>
    <row r="154" spans="1:98" ht="12" customHeight="1">
      <c r="A154" s="518" t="s">
        <v>155</v>
      </c>
      <c r="B154" s="538">
        <v>2128459900</v>
      </c>
      <c r="C154" s="538">
        <v>2128459900</v>
      </c>
      <c r="D154" s="538">
        <v>3094066300</v>
      </c>
      <c r="E154" s="539">
        <v>5222526200</v>
      </c>
      <c r="F154" s="539">
        <v>5222526200</v>
      </c>
      <c r="G154" s="538">
        <v>52747514.619999997</v>
      </c>
      <c r="H154" s="519">
        <v>2012</v>
      </c>
      <c r="I154" s="533"/>
      <c r="J154" s="533"/>
      <c r="K154" s="533"/>
      <c r="N154" s="540"/>
      <c r="O154" s="540"/>
      <c r="P154" s="540"/>
      <c r="Q154" s="540"/>
      <c r="R154" s="540"/>
      <c r="S154" s="540"/>
      <c r="T154" s="541"/>
      <c r="W154" s="542"/>
      <c r="X154" s="542"/>
      <c r="Y154" s="542"/>
      <c r="Z154" s="542"/>
      <c r="AA154" s="542"/>
      <c r="AB154" s="542"/>
      <c r="AC154" s="542"/>
    </row>
    <row r="155" spans="1:98" ht="12" customHeight="1">
      <c r="A155" s="518" t="s">
        <v>179</v>
      </c>
      <c r="B155" s="538">
        <v>1832136200</v>
      </c>
      <c r="C155" s="538">
        <v>1832136200</v>
      </c>
      <c r="D155" s="538">
        <v>1491984100</v>
      </c>
      <c r="E155" s="539">
        <v>3324120300</v>
      </c>
      <c r="F155" s="539">
        <v>3324120300</v>
      </c>
      <c r="G155" s="538">
        <v>43379769.914999999</v>
      </c>
      <c r="H155" s="519">
        <v>2012</v>
      </c>
      <c r="I155" s="533"/>
      <c r="J155" s="533"/>
      <c r="K155" s="533"/>
      <c r="N155" s="540"/>
      <c r="O155" s="540"/>
      <c r="P155" s="540"/>
      <c r="Q155" s="540"/>
      <c r="R155" s="540"/>
      <c r="S155" s="540"/>
      <c r="T155" s="541"/>
      <c r="W155" s="542"/>
      <c r="X155" s="542"/>
      <c r="Y155" s="542"/>
      <c r="Z155" s="542"/>
      <c r="AA155" s="542"/>
      <c r="AB155" s="542"/>
      <c r="AC155" s="542"/>
    </row>
    <row r="156" spans="1:98" ht="12" customHeight="1">
      <c r="A156" s="518" t="s">
        <v>36</v>
      </c>
      <c r="B156" s="538">
        <v>158474000</v>
      </c>
      <c r="C156" s="538">
        <v>152717539</v>
      </c>
      <c r="D156" s="538">
        <v>420853600</v>
      </c>
      <c r="E156" s="539">
        <v>579327600</v>
      </c>
      <c r="F156" s="539">
        <v>573571139</v>
      </c>
      <c r="G156" s="538">
        <v>5214868.82</v>
      </c>
      <c r="H156" s="519" t="s">
        <v>1115</v>
      </c>
      <c r="I156" s="533"/>
      <c r="J156" s="533"/>
      <c r="K156" s="533"/>
      <c r="N156" s="540"/>
      <c r="O156" s="540"/>
      <c r="P156" s="540"/>
      <c r="Q156" s="540"/>
      <c r="R156" s="540"/>
      <c r="S156" s="540"/>
      <c r="T156" s="541"/>
      <c r="W156" s="542"/>
      <c r="X156" s="542"/>
      <c r="Y156" s="542"/>
      <c r="Z156" s="542"/>
      <c r="AA156" s="542"/>
      <c r="AB156" s="542"/>
      <c r="AC156" s="542"/>
    </row>
    <row r="157" spans="1:98" s="529" customFormat="1" ht="12" customHeight="1">
      <c r="A157" s="529" t="s">
        <v>182</v>
      </c>
      <c r="B157" s="543">
        <v>1569768600</v>
      </c>
      <c r="C157" s="543">
        <v>1534840800</v>
      </c>
      <c r="D157" s="543">
        <v>1949752000</v>
      </c>
      <c r="E157" s="544">
        <v>3519520600</v>
      </c>
      <c r="F157" s="544">
        <v>3484592800</v>
      </c>
      <c r="G157" s="543">
        <v>25785986.719999999</v>
      </c>
      <c r="H157" s="532" t="s">
        <v>1115</v>
      </c>
      <c r="I157" s="533"/>
      <c r="J157" s="533"/>
      <c r="K157" s="533"/>
      <c r="L157" s="534"/>
      <c r="M157" s="534"/>
      <c r="N157" s="545"/>
      <c r="O157" s="545"/>
      <c r="P157" s="545"/>
      <c r="Q157" s="545"/>
      <c r="R157" s="545"/>
      <c r="S157" s="545"/>
      <c r="T157" s="536"/>
      <c r="U157" s="534"/>
      <c r="V157" s="534"/>
      <c r="W157" s="537"/>
      <c r="X157" s="537"/>
      <c r="Y157" s="537"/>
      <c r="Z157" s="537"/>
      <c r="AA157" s="537"/>
      <c r="AB157" s="537"/>
      <c r="AC157" s="537"/>
      <c r="AD157" s="534"/>
      <c r="AE157" s="534"/>
      <c r="AF157" s="534"/>
      <c r="AG157" s="534"/>
      <c r="AH157" s="534"/>
      <c r="AI157" s="534"/>
      <c r="AJ157" s="534"/>
      <c r="AK157" s="534"/>
      <c r="AL157" s="534"/>
      <c r="AM157" s="534"/>
      <c r="AN157" s="534"/>
      <c r="AO157" s="534"/>
      <c r="AP157" s="534"/>
      <c r="AQ157" s="534"/>
      <c r="AR157" s="534"/>
      <c r="AS157" s="534"/>
      <c r="AT157" s="534"/>
      <c r="AU157" s="534"/>
      <c r="AV157" s="534"/>
      <c r="AW157" s="534"/>
      <c r="AX157" s="534"/>
      <c r="AY157" s="534"/>
      <c r="AZ157" s="534"/>
      <c r="BA157" s="534"/>
      <c r="BB157" s="534"/>
      <c r="BC157" s="534"/>
      <c r="BD157" s="534"/>
      <c r="BE157" s="534"/>
      <c r="BF157" s="534"/>
      <c r="BG157" s="534"/>
      <c r="BH157" s="534"/>
      <c r="BI157" s="534"/>
      <c r="BJ157" s="534"/>
      <c r="BK157" s="534"/>
      <c r="BL157" s="534"/>
      <c r="BM157" s="534"/>
      <c r="BN157" s="534"/>
      <c r="BO157" s="534"/>
      <c r="BP157" s="534"/>
      <c r="BQ157" s="534"/>
      <c r="BR157" s="534"/>
      <c r="BS157" s="534"/>
      <c r="BT157" s="534"/>
      <c r="BU157" s="534"/>
      <c r="BV157" s="534"/>
      <c r="BW157" s="534"/>
      <c r="BX157" s="534"/>
      <c r="BY157" s="534"/>
      <c r="BZ157" s="534"/>
      <c r="CA157" s="534"/>
      <c r="CB157" s="534"/>
      <c r="CC157" s="534"/>
      <c r="CD157" s="534"/>
      <c r="CE157" s="534"/>
      <c r="CF157" s="534"/>
      <c r="CG157" s="534"/>
      <c r="CH157" s="534"/>
      <c r="CI157" s="534"/>
      <c r="CJ157" s="534"/>
      <c r="CK157" s="534"/>
      <c r="CL157" s="534"/>
      <c r="CM157" s="534"/>
      <c r="CN157" s="534"/>
      <c r="CO157" s="534"/>
      <c r="CP157" s="534"/>
      <c r="CQ157" s="534"/>
      <c r="CR157" s="534"/>
      <c r="CS157" s="534"/>
      <c r="CT157" s="534"/>
    </row>
    <row r="158" spans="1:98" ht="12" customHeight="1">
      <c r="A158" s="518" t="s">
        <v>184</v>
      </c>
      <c r="B158" s="538">
        <v>87486150</v>
      </c>
      <c r="C158" s="538">
        <v>87486150</v>
      </c>
      <c r="D158" s="538">
        <v>361972725</v>
      </c>
      <c r="E158" s="539">
        <v>449458875</v>
      </c>
      <c r="F158" s="539">
        <v>449458875</v>
      </c>
      <c r="G158" s="538">
        <v>3011374.4625000004</v>
      </c>
      <c r="H158" s="519">
        <v>2012</v>
      </c>
      <c r="I158" s="533"/>
      <c r="J158" s="533"/>
      <c r="K158" s="533"/>
      <c r="N158" s="540"/>
      <c r="O158" s="540"/>
      <c r="P158" s="540"/>
      <c r="Q158" s="540"/>
      <c r="R158" s="540"/>
      <c r="S158" s="540"/>
      <c r="T158" s="541"/>
      <c r="W158" s="542"/>
      <c r="X158" s="542"/>
      <c r="Y158" s="542"/>
      <c r="Z158" s="542"/>
      <c r="AA158" s="542"/>
      <c r="AB158" s="542"/>
      <c r="AC158" s="542"/>
    </row>
    <row r="159" spans="1:98" ht="9" customHeight="1">
      <c r="B159" s="538"/>
      <c r="C159" s="538"/>
      <c r="D159" s="538"/>
      <c r="E159" s="539"/>
      <c r="F159" s="539"/>
      <c r="G159" s="538"/>
      <c r="N159" s="540"/>
      <c r="O159" s="540"/>
      <c r="P159" s="540"/>
      <c r="Q159" s="540"/>
      <c r="R159" s="540"/>
      <c r="S159" s="540"/>
      <c r="T159" s="541"/>
      <c r="W159" s="542"/>
      <c r="X159" s="542"/>
      <c r="Y159" s="542"/>
      <c r="Z159" s="542"/>
      <c r="AA159" s="542"/>
      <c r="AB159" s="542"/>
      <c r="AC159" s="542"/>
    </row>
    <row r="160" spans="1:98" s="529" customFormat="1" ht="12" customHeight="1">
      <c r="A160" s="529" t="s">
        <v>186</v>
      </c>
      <c r="B160" s="543">
        <v>3313053800</v>
      </c>
      <c r="C160" s="543">
        <v>3294563600</v>
      </c>
      <c r="D160" s="543">
        <v>7467570700</v>
      </c>
      <c r="E160" s="544">
        <v>10780624500</v>
      </c>
      <c r="F160" s="544">
        <v>10762134300</v>
      </c>
      <c r="G160" s="543">
        <v>111926196.72</v>
      </c>
      <c r="H160" s="532" t="s">
        <v>1115</v>
      </c>
      <c r="I160" s="533"/>
      <c r="J160" s="533"/>
      <c r="K160" s="533"/>
      <c r="L160" s="534"/>
      <c r="M160" s="534"/>
      <c r="N160" s="545"/>
      <c r="O160" s="545"/>
      <c r="P160" s="545"/>
      <c r="Q160" s="545"/>
      <c r="R160" s="545"/>
      <c r="S160" s="545"/>
      <c r="T160" s="536"/>
      <c r="U160" s="534"/>
      <c r="V160" s="534"/>
      <c r="W160" s="537"/>
      <c r="X160" s="537"/>
      <c r="Y160" s="537"/>
      <c r="Z160" s="537"/>
      <c r="AA160" s="537"/>
      <c r="AB160" s="537"/>
      <c r="AC160" s="537"/>
      <c r="AD160" s="534"/>
      <c r="AE160" s="534"/>
      <c r="AF160" s="534"/>
      <c r="AG160" s="534"/>
      <c r="AH160" s="534"/>
      <c r="AI160" s="534"/>
      <c r="AJ160" s="534"/>
      <c r="AK160" s="534"/>
      <c r="AL160" s="534"/>
      <c r="AM160" s="534"/>
      <c r="AN160" s="534"/>
      <c r="AO160" s="534"/>
      <c r="AP160" s="534"/>
      <c r="AQ160" s="534"/>
      <c r="AR160" s="534"/>
      <c r="AS160" s="534"/>
      <c r="AT160" s="534"/>
      <c r="AU160" s="534"/>
      <c r="AV160" s="534"/>
      <c r="AW160" s="534"/>
      <c r="AX160" s="534"/>
      <c r="AY160" s="534"/>
      <c r="AZ160" s="534"/>
      <c r="BA160" s="534"/>
      <c r="BB160" s="534"/>
      <c r="BC160" s="534"/>
      <c r="BD160" s="534"/>
      <c r="BE160" s="534"/>
      <c r="BF160" s="534"/>
      <c r="BG160" s="534"/>
      <c r="BH160" s="534"/>
      <c r="BI160" s="534"/>
      <c r="BJ160" s="534"/>
      <c r="BK160" s="534"/>
      <c r="BL160" s="534"/>
      <c r="BM160" s="534"/>
      <c r="BN160" s="534"/>
      <c r="BO160" s="534"/>
      <c r="BP160" s="534"/>
      <c r="BQ160" s="534"/>
      <c r="BR160" s="534"/>
      <c r="BS160" s="534"/>
      <c r="BT160" s="534"/>
      <c r="BU160" s="534"/>
      <c r="BV160" s="534"/>
      <c r="BW160" s="534"/>
      <c r="BX160" s="534"/>
      <c r="BY160" s="534"/>
      <c r="BZ160" s="534"/>
      <c r="CA160" s="534"/>
      <c r="CB160" s="534"/>
      <c r="CC160" s="534"/>
      <c r="CD160" s="534"/>
      <c r="CE160" s="534"/>
      <c r="CF160" s="534"/>
      <c r="CG160" s="534"/>
      <c r="CH160" s="534"/>
      <c r="CI160" s="534"/>
      <c r="CJ160" s="534"/>
      <c r="CK160" s="534"/>
      <c r="CL160" s="534"/>
      <c r="CM160" s="534"/>
      <c r="CN160" s="534"/>
      <c r="CO160" s="534"/>
      <c r="CP160" s="534"/>
      <c r="CQ160" s="534"/>
      <c r="CR160" s="534"/>
      <c r="CS160" s="534"/>
      <c r="CT160" s="534"/>
    </row>
    <row r="161" spans="1:98" ht="12" customHeight="1">
      <c r="A161" s="518" t="s">
        <v>939</v>
      </c>
      <c r="B161" s="538">
        <v>1345107100</v>
      </c>
      <c r="C161" s="538">
        <v>1293807300</v>
      </c>
      <c r="D161" s="538">
        <v>2574900536</v>
      </c>
      <c r="E161" s="539">
        <v>3920007636</v>
      </c>
      <c r="F161" s="539">
        <v>3868707836</v>
      </c>
      <c r="G161" s="538">
        <v>24372859.366799999</v>
      </c>
      <c r="H161" s="519" t="s">
        <v>1115</v>
      </c>
      <c r="I161" s="533"/>
      <c r="J161" s="533"/>
      <c r="K161" s="533"/>
      <c r="N161" s="540"/>
      <c r="O161" s="540"/>
      <c r="P161" s="540"/>
      <c r="Q161" s="540"/>
      <c r="R161" s="540"/>
      <c r="S161" s="540"/>
      <c r="T161" s="541"/>
      <c r="W161" s="542"/>
      <c r="X161" s="542"/>
      <c r="Y161" s="542"/>
      <c r="Z161" s="542"/>
      <c r="AA161" s="542"/>
      <c r="AB161" s="542"/>
      <c r="AC161" s="542"/>
    </row>
    <row r="162" spans="1:98" s="529" customFormat="1" ht="12" customHeight="1">
      <c r="A162" s="529" t="s">
        <v>190</v>
      </c>
      <c r="B162" s="543">
        <v>338143100</v>
      </c>
      <c r="C162" s="543">
        <v>338143100</v>
      </c>
      <c r="D162" s="543">
        <v>1025378200</v>
      </c>
      <c r="E162" s="544">
        <v>1363521300</v>
      </c>
      <c r="F162" s="544">
        <v>1363521300</v>
      </c>
      <c r="G162" s="543">
        <v>13907917.26</v>
      </c>
      <c r="H162" s="532">
        <v>2012</v>
      </c>
      <c r="I162" s="533"/>
      <c r="J162" s="533"/>
      <c r="K162" s="533"/>
      <c r="L162" s="534"/>
      <c r="M162" s="534"/>
      <c r="N162" s="545"/>
      <c r="O162" s="545"/>
      <c r="P162" s="545"/>
      <c r="Q162" s="545"/>
      <c r="R162" s="545"/>
      <c r="S162" s="545"/>
      <c r="T162" s="536"/>
      <c r="U162" s="534"/>
      <c r="V162" s="534"/>
      <c r="W162" s="537"/>
      <c r="X162" s="537"/>
      <c r="Y162" s="537"/>
      <c r="Z162" s="537"/>
      <c r="AA162" s="537"/>
      <c r="AB162" s="537"/>
      <c r="AC162" s="537"/>
      <c r="AD162" s="534"/>
      <c r="AE162" s="534"/>
      <c r="AF162" s="534"/>
      <c r="AG162" s="534"/>
      <c r="AH162" s="534"/>
      <c r="AI162" s="534"/>
      <c r="AJ162" s="534"/>
      <c r="AK162" s="534"/>
      <c r="AL162" s="534"/>
      <c r="AM162" s="534"/>
      <c r="AN162" s="534"/>
      <c r="AO162" s="534"/>
      <c r="AP162" s="534"/>
      <c r="AQ162" s="534"/>
      <c r="AR162" s="534"/>
      <c r="AS162" s="534"/>
      <c r="AT162" s="534"/>
      <c r="AU162" s="534"/>
      <c r="AV162" s="534"/>
      <c r="AW162" s="534"/>
      <c r="AX162" s="534"/>
      <c r="AY162" s="534"/>
      <c r="AZ162" s="534"/>
      <c r="BA162" s="534"/>
      <c r="BB162" s="534"/>
      <c r="BC162" s="534"/>
      <c r="BD162" s="534"/>
      <c r="BE162" s="534"/>
      <c r="BF162" s="534"/>
      <c r="BG162" s="534"/>
      <c r="BH162" s="534"/>
      <c r="BI162" s="534"/>
      <c r="BJ162" s="534"/>
      <c r="BK162" s="534"/>
      <c r="BL162" s="534"/>
      <c r="BM162" s="534"/>
      <c r="BN162" s="534"/>
      <c r="BO162" s="534"/>
      <c r="BP162" s="534"/>
      <c r="BQ162" s="534"/>
      <c r="BR162" s="534"/>
      <c r="BS162" s="534"/>
      <c r="BT162" s="534"/>
      <c r="BU162" s="534"/>
      <c r="BV162" s="534"/>
      <c r="BW162" s="534"/>
      <c r="BX162" s="534"/>
      <c r="BY162" s="534"/>
      <c r="BZ162" s="534"/>
      <c r="CA162" s="534"/>
      <c r="CB162" s="534"/>
      <c r="CC162" s="534"/>
      <c r="CD162" s="534"/>
      <c r="CE162" s="534"/>
      <c r="CF162" s="534"/>
      <c r="CG162" s="534"/>
      <c r="CH162" s="534"/>
      <c r="CI162" s="534"/>
      <c r="CJ162" s="534"/>
      <c r="CK162" s="534"/>
      <c r="CL162" s="534"/>
      <c r="CM162" s="534"/>
      <c r="CN162" s="534"/>
      <c r="CO162" s="534"/>
      <c r="CP162" s="534"/>
      <c r="CQ162" s="534"/>
      <c r="CR162" s="534"/>
      <c r="CS162" s="534"/>
      <c r="CT162" s="534"/>
    </row>
    <row r="163" spans="1:98" ht="12" customHeight="1">
      <c r="A163" s="520" t="s">
        <v>940</v>
      </c>
      <c r="B163" s="538">
        <v>168820100</v>
      </c>
      <c r="C163" s="538">
        <v>168820100</v>
      </c>
      <c r="D163" s="538">
        <v>397625000</v>
      </c>
      <c r="E163" s="540">
        <v>566445100</v>
      </c>
      <c r="F163" s="540">
        <v>566445100</v>
      </c>
      <c r="G163" s="538">
        <v>4418271.78</v>
      </c>
      <c r="H163" s="519" t="s">
        <v>1115</v>
      </c>
      <c r="I163" s="533"/>
      <c r="J163" s="533"/>
      <c r="K163" s="533"/>
      <c r="N163" s="540"/>
      <c r="O163" s="540"/>
      <c r="P163" s="540"/>
      <c r="Q163" s="540"/>
      <c r="R163" s="540"/>
      <c r="S163" s="540"/>
      <c r="T163" s="541"/>
      <c r="W163" s="542"/>
      <c r="X163" s="542"/>
      <c r="Y163" s="542"/>
      <c r="Z163" s="542"/>
      <c r="AA163" s="542"/>
      <c r="AB163" s="542"/>
      <c r="AC163" s="542"/>
    </row>
    <row r="164" spans="1:98" ht="12" customHeight="1">
      <c r="A164" s="518" t="s">
        <v>194</v>
      </c>
      <c r="B164" s="538">
        <v>1059626800</v>
      </c>
      <c r="C164" s="538">
        <v>1051491600</v>
      </c>
      <c r="D164" s="538">
        <v>3934555400</v>
      </c>
      <c r="E164" s="539">
        <v>4994182200</v>
      </c>
      <c r="F164" s="539">
        <v>4986047000</v>
      </c>
      <c r="G164" s="538">
        <v>55345121.700000003</v>
      </c>
      <c r="H164" s="519" t="s">
        <v>1115</v>
      </c>
      <c r="I164" s="533"/>
      <c r="J164" s="533"/>
      <c r="K164" s="533"/>
      <c r="N164" s="554"/>
      <c r="O164" s="554"/>
      <c r="P164" s="554"/>
      <c r="Q164" s="554"/>
      <c r="R164" s="554"/>
      <c r="S164" s="554"/>
      <c r="T164" s="541"/>
      <c r="W164" s="542"/>
      <c r="X164" s="542"/>
      <c r="Y164" s="542"/>
      <c r="Z164" s="542"/>
      <c r="AA164" s="542"/>
      <c r="AB164" s="542"/>
      <c r="AC164" s="542"/>
    </row>
    <row r="165" spans="1:98" ht="13.8">
      <c r="A165" s="517" t="s">
        <v>995</v>
      </c>
      <c r="M165" s="521"/>
      <c r="W165" s="542"/>
      <c r="X165" s="542"/>
      <c r="Y165" s="542"/>
      <c r="Z165" s="542"/>
      <c r="AA165" s="542"/>
      <c r="AB165" s="542"/>
      <c r="AC165" s="542"/>
    </row>
    <row r="166" spans="1:98" ht="13.2">
      <c r="A166" s="1148" t="s">
        <v>1103</v>
      </c>
      <c r="B166" s="1149"/>
      <c r="C166" s="1149"/>
      <c r="D166" s="1149"/>
      <c r="E166" s="1149"/>
      <c r="F166" s="1149"/>
      <c r="G166" s="1149"/>
      <c r="H166" s="1149"/>
      <c r="M166" s="562"/>
      <c r="N166" s="562"/>
      <c r="O166" s="562"/>
      <c r="P166" s="562"/>
      <c r="Q166" s="562"/>
      <c r="R166" s="562"/>
      <c r="S166" s="562"/>
      <c r="T166" s="562"/>
      <c r="W166" s="542"/>
      <c r="X166" s="542"/>
      <c r="Y166" s="542"/>
      <c r="Z166" s="542"/>
      <c r="AA166" s="542"/>
      <c r="AB166" s="542"/>
      <c r="AC166" s="542"/>
    </row>
    <row r="167" spans="1:98" s="529" customFormat="1" ht="12.6" thickBot="1">
      <c r="A167" s="570"/>
      <c r="B167" s="570"/>
      <c r="C167" s="570"/>
      <c r="D167" s="570"/>
      <c r="E167" s="570"/>
      <c r="F167" s="570"/>
      <c r="G167" s="570"/>
      <c r="H167" s="570"/>
      <c r="L167" s="534"/>
      <c r="M167" s="571"/>
      <c r="N167" s="571"/>
      <c r="O167" s="571"/>
      <c r="P167" s="571"/>
      <c r="Q167" s="571"/>
      <c r="R167" s="571"/>
      <c r="S167" s="571"/>
      <c r="T167" s="571"/>
      <c r="U167" s="534"/>
      <c r="V167" s="534"/>
      <c r="W167" s="537"/>
      <c r="X167" s="537"/>
      <c r="Y167" s="537"/>
      <c r="Z167" s="537"/>
      <c r="AA167" s="537"/>
      <c r="AB167" s="537"/>
      <c r="AC167" s="537"/>
      <c r="AD167" s="534"/>
      <c r="AE167" s="534"/>
      <c r="AF167" s="534"/>
      <c r="AG167" s="534"/>
      <c r="AH167" s="534"/>
      <c r="AI167" s="534"/>
      <c r="AJ167" s="534"/>
      <c r="AK167" s="534"/>
      <c r="AL167" s="534"/>
      <c r="AM167" s="534"/>
      <c r="AN167" s="534"/>
      <c r="AO167" s="534"/>
      <c r="AP167" s="534"/>
      <c r="AQ167" s="534"/>
      <c r="AR167" s="534"/>
      <c r="AS167" s="534"/>
      <c r="AT167" s="534"/>
      <c r="AU167" s="534"/>
      <c r="AV167" s="534"/>
      <c r="AW167" s="534"/>
      <c r="AX167" s="534"/>
      <c r="AY167" s="534"/>
      <c r="AZ167" s="534"/>
      <c r="BA167" s="534"/>
      <c r="BB167" s="534"/>
      <c r="BC167" s="534"/>
      <c r="BD167" s="534"/>
      <c r="BE167" s="534"/>
      <c r="BF167" s="534"/>
      <c r="BG167" s="534"/>
      <c r="BH167" s="534"/>
      <c r="BI167" s="534"/>
      <c r="BJ167" s="534"/>
      <c r="BK167" s="534"/>
      <c r="BL167" s="534"/>
      <c r="BM167" s="534"/>
      <c r="BN167" s="534"/>
      <c r="BO167" s="534"/>
      <c r="BP167" s="534"/>
      <c r="BQ167" s="534"/>
      <c r="BR167" s="534"/>
      <c r="BS167" s="534"/>
      <c r="BT167" s="534"/>
      <c r="BU167" s="534"/>
      <c r="BV167" s="534"/>
      <c r="BW167" s="534"/>
      <c r="BX167" s="534"/>
      <c r="BY167" s="534"/>
      <c r="BZ167" s="534"/>
      <c r="CA167" s="534"/>
      <c r="CB167" s="534"/>
      <c r="CC167" s="534"/>
      <c r="CD167" s="534"/>
      <c r="CE167" s="534"/>
      <c r="CF167" s="534"/>
      <c r="CG167" s="534"/>
      <c r="CH167" s="534"/>
      <c r="CI167" s="534"/>
      <c r="CJ167" s="534"/>
      <c r="CK167" s="534"/>
      <c r="CL167" s="534"/>
      <c r="CM167" s="534"/>
      <c r="CN167" s="534"/>
      <c r="CO167" s="534"/>
      <c r="CP167" s="534"/>
      <c r="CQ167" s="534"/>
      <c r="CR167" s="534"/>
      <c r="CS167" s="534"/>
      <c r="CT167" s="534"/>
    </row>
    <row r="168" spans="1:98">
      <c r="W168" s="542"/>
      <c r="X168" s="542"/>
      <c r="Y168" s="542"/>
      <c r="Z168" s="542"/>
      <c r="AA168" s="542"/>
      <c r="AB168" s="542"/>
      <c r="AC168" s="542"/>
    </row>
    <row r="169" spans="1:98" s="568" customFormat="1" ht="12">
      <c r="A169" s="525" t="s">
        <v>35</v>
      </c>
      <c r="B169" s="525" t="s">
        <v>932</v>
      </c>
      <c r="C169" s="525" t="s">
        <v>933</v>
      </c>
      <c r="D169" s="525" t="s">
        <v>934</v>
      </c>
      <c r="E169" s="525" t="s">
        <v>935</v>
      </c>
      <c r="F169" s="525" t="s">
        <v>936</v>
      </c>
      <c r="G169" s="525" t="s">
        <v>937</v>
      </c>
      <c r="H169" s="526" t="s">
        <v>938</v>
      </c>
      <c r="L169" s="521"/>
      <c r="M169" s="528"/>
      <c r="N169" s="528"/>
      <c r="O169" s="528"/>
      <c r="P169" s="528"/>
      <c r="Q169" s="528"/>
      <c r="R169" s="528"/>
      <c r="S169" s="528"/>
      <c r="T169" s="528"/>
      <c r="U169" s="521"/>
      <c r="V169" s="520"/>
      <c r="W169" s="542"/>
      <c r="X169" s="542"/>
      <c r="Y169" s="542"/>
      <c r="Z169" s="542"/>
      <c r="AA169" s="542"/>
      <c r="AB169" s="542"/>
      <c r="AC169" s="542"/>
      <c r="AD169" s="521"/>
      <c r="AE169" s="521"/>
      <c r="AF169" s="521"/>
      <c r="AG169" s="521"/>
      <c r="AH169" s="521"/>
      <c r="AI169" s="521"/>
      <c r="AJ169" s="521"/>
      <c r="AK169" s="521"/>
      <c r="AL169" s="521"/>
      <c r="AM169" s="521"/>
      <c r="AN169" s="521"/>
      <c r="AO169" s="521"/>
      <c r="AP169" s="521"/>
      <c r="AQ169" s="521"/>
      <c r="AR169" s="521"/>
      <c r="AS169" s="521"/>
      <c r="AT169" s="521"/>
      <c r="AU169" s="521"/>
      <c r="AV169" s="521"/>
      <c r="AW169" s="521"/>
      <c r="AX169" s="521"/>
      <c r="AY169" s="521"/>
      <c r="AZ169" s="521"/>
      <c r="BA169" s="521"/>
      <c r="BB169" s="521"/>
      <c r="BC169" s="521"/>
      <c r="BD169" s="521"/>
      <c r="BE169" s="521"/>
      <c r="BF169" s="521"/>
      <c r="BG169" s="521"/>
      <c r="BH169" s="521"/>
      <c r="BI169" s="521"/>
      <c r="BJ169" s="521"/>
      <c r="BK169" s="521"/>
      <c r="BL169" s="521"/>
      <c r="BM169" s="521"/>
      <c r="BN169" s="521"/>
      <c r="BO169" s="521"/>
      <c r="BP169" s="521"/>
      <c r="BQ169" s="521"/>
      <c r="BR169" s="521"/>
      <c r="BS169" s="521"/>
      <c r="BT169" s="521"/>
      <c r="BU169" s="521"/>
      <c r="BV169" s="521"/>
      <c r="BW169" s="521"/>
      <c r="BX169" s="521"/>
      <c r="BY169" s="521"/>
      <c r="BZ169" s="521"/>
      <c r="CA169" s="521"/>
      <c r="CB169" s="521"/>
      <c r="CC169" s="521"/>
      <c r="CD169" s="521"/>
      <c r="CE169" s="521"/>
      <c r="CF169" s="521"/>
      <c r="CG169" s="521"/>
      <c r="CH169" s="521"/>
      <c r="CI169" s="521"/>
      <c r="CJ169" s="521"/>
      <c r="CK169" s="521"/>
      <c r="CL169" s="521"/>
      <c r="CM169" s="521"/>
      <c r="CN169" s="521"/>
      <c r="CO169" s="521"/>
      <c r="CP169" s="521"/>
      <c r="CQ169" s="521"/>
      <c r="CR169" s="521"/>
      <c r="CS169" s="521"/>
      <c r="CT169" s="521"/>
    </row>
    <row r="170" spans="1:98" ht="8.25" customHeight="1">
      <c r="W170" s="542"/>
      <c r="X170" s="542"/>
      <c r="Y170" s="542"/>
      <c r="Z170" s="542"/>
      <c r="AA170" s="542"/>
      <c r="AB170" s="542"/>
      <c r="AC170" s="542"/>
    </row>
    <row r="171" spans="1:98" s="529" customFormat="1" ht="12" customHeight="1">
      <c r="A171" s="529" t="s">
        <v>941</v>
      </c>
      <c r="B171" s="530">
        <v>1674209700</v>
      </c>
      <c r="C171" s="530">
        <v>1670381200</v>
      </c>
      <c r="D171" s="530">
        <v>2242124100</v>
      </c>
      <c r="E171" s="531">
        <v>3916333800</v>
      </c>
      <c r="F171" s="531">
        <v>3912505300</v>
      </c>
      <c r="G171" s="530">
        <v>46637063.175999999</v>
      </c>
      <c r="H171" s="532" t="s">
        <v>1115</v>
      </c>
      <c r="I171" s="533"/>
      <c r="J171" s="533"/>
      <c r="K171" s="533"/>
      <c r="L171" s="534"/>
      <c r="M171" s="534"/>
      <c r="N171" s="545"/>
      <c r="O171" s="545"/>
      <c r="P171" s="545"/>
      <c r="Q171" s="545"/>
      <c r="R171" s="545"/>
      <c r="S171" s="545"/>
      <c r="T171" s="536"/>
      <c r="U171" s="534"/>
      <c r="V171" s="534"/>
      <c r="W171" s="537"/>
      <c r="X171" s="537"/>
      <c r="Y171" s="537"/>
      <c r="Z171" s="537"/>
      <c r="AA171" s="537"/>
      <c r="AB171" s="537"/>
      <c r="AC171" s="537"/>
      <c r="AD171" s="534"/>
      <c r="AE171" s="534"/>
      <c r="AF171" s="534"/>
      <c r="AG171" s="534"/>
      <c r="AH171" s="534"/>
      <c r="AI171" s="534"/>
      <c r="AJ171" s="534"/>
      <c r="AK171" s="534"/>
      <c r="AL171" s="534"/>
      <c r="AM171" s="534"/>
      <c r="AN171" s="534"/>
      <c r="AO171" s="534"/>
      <c r="AP171" s="534"/>
      <c r="AQ171" s="534"/>
      <c r="AR171" s="534"/>
      <c r="AS171" s="534"/>
      <c r="AT171" s="534"/>
      <c r="AU171" s="534"/>
      <c r="AV171" s="534"/>
      <c r="AW171" s="534"/>
      <c r="AX171" s="534"/>
      <c r="AY171" s="534"/>
      <c r="AZ171" s="534"/>
      <c r="BA171" s="534"/>
      <c r="BB171" s="534"/>
      <c r="BC171" s="534"/>
      <c r="BD171" s="534"/>
      <c r="BE171" s="534"/>
      <c r="BF171" s="534"/>
      <c r="BG171" s="534"/>
      <c r="BH171" s="534"/>
      <c r="BI171" s="534"/>
      <c r="BJ171" s="534"/>
      <c r="BK171" s="534"/>
      <c r="BL171" s="534"/>
      <c r="BM171" s="534"/>
      <c r="BN171" s="534"/>
      <c r="BO171" s="534"/>
      <c r="BP171" s="534"/>
      <c r="BQ171" s="534"/>
      <c r="BR171" s="534"/>
      <c r="BS171" s="534"/>
      <c r="BT171" s="534"/>
      <c r="BU171" s="534"/>
      <c r="BV171" s="534"/>
      <c r="BW171" s="534"/>
      <c r="BX171" s="534"/>
      <c r="BY171" s="534"/>
      <c r="BZ171" s="534"/>
      <c r="CA171" s="534"/>
      <c r="CB171" s="534"/>
      <c r="CC171" s="534"/>
      <c r="CD171" s="534"/>
      <c r="CE171" s="534"/>
      <c r="CF171" s="534"/>
      <c r="CG171" s="534"/>
      <c r="CH171" s="534"/>
      <c r="CI171" s="534"/>
      <c r="CJ171" s="534"/>
      <c r="CK171" s="534"/>
      <c r="CL171" s="534"/>
      <c r="CM171" s="534"/>
      <c r="CN171" s="534"/>
      <c r="CO171" s="534"/>
      <c r="CP171" s="534"/>
      <c r="CQ171" s="534"/>
      <c r="CR171" s="534"/>
      <c r="CS171" s="534"/>
      <c r="CT171" s="534"/>
    </row>
    <row r="172" spans="1:98" s="529" customFormat="1" ht="12" customHeight="1">
      <c r="A172" s="529" t="s">
        <v>198</v>
      </c>
      <c r="B172" s="543">
        <v>430756100</v>
      </c>
      <c r="C172" s="543">
        <v>430756100</v>
      </c>
      <c r="D172" s="543">
        <v>713572000</v>
      </c>
      <c r="E172" s="544">
        <v>1144328100</v>
      </c>
      <c r="F172" s="544">
        <v>1144328100</v>
      </c>
      <c r="G172" s="543">
        <v>18881413.649999999</v>
      </c>
      <c r="H172" s="532" t="s">
        <v>1115</v>
      </c>
      <c r="I172" s="533"/>
      <c r="J172" s="533"/>
      <c r="K172" s="533"/>
      <c r="L172" s="534"/>
      <c r="M172" s="534"/>
      <c r="N172" s="545"/>
      <c r="O172" s="545"/>
      <c r="P172" s="545"/>
      <c r="Q172" s="545"/>
      <c r="R172" s="545"/>
      <c r="S172" s="545"/>
      <c r="T172" s="536"/>
      <c r="U172" s="534"/>
      <c r="V172" s="534"/>
      <c r="W172" s="537"/>
      <c r="X172" s="537"/>
      <c r="Y172" s="537"/>
      <c r="Z172" s="537"/>
      <c r="AA172" s="537"/>
      <c r="AB172" s="537"/>
      <c r="AC172" s="537"/>
      <c r="AD172" s="534"/>
      <c r="AE172" s="534"/>
      <c r="AF172" s="534"/>
      <c r="AG172" s="534"/>
      <c r="AH172" s="534"/>
      <c r="AI172" s="534"/>
      <c r="AJ172" s="534"/>
      <c r="AK172" s="534"/>
      <c r="AL172" s="534"/>
      <c r="AM172" s="534"/>
      <c r="AN172" s="534"/>
      <c r="AO172" s="534"/>
      <c r="AP172" s="534"/>
      <c r="AQ172" s="534"/>
      <c r="AR172" s="534"/>
      <c r="AS172" s="534"/>
      <c r="AT172" s="534"/>
      <c r="AU172" s="534"/>
      <c r="AV172" s="534"/>
      <c r="AW172" s="534"/>
      <c r="AX172" s="534"/>
      <c r="AY172" s="534"/>
      <c r="AZ172" s="534"/>
      <c r="BA172" s="534"/>
      <c r="BB172" s="534"/>
      <c r="BC172" s="534"/>
      <c r="BD172" s="534"/>
      <c r="BE172" s="534"/>
      <c r="BF172" s="534"/>
      <c r="BG172" s="534"/>
      <c r="BH172" s="534"/>
      <c r="BI172" s="534"/>
      <c r="BJ172" s="534"/>
      <c r="BK172" s="534"/>
      <c r="BL172" s="534"/>
      <c r="BM172" s="534"/>
      <c r="BN172" s="534"/>
      <c r="BO172" s="534"/>
      <c r="BP172" s="534"/>
      <c r="BQ172" s="534"/>
      <c r="BR172" s="534"/>
      <c r="BS172" s="534"/>
      <c r="BT172" s="534"/>
      <c r="BU172" s="534"/>
      <c r="BV172" s="534"/>
      <c r="BW172" s="534"/>
      <c r="BX172" s="534"/>
      <c r="BY172" s="534"/>
      <c r="BZ172" s="534"/>
      <c r="CA172" s="534"/>
      <c r="CB172" s="534"/>
      <c r="CC172" s="534"/>
      <c r="CD172" s="534"/>
      <c r="CE172" s="534"/>
      <c r="CF172" s="534"/>
      <c r="CG172" s="534"/>
      <c r="CH172" s="534"/>
      <c r="CI172" s="534"/>
      <c r="CJ172" s="534"/>
      <c r="CK172" s="534"/>
      <c r="CL172" s="534"/>
      <c r="CM172" s="534"/>
      <c r="CN172" s="534"/>
      <c r="CO172" s="534"/>
      <c r="CP172" s="534"/>
      <c r="CQ172" s="534"/>
      <c r="CR172" s="534"/>
      <c r="CS172" s="534"/>
      <c r="CT172" s="534"/>
    </row>
    <row r="173" spans="1:98" ht="12" customHeight="1">
      <c r="A173" s="518" t="s">
        <v>200</v>
      </c>
      <c r="B173" s="538">
        <v>134989400</v>
      </c>
      <c r="C173" s="538">
        <v>134989400</v>
      </c>
      <c r="D173" s="538">
        <v>532087100</v>
      </c>
      <c r="E173" s="539">
        <v>667076500</v>
      </c>
      <c r="F173" s="539">
        <v>667076500</v>
      </c>
      <c r="G173" s="538">
        <v>6791906.0923999995</v>
      </c>
      <c r="H173" s="519" t="s">
        <v>1115</v>
      </c>
      <c r="I173" s="533"/>
      <c r="J173" s="533"/>
      <c r="K173" s="533"/>
      <c r="N173" s="540"/>
      <c r="O173" s="540"/>
      <c r="P173" s="540"/>
      <c r="Q173" s="540"/>
      <c r="R173" s="540"/>
      <c r="S173" s="540"/>
      <c r="T173" s="541"/>
      <c r="W173" s="542"/>
      <c r="X173" s="542"/>
      <c r="Y173" s="542"/>
      <c r="Z173" s="542"/>
      <c r="AA173" s="542"/>
      <c r="AB173" s="542"/>
      <c r="AC173" s="542"/>
    </row>
    <row r="174" spans="1:98" s="529" customFormat="1" ht="12" customHeight="1">
      <c r="A174" s="529" t="s">
        <v>202</v>
      </c>
      <c r="B174" s="543">
        <v>4237847400</v>
      </c>
      <c r="C174" s="543">
        <v>4237847400</v>
      </c>
      <c r="D174" s="543">
        <v>9912519260</v>
      </c>
      <c r="E174" s="544">
        <v>14150366660</v>
      </c>
      <c r="F174" s="544">
        <v>14150366660</v>
      </c>
      <c r="G174" s="543">
        <v>155654033.26000002</v>
      </c>
      <c r="H174" s="532" t="s">
        <v>1115</v>
      </c>
      <c r="I174" s="533"/>
      <c r="J174" s="533"/>
      <c r="K174" s="533"/>
      <c r="L174" s="534"/>
      <c r="M174" s="534"/>
      <c r="N174" s="545"/>
      <c r="O174" s="545"/>
      <c r="P174" s="545"/>
      <c r="Q174" s="545"/>
      <c r="R174" s="545"/>
      <c r="S174" s="545"/>
      <c r="T174" s="536"/>
      <c r="U174" s="534"/>
      <c r="V174" s="534"/>
      <c r="W174" s="537"/>
      <c r="X174" s="537"/>
      <c r="Y174" s="537"/>
      <c r="Z174" s="537"/>
      <c r="AA174" s="537"/>
      <c r="AB174" s="537"/>
      <c r="AC174" s="537"/>
      <c r="AD174" s="534"/>
      <c r="AE174" s="534"/>
      <c r="AF174" s="534"/>
      <c r="AG174" s="534"/>
      <c r="AH174" s="534"/>
      <c r="AI174" s="534"/>
      <c r="AJ174" s="534"/>
      <c r="AK174" s="534"/>
      <c r="AL174" s="534"/>
      <c r="AM174" s="534"/>
      <c r="AN174" s="534"/>
      <c r="AO174" s="534"/>
      <c r="AP174" s="534"/>
      <c r="AQ174" s="534"/>
      <c r="AR174" s="534"/>
      <c r="AS174" s="534"/>
      <c r="AT174" s="534"/>
      <c r="AU174" s="534"/>
      <c r="AV174" s="534"/>
      <c r="AW174" s="534"/>
      <c r="AX174" s="534"/>
      <c r="AY174" s="534"/>
      <c r="AZ174" s="534"/>
      <c r="BA174" s="534"/>
      <c r="BB174" s="534"/>
      <c r="BC174" s="534"/>
      <c r="BD174" s="534"/>
      <c r="BE174" s="534"/>
      <c r="BF174" s="534"/>
      <c r="BG174" s="534"/>
      <c r="BH174" s="534"/>
      <c r="BI174" s="534"/>
      <c r="BJ174" s="534"/>
      <c r="BK174" s="534"/>
      <c r="BL174" s="534"/>
      <c r="BM174" s="534"/>
      <c r="BN174" s="534"/>
      <c r="BO174" s="534"/>
      <c r="BP174" s="534"/>
      <c r="BQ174" s="534"/>
      <c r="BR174" s="534"/>
      <c r="BS174" s="534"/>
      <c r="BT174" s="534"/>
      <c r="BU174" s="534"/>
      <c r="BV174" s="534"/>
      <c r="BW174" s="534"/>
      <c r="BX174" s="534"/>
      <c r="BY174" s="534"/>
      <c r="BZ174" s="534"/>
      <c r="CA174" s="534"/>
      <c r="CB174" s="534"/>
      <c r="CC174" s="534"/>
      <c r="CD174" s="534"/>
      <c r="CE174" s="534"/>
      <c r="CF174" s="534"/>
      <c r="CG174" s="534"/>
      <c r="CH174" s="534"/>
      <c r="CI174" s="534"/>
      <c r="CJ174" s="534"/>
      <c r="CK174" s="534"/>
      <c r="CL174" s="534"/>
      <c r="CM174" s="534"/>
      <c r="CN174" s="534"/>
      <c r="CO174" s="534"/>
      <c r="CP174" s="534"/>
      <c r="CQ174" s="534"/>
      <c r="CR174" s="534"/>
      <c r="CS174" s="534"/>
      <c r="CT174" s="534"/>
    </row>
    <row r="175" spans="1:98" ht="12" customHeight="1">
      <c r="A175" s="518" t="s">
        <v>204</v>
      </c>
      <c r="B175" s="538">
        <v>5876938800</v>
      </c>
      <c r="C175" s="538">
        <v>5876938800</v>
      </c>
      <c r="D175" s="538">
        <v>11584183200</v>
      </c>
      <c r="E175" s="539">
        <v>17461122000</v>
      </c>
      <c r="F175" s="539">
        <v>17461122000</v>
      </c>
      <c r="G175" s="538">
        <v>193818454.20000002</v>
      </c>
      <c r="H175" s="532" t="s">
        <v>1115</v>
      </c>
      <c r="I175" s="533"/>
      <c r="J175" s="533"/>
      <c r="K175" s="533"/>
      <c r="N175" s="540"/>
      <c r="O175" s="540"/>
      <c r="P175" s="540"/>
      <c r="Q175" s="540"/>
      <c r="R175" s="540"/>
      <c r="S175" s="540"/>
      <c r="T175" s="541"/>
      <c r="W175" s="542"/>
      <c r="X175" s="542"/>
      <c r="Y175" s="542"/>
      <c r="Z175" s="542"/>
      <c r="AA175" s="542"/>
      <c r="AB175" s="542"/>
      <c r="AC175" s="542"/>
    </row>
    <row r="176" spans="1:98" ht="9" customHeight="1">
      <c r="B176" s="538"/>
      <c r="C176" s="538"/>
      <c r="D176" s="538"/>
      <c r="E176" s="539"/>
      <c r="F176" s="539"/>
      <c r="G176" s="538"/>
      <c r="N176" s="540"/>
      <c r="O176" s="540"/>
      <c r="P176" s="540"/>
      <c r="Q176" s="540"/>
      <c r="R176" s="540"/>
      <c r="S176" s="540"/>
      <c r="T176" s="541"/>
      <c r="W176" s="542"/>
      <c r="X176" s="542"/>
      <c r="Y176" s="542"/>
      <c r="Z176" s="542"/>
      <c r="AA176" s="542"/>
      <c r="AB176" s="542"/>
      <c r="AC176" s="542"/>
    </row>
    <row r="177" spans="1:98" s="529" customFormat="1" ht="12" customHeight="1">
      <c r="A177" s="529" t="s">
        <v>942</v>
      </c>
      <c r="B177" s="543">
        <v>60357500</v>
      </c>
      <c r="C177" s="543">
        <v>60357500</v>
      </c>
      <c r="D177" s="543">
        <v>159888500</v>
      </c>
      <c r="E177" s="544">
        <v>220246000</v>
      </c>
      <c r="F177" s="544">
        <v>220246000</v>
      </c>
      <c r="G177" s="543">
        <v>1761968</v>
      </c>
      <c r="H177" s="532">
        <v>2012</v>
      </c>
      <c r="I177" s="533"/>
      <c r="J177" s="533"/>
      <c r="K177" s="533"/>
      <c r="L177" s="534"/>
      <c r="M177" s="534"/>
      <c r="N177" s="545"/>
      <c r="O177" s="545"/>
      <c r="P177" s="545"/>
      <c r="Q177" s="545"/>
      <c r="R177" s="545"/>
      <c r="S177" s="545"/>
      <c r="T177" s="536"/>
      <c r="U177" s="534"/>
      <c r="V177" s="534"/>
      <c r="W177" s="537"/>
      <c r="X177" s="537"/>
      <c r="Y177" s="537"/>
      <c r="Z177" s="537"/>
      <c r="AA177" s="537"/>
      <c r="AB177" s="537"/>
      <c r="AC177" s="537"/>
      <c r="AD177" s="534"/>
      <c r="AE177" s="534"/>
      <c r="AF177" s="534"/>
      <c r="AG177" s="534"/>
      <c r="AH177" s="534"/>
      <c r="AI177" s="534"/>
      <c r="AJ177" s="534"/>
      <c r="AK177" s="534"/>
      <c r="AL177" s="534"/>
      <c r="AM177" s="534"/>
      <c r="AN177" s="534"/>
      <c r="AO177" s="534"/>
      <c r="AP177" s="534"/>
      <c r="AQ177" s="534"/>
      <c r="AR177" s="534"/>
      <c r="AS177" s="534"/>
      <c r="AT177" s="534"/>
      <c r="AU177" s="534"/>
      <c r="AV177" s="534"/>
      <c r="AW177" s="534"/>
      <c r="AX177" s="534"/>
      <c r="AY177" s="534"/>
      <c r="AZ177" s="534"/>
      <c r="BA177" s="534"/>
      <c r="BB177" s="534"/>
      <c r="BC177" s="534"/>
      <c r="BD177" s="534"/>
      <c r="BE177" s="534"/>
      <c r="BF177" s="534"/>
      <c r="BG177" s="534"/>
      <c r="BH177" s="534"/>
      <c r="BI177" s="534"/>
      <c r="BJ177" s="534"/>
      <c r="BK177" s="534"/>
      <c r="BL177" s="534"/>
      <c r="BM177" s="534"/>
      <c r="BN177" s="534"/>
      <c r="BO177" s="534"/>
      <c r="BP177" s="534"/>
      <c r="BQ177" s="534"/>
      <c r="BR177" s="534"/>
      <c r="BS177" s="534"/>
      <c r="BT177" s="534"/>
      <c r="BU177" s="534"/>
      <c r="BV177" s="534"/>
      <c r="BW177" s="534"/>
      <c r="BX177" s="534"/>
      <c r="BY177" s="534"/>
      <c r="BZ177" s="534"/>
      <c r="CA177" s="534"/>
      <c r="CB177" s="534"/>
      <c r="CC177" s="534"/>
      <c r="CD177" s="534"/>
      <c r="CE177" s="534"/>
      <c r="CF177" s="534"/>
      <c r="CG177" s="534"/>
      <c r="CH177" s="534"/>
      <c r="CI177" s="534"/>
      <c r="CJ177" s="534"/>
      <c r="CK177" s="534"/>
      <c r="CL177" s="534"/>
      <c r="CM177" s="534"/>
      <c r="CN177" s="534"/>
      <c r="CO177" s="534"/>
      <c r="CP177" s="534"/>
      <c r="CQ177" s="534"/>
      <c r="CR177" s="534"/>
      <c r="CS177" s="534"/>
      <c r="CT177" s="534"/>
    </row>
    <row r="178" spans="1:98" s="529" customFormat="1" ht="12" customHeight="1">
      <c r="A178" s="529" t="s">
        <v>208</v>
      </c>
      <c r="B178" s="543">
        <v>416622300</v>
      </c>
      <c r="C178" s="543">
        <v>408881700</v>
      </c>
      <c r="D178" s="543">
        <v>1392849500</v>
      </c>
      <c r="E178" s="544">
        <v>1809471800</v>
      </c>
      <c r="F178" s="544">
        <v>1801731200</v>
      </c>
      <c r="G178" s="543">
        <v>24323371.200000003</v>
      </c>
      <c r="H178" s="532" t="s">
        <v>1115</v>
      </c>
      <c r="I178" s="533"/>
      <c r="J178" s="533"/>
      <c r="K178" s="533"/>
      <c r="L178" s="534"/>
      <c r="M178" s="534"/>
      <c r="N178" s="545"/>
      <c r="O178" s="545"/>
      <c r="P178" s="545"/>
      <c r="Q178" s="545"/>
      <c r="R178" s="545"/>
      <c r="S178" s="545"/>
      <c r="T178" s="536"/>
      <c r="U178" s="534"/>
      <c r="V178" s="534"/>
      <c r="W178" s="537"/>
      <c r="X178" s="537"/>
      <c r="Y178" s="537"/>
      <c r="Z178" s="537"/>
      <c r="AA178" s="537"/>
      <c r="AB178" s="537"/>
      <c r="AC178" s="537"/>
      <c r="AD178" s="534"/>
      <c r="AE178" s="534"/>
      <c r="AF178" s="534"/>
      <c r="AG178" s="534"/>
      <c r="AH178" s="534"/>
      <c r="AI178" s="534"/>
      <c r="AJ178" s="534"/>
      <c r="AK178" s="534"/>
      <c r="AL178" s="534"/>
      <c r="AM178" s="534"/>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534"/>
      <c r="BJ178" s="534"/>
      <c r="BK178" s="534"/>
      <c r="BL178" s="534"/>
      <c r="BM178" s="534"/>
      <c r="BN178" s="534"/>
      <c r="BO178" s="534"/>
      <c r="BP178" s="534"/>
      <c r="BQ178" s="534"/>
      <c r="BR178" s="534"/>
      <c r="BS178" s="534"/>
      <c r="BT178" s="534"/>
      <c r="BU178" s="534"/>
      <c r="BV178" s="534"/>
      <c r="BW178" s="534"/>
      <c r="BX178" s="534"/>
      <c r="BY178" s="534"/>
      <c r="BZ178" s="534"/>
      <c r="CA178" s="534"/>
      <c r="CB178" s="534"/>
      <c r="CC178" s="534"/>
      <c r="CD178" s="534"/>
      <c r="CE178" s="534"/>
      <c r="CF178" s="534"/>
      <c r="CG178" s="534"/>
      <c r="CH178" s="534"/>
      <c r="CI178" s="534"/>
      <c r="CJ178" s="534"/>
      <c r="CK178" s="534"/>
      <c r="CL178" s="534"/>
      <c r="CM178" s="534"/>
      <c r="CN178" s="534"/>
      <c r="CO178" s="534"/>
      <c r="CP178" s="534"/>
      <c r="CQ178" s="534"/>
      <c r="CR178" s="534"/>
      <c r="CS178" s="534"/>
      <c r="CT178" s="534"/>
    </row>
    <row r="179" spans="1:98" s="529" customFormat="1" ht="12" customHeight="1">
      <c r="A179" s="529" t="s">
        <v>943</v>
      </c>
      <c r="B179" s="543">
        <v>706077860</v>
      </c>
      <c r="C179" s="543">
        <v>706077860</v>
      </c>
      <c r="D179" s="543">
        <v>802568200</v>
      </c>
      <c r="E179" s="544">
        <v>1508646060</v>
      </c>
      <c r="F179" s="544">
        <v>1508646060</v>
      </c>
      <c r="G179" s="543">
        <v>13879543.752</v>
      </c>
      <c r="H179" s="532" t="s">
        <v>1115</v>
      </c>
      <c r="I179" s="533"/>
      <c r="J179" s="533"/>
      <c r="K179" s="533"/>
      <c r="L179" s="534"/>
      <c r="M179" s="534"/>
      <c r="N179" s="545"/>
      <c r="O179" s="545"/>
      <c r="P179" s="545"/>
      <c r="Q179" s="545"/>
      <c r="R179" s="545"/>
      <c r="S179" s="545"/>
      <c r="T179" s="536"/>
      <c r="U179" s="534"/>
      <c r="V179" s="534"/>
      <c r="W179" s="537"/>
      <c r="X179" s="537"/>
      <c r="Y179" s="537"/>
      <c r="Z179" s="537"/>
      <c r="AA179" s="537"/>
      <c r="AB179" s="537"/>
      <c r="AC179" s="537"/>
      <c r="AD179" s="534"/>
      <c r="AE179" s="534"/>
      <c r="AF179" s="534"/>
      <c r="AG179" s="534"/>
      <c r="AH179" s="534"/>
      <c r="AI179" s="534"/>
      <c r="AJ179" s="534"/>
      <c r="AK179" s="534"/>
      <c r="AL179" s="534"/>
      <c r="AM179" s="534"/>
      <c r="AN179" s="534"/>
      <c r="AO179" s="534"/>
      <c r="AP179" s="534"/>
      <c r="AQ179" s="534"/>
      <c r="AR179" s="534"/>
      <c r="AS179" s="534"/>
      <c r="AT179" s="534"/>
      <c r="AU179" s="534"/>
      <c r="AV179" s="534"/>
      <c r="AW179" s="534"/>
      <c r="AX179" s="534"/>
      <c r="AY179" s="534"/>
      <c r="AZ179" s="534"/>
      <c r="BA179" s="534"/>
      <c r="BB179" s="534"/>
      <c r="BC179" s="534"/>
      <c r="BD179" s="534"/>
      <c r="BE179" s="534"/>
      <c r="BF179" s="534"/>
      <c r="BG179" s="534"/>
      <c r="BH179" s="534"/>
      <c r="BI179" s="534"/>
      <c r="BJ179" s="534"/>
      <c r="BK179" s="534"/>
      <c r="BL179" s="534"/>
      <c r="BM179" s="534"/>
      <c r="BN179" s="534"/>
      <c r="BO179" s="534"/>
      <c r="BP179" s="534"/>
      <c r="BQ179" s="534"/>
      <c r="BR179" s="534"/>
      <c r="BS179" s="534"/>
      <c r="BT179" s="534"/>
      <c r="BU179" s="534"/>
      <c r="BV179" s="534"/>
      <c r="BW179" s="534"/>
      <c r="BX179" s="534"/>
      <c r="BY179" s="534"/>
      <c r="BZ179" s="534"/>
      <c r="CA179" s="534"/>
      <c r="CB179" s="534"/>
      <c r="CC179" s="534"/>
      <c r="CD179" s="534"/>
      <c r="CE179" s="534"/>
      <c r="CF179" s="534"/>
      <c r="CG179" s="534"/>
      <c r="CH179" s="534"/>
      <c r="CI179" s="534"/>
      <c r="CJ179" s="534"/>
      <c r="CK179" s="534"/>
      <c r="CL179" s="534"/>
      <c r="CM179" s="534"/>
      <c r="CN179" s="534"/>
      <c r="CO179" s="534"/>
      <c r="CP179" s="534"/>
      <c r="CQ179" s="534"/>
      <c r="CR179" s="534"/>
      <c r="CS179" s="534"/>
      <c r="CT179" s="534"/>
    </row>
    <row r="180" spans="1:98" ht="12" customHeight="1">
      <c r="A180" s="518" t="s">
        <v>212</v>
      </c>
      <c r="B180" s="538">
        <v>2072498352</v>
      </c>
      <c r="C180" s="538">
        <v>2072498352</v>
      </c>
      <c r="D180" s="538">
        <v>4946108203</v>
      </c>
      <c r="E180" s="539">
        <v>7018606555</v>
      </c>
      <c r="F180" s="539">
        <v>7018606555</v>
      </c>
      <c r="G180" s="538">
        <v>89136303.248500004</v>
      </c>
      <c r="H180" s="519" t="s">
        <v>1115</v>
      </c>
      <c r="I180" s="533"/>
      <c r="J180" s="533"/>
      <c r="K180" s="533"/>
      <c r="N180" s="540"/>
      <c r="O180" s="540"/>
      <c r="P180" s="540"/>
      <c r="Q180" s="540"/>
      <c r="R180" s="540"/>
      <c r="S180" s="540"/>
      <c r="T180" s="541"/>
      <c r="W180" s="542"/>
      <c r="X180" s="542"/>
      <c r="Y180" s="542"/>
      <c r="Z180" s="542"/>
      <c r="AA180" s="542"/>
      <c r="AB180" s="542"/>
      <c r="AC180" s="542"/>
    </row>
    <row r="181" spans="1:98" ht="12" customHeight="1">
      <c r="A181" s="518" t="s">
        <v>214</v>
      </c>
      <c r="B181" s="538">
        <v>164239900</v>
      </c>
      <c r="C181" s="538">
        <v>162317690</v>
      </c>
      <c r="D181" s="538">
        <v>618097400</v>
      </c>
      <c r="E181" s="539">
        <v>782337300</v>
      </c>
      <c r="F181" s="539">
        <v>780415090</v>
      </c>
      <c r="G181" s="538">
        <v>5931154.6840000004</v>
      </c>
      <c r="H181" s="519">
        <v>2012</v>
      </c>
      <c r="I181" s="533"/>
      <c r="J181" s="533"/>
      <c r="K181" s="533"/>
      <c r="N181" s="540"/>
      <c r="O181" s="540"/>
      <c r="P181" s="540"/>
      <c r="Q181" s="540"/>
      <c r="R181" s="540"/>
      <c r="S181" s="540"/>
      <c r="T181" s="541"/>
      <c r="W181" s="542"/>
      <c r="X181" s="542"/>
      <c r="Y181" s="542"/>
      <c r="Z181" s="542"/>
      <c r="AA181" s="542"/>
      <c r="AB181" s="542"/>
      <c r="AC181" s="542"/>
    </row>
    <row r="182" spans="1:98" ht="9" customHeight="1">
      <c r="B182" s="538"/>
      <c r="C182" s="538"/>
      <c r="D182" s="538"/>
      <c r="E182" s="539"/>
      <c r="F182" s="539"/>
      <c r="G182" s="538"/>
      <c r="N182" s="540"/>
      <c r="O182" s="540"/>
      <c r="P182" s="540"/>
      <c r="Q182" s="540"/>
      <c r="R182" s="540"/>
      <c r="S182" s="540"/>
      <c r="T182" s="541"/>
      <c r="W182" s="542"/>
      <c r="X182" s="542"/>
      <c r="Y182" s="542"/>
      <c r="Z182" s="542"/>
      <c r="AA182" s="542"/>
      <c r="AB182" s="542"/>
      <c r="AC182" s="542"/>
    </row>
    <row r="183" spans="1:98" ht="12" customHeight="1">
      <c r="A183" s="518" t="s">
        <v>178</v>
      </c>
      <c r="B183" s="538">
        <v>5239164500</v>
      </c>
      <c r="C183" s="538">
        <v>5239164500</v>
      </c>
      <c r="D183" s="538">
        <v>14477364500</v>
      </c>
      <c r="E183" s="539">
        <v>19716529000</v>
      </c>
      <c r="F183" s="539">
        <v>19716529000</v>
      </c>
      <c r="G183" s="538">
        <v>236598348</v>
      </c>
      <c r="H183" s="519">
        <v>2012</v>
      </c>
      <c r="I183" s="533"/>
      <c r="J183" s="533"/>
      <c r="K183" s="533"/>
      <c r="N183" s="540"/>
      <c r="O183" s="540"/>
      <c r="P183" s="540"/>
      <c r="Q183" s="540"/>
      <c r="R183" s="540"/>
      <c r="S183" s="540"/>
      <c r="T183" s="541"/>
      <c r="W183" s="542"/>
      <c r="X183" s="542"/>
      <c r="Y183" s="542"/>
      <c r="Z183" s="542"/>
      <c r="AA183" s="542"/>
      <c r="AB183" s="542"/>
      <c r="AC183" s="542"/>
    </row>
    <row r="184" spans="1:98" ht="12" customHeight="1">
      <c r="A184" s="518" t="s">
        <v>37</v>
      </c>
      <c r="B184" s="538">
        <v>1496982600</v>
      </c>
      <c r="C184" s="538">
        <v>1496982600</v>
      </c>
      <c r="D184" s="538">
        <v>5392489600</v>
      </c>
      <c r="E184" s="539">
        <v>6889472200</v>
      </c>
      <c r="F184" s="539">
        <v>6889472200</v>
      </c>
      <c r="G184" s="538">
        <v>81984719.179999992</v>
      </c>
      <c r="H184" s="532" t="s">
        <v>1115</v>
      </c>
      <c r="I184" s="533"/>
      <c r="J184" s="533"/>
      <c r="K184" s="533"/>
      <c r="N184" s="540"/>
      <c r="O184" s="540"/>
      <c r="P184" s="540"/>
      <c r="Q184" s="540"/>
      <c r="R184" s="540"/>
      <c r="S184" s="540"/>
      <c r="T184" s="541"/>
      <c r="W184" s="542"/>
      <c r="X184" s="542"/>
      <c r="Y184" s="542"/>
      <c r="Z184" s="542"/>
      <c r="AA184" s="542"/>
      <c r="AB184" s="542"/>
      <c r="AC184" s="542"/>
    </row>
    <row r="185" spans="1:98" s="529" customFormat="1" ht="12" customHeight="1">
      <c r="A185" s="529" t="s">
        <v>215</v>
      </c>
      <c r="B185" s="543">
        <v>492817400</v>
      </c>
      <c r="C185" s="543">
        <v>492817400</v>
      </c>
      <c r="D185" s="543">
        <v>1500428300</v>
      </c>
      <c r="E185" s="544">
        <v>1993245700</v>
      </c>
      <c r="F185" s="544">
        <v>1993245700</v>
      </c>
      <c r="G185" s="543">
        <v>23520299.259999998</v>
      </c>
      <c r="H185" s="532" t="s">
        <v>1115</v>
      </c>
      <c r="I185" s="533"/>
      <c r="J185" s="533"/>
      <c r="K185" s="533"/>
      <c r="L185" s="534"/>
      <c r="M185" s="534"/>
      <c r="N185" s="545"/>
      <c r="O185" s="545"/>
      <c r="P185" s="545"/>
      <c r="Q185" s="545"/>
      <c r="R185" s="545"/>
      <c r="S185" s="545"/>
      <c r="T185" s="536"/>
      <c r="U185" s="534"/>
      <c r="V185" s="534"/>
      <c r="W185" s="537"/>
      <c r="X185" s="537"/>
      <c r="Y185" s="537"/>
      <c r="Z185" s="537"/>
      <c r="AA185" s="537"/>
      <c r="AB185" s="537"/>
      <c r="AC185" s="537"/>
      <c r="AD185" s="534"/>
      <c r="AE185" s="534"/>
      <c r="AF185" s="534"/>
      <c r="AG185" s="534"/>
      <c r="AH185" s="534"/>
      <c r="AI185" s="534"/>
      <c r="AJ185" s="534"/>
      <c r="AK185" s="534"/>
      <c r="AL185" s="534"/>
      <c r="AM185" s="534"/>
      <c r="AN185" s="534"/>
      <c r="AO185" s="534"/>
      <c r="AP185" s="534"/>
      <c r="AQ185" s="534"/>
      <c r="AR185" s="534"/>
      <c r="AS185" s="534"/>
      <c r="AT185" s="534"/>
      <c r="AU185" s="534"/>
      <c r="AV185" s="534"/>
      <c r="AW185" s="534"/>
      <c r="AX185" s="534"/>
      <c r="AY185" s="534"/>
      <c r="AZ185" s="534"/>
      <c r="BA185" s="534"/>
      <c r="BB185" s="534"/>
      <c r="BC185" s="534"/>
      <c r="BD185" s="534"/>
      <c r="BE185" s="534"/>
      <c r="BF185" s="534"/>
      <c r="BG185" s="534"/>
      <c r="BH185" s="534"/>
      <c r="BI185" s="534"/>
      <c r="BJ185" s="534"/>
      <c r="BK185" s="534"/>
      <c r="BL185" s="534"/>
      <c r="BM185" s="534"/>
      <c r="BN185" s="534"/>
      <c r="BO185" s="534"/>
      <c r="BP185" s="534"/>
      <c r="BQ185" s="534"/>
      <c r="BR185" s="534"/>
      <c r="BS185" s="534"/>
      <c r="BT185" s="534"/>
      <c r="BU185" s="534"/>
      <c r="BV185" s="534"/>
      <c r="BW185" s="534"/>
      <c r="BX185" s="534"/>
      <c r="BY185" s="534"/>
      <c r="BZ185" s="534"/>
      <c r="CA185" s="534"/>
      <c r="CB185" s="534"/>
      <c r="CC185" s="534"/>
      <c r="CD185" s="534"/>
      <c r="CE185" s="534"/>
      <c r="CF185" s="534"/>
      <c r="CG185" s="534"/>
      <c r="CH185" s="534"/>
      <c r="CI185" s="534"/>
      <c r="CJ185" s="534"/>
      <c r="CK185" s="534"/>
      <c r="CL185" s="534"/>
      <c r="CM185" s="534"/>
      <c r="CN185" s="534"/>
      <c r="CO185" s="534"/>
      <c r="CP185" s="534"/>
      <c r="CQ185" s="534"/>
      <c r="CR185" s="534"/>
      <c r="CS185" s="534"/>
      <c r="CT185" s="534"/>
    </row>
    <row r="186" spans="1:98" s="529" customFormat="1" ht="12" customHeight="1">
      <c r="A186" s="529" t="s">
        <v>216</v>
      </c>
      <c r="B186" s="543">
        <v>444512745</v>
      </c>
      <c r="C186" s="543">
        <v>422726155</v>
      </c>
      <c r="D186" s="543">
        <v>1407984796</v>
      </c>
      <c r="E186" s="544">
        <v>1852497541</v>
      </c>
      <c r="F186" s="544">
        <v>1830710951</v>
      </c>
      <c r="G186" s="543">
        <v>16476398.559000002</v>
      </c>
      <c r="H186" s="532">
        <v>2012</v>
      </c>
      <c r="I186" s="533"/>
      <c r="J186" s="533"/>
      <c r="K186" s="533"/>
      <c r="L186" s="534"/>
      <c r="M186" s="534"/>
      <c r="N186" s="545"/>
      <c r="O186" s="545"/>
      <c r="P186" s="545"/>
      <c r="Q186" s="545"/>
      <c r="R186" s="545"/>
      <c r="S186" s="545"/>
      <c r="T186" s="536"/>
      <c r="U186" s="534"/>
      <c r="V186" s="534"/>
      <c r="W186" s="537"/>
      <c r="X186" s="537"/>
      <c r="Y186" s="537"/>
      <c r="Z186" s="537"/>
      <c r="AA186" s="537"/>
      <c r="AB186" s="537"/>
      <c r="AC186" s="537"/>
      <c r="AD186" s="534"/>
      <c r="AE186" s="534"/>
      <c r="AF186" s="534"/>
      <c r="AG186" s="534"/>
      <c r="AH186" s="534"/>
      <c r="AI186" s="534"/>
      <c r="AJ186" s="534"/>
      <c r="AK186" s="534"/>
      <c r="AL186" s="534"/>
      <c r="AM186" s="534"/>
      <c r="AN186" s="534"/>
      <c r="AO186" s="534"/>
      <c r="AP186" s="534"/>
      <c r="AQ186" s="534"/>
      <c r="AR186" s="534"/>
      <c r="AS186" s="534"/>
      <c r="AT186" s="534"/>
      <c r="AU186" s="534"/>
      <c r="AV186" s="534"/>
      <c r="AW186" s="534"/>
      <c r="AX186" s="534"/>
      <c r="AY186" s="534"/>
      <c r="AZ186" s="534"/>
      <c r="BA186" s="534"/>
      <c r="BB186" s="534"/>
      <c r="BC186" s="534"/>
      <c r="BD186" s="534"/>
      <c r="BE186" s="534"/>
      <c r="BF186" s="534"/>
      <c r="BG186" s="534"/>
      <c r="BH186" s="534"/>
      <c r="BI186" s="534"/>
      <c r="BJ186" s="534"/>
      <c r="BK186" s="534"/>
      <c r="BL186" s="534"/>
      <c r="BM186" s="534"/>
      <c r="BN186" s="534"/>
      <c r="BO186" s="534"/>
      <c r="BP186" s="534"/>
      <c r="BQ186" s="534"/>
      <c r="BR186" s="534"/>
      <c r="BS186" s="534"/>
      <c r="BT186" s="534"/>
      <c r="BU186" s="534"/>
      <c r="BV186" s="534"/>
      <c r="BW186" s="534"/>
      <c r="BX186" s="534"/>
      <c r="BY186" s="534"/>
      <c r="BZ186" s="534"/>
      <c r="CA186" s="534"/>
      <c r="CB186" s="534"/>
      <c r="CC186" s="534"/>
      <c r="CD186" s="534"/>
      <c r="CE186" s="534"/>
      <c r="CF186" s="534"/>
      <c r="CG186" s="534"/>
      <c r="CH186" s="534"/>
      <c r="CI186" s="534"/>
      <c r="CJ186" s="534"/>
      <c r="CK186" s="534"/>
      <c r="CL186" s="534"/>
      <c r="CM186" s="534"/>
      <c r="CN186" s="534"/>
      <c r="CO186" s="534"/>
      <c r="CP186" s="534"/>
      <c r="CQ186" s="534"/>
      <c r="CR186" s="534"/>
      <c r="CS186" s="534"/>
      <c r="CT186" s="534"/>
    </row>
    <row r="187" spans="1:98" ht="12" customHeight="1">
      <c r="A187" s="518" t="s">
        <v>217</v>
      </c>
      <c r="B187" s="538">
        <v>3538477500</v>
      </c>
      <c r="C187" s="538">
        <v>2975146700</v>
      </c>
      <c r="D187" s="538">
        <v>5832704200</v>
      </c>
      <c r="E187" s="539">
        <v>9371181700</v>
      </c>
      <c r="F187" s="539">
        <v>8807850900</v>
      </c>
      <c r="G187" s="538">
        <v>86613203</v>
      </c>
      <c r="H187" s="519" t="s">
        <v>1115</v>
      </c>
      <c r="I187" s="533"/>
      <c r="J187" s="533"/>
      <c r="K187" s="533"/>
      <c r="N187" s="540"/>
      <c r="O187" s="540"/>
      <c r="P187" s="540"/>
      <c r="Q187" s="540"/>
      <c r="R187" s="540"/>
      <c r="S187" s="540"/>
      <c r="T187" s="541"/>
      <c r="W187" s="542"/>
      <c r="X187" s="542"/>
      <c r="Y187" s="542"/>
      <c r="Z187" s="542"/>
      <c r="AA187" s="542"/>
      <c r="AB187" s="542"/>
      <c r="AC187" s="542"/>
    </row>
    <row r="188" spans="1:98" ht="9" customHeight="1">
      <c r="B188" s="538"/>
      <c r="C188" s="538"/>
      <c r="D188" s="538"/>
      <c r="E188" s="539"/>
      <c r="F188" s="539"/>
      <c r="G188" s="538"/>
      <c r="N188" s="540"/>
      <c r="O188" s="540"/>
      <c r="P188" s="540"/>
      <c r="Q188" s="540"/>
      <c r="R188" s="540"/>
      <c r="S188" s="540"/>
      <c r="T188" s="541"/>
      <c r="W188" s="542"/>
      <c r="X188" s="542"/>
      <c r="Y188" s="542"/>
      <c r="Z188" s="542"/>
      <c r="AA188" s="542"/>
      <c r="AB188" s="542"/>
      <c r="AC188" s="542"/>
    </row>
    <row r="189" spans="1:98" ht="12" customHeight="1">
      <c r="A189" s="518" t="s">
        <v>799</v>
      </c>
      <c r="B189" s="538">
        <v>23366566244</v>
      </c>
      <c r="C189" s="538">
        <v>23028379244</v>
      </c>
      <c r="D189" s="538">
        <v>25815595958</v>
      </c>
      <c r="E189" s="539">
        <v>49182162202</v>
      </c>
      <c r="F189" s="539">
        <v>48843975202</v>
      </c>
      <c r="G189" s="538">
        <v>464017764.41899997</v>
      </c>
      <c r="H189" s="519" t="s">
        <v>1115</v>
      </c>
      <c r="I189" s="533"/>
      <c r="J189" s="533"/>
      <c r="K189" s="533"/>
      <c r="N189" s="540"/>
      <c r="O189" s="540"/>
      <c r="P189" s="540"/>
      <c r="Q189" s="540"/>
      <c r="R189" s="540"/>
      <c r="S189" s="540"/>
      <c r="T189" s="541"/>
      <c r="W189" s="542"/>
      <c r="X189" s="542"/>
      <c r="Y189" s="542"/>
      <c r="Z189" s="542"/>
      <c r="AA189" s="542"/>
      <c r="AB189" s="542"/>
      <c r="AC189" s="542"/>
    </row>
    <row r="190" spans="1:98" s="529" customFormat="1" ht="12" customHeight="1">
      <c r="A190" s="529" t="s">
        <v>219</v>
      </c>
      <c r="B190" s="543">
        <v>637430400</v>
      </c>
      <c r="C190" s="543">
        <v>622250500</v>
      </c>
      <c r="D190" s="543">
        <v>1126049000</v>
      </c>
      <c r="E190" s="544">
        <v>1763479400</v>
      </c>
      <c r="F190" s="544">
        <v>1748299500</v>
      </c>
      <c r="G190" s="543">
        <v>13112246.25</v>
      </c>
      <c r="H190" s="532">
        <v>2012</v>
      </c>
      <c r="I190" s="533"/>
      <c r="J190" s="533"/>
      <c r="K190" s="533"/>
      <c r="L190" s="534"/>
      <c r="M190" s="534"/>
      <c r="N190" s="545"/>
      <c r="O190" s="545"/>
      <c r="P190" s="545"/>
      <c r="Q190" s="545"/>
      <c r="R190" s="545"/>
      <c r="S190" s="545"/>
      <c r="T190" s="536"/>
      <c r="U190" s="534"/>
      <c r="V190" s="534"/>
      <c r="W190" s="537"/>
      <c r="X190" s="537"/>
      <c r="Y190" s="537"/>
      <c r="Z190" s="537"/>
      <c r="AA190" s="537"/>
      <c r="AB190" s="537"/>
      <c r="AC190" s="537"/>
      <c r="AD190" s="534"/>
      <c r="AE190" s="534"/>
      <c r="AF190" s="534"/>
      <c r="AG190" s="534"/>
      <c r="AH190" s="534"/>
      <c r="AI190" s="534"/>
      <c r="AJ190" s="534"/>
      <c r="AK190" s="534"/>
      <c r="AL190" s="534"/>
      <c r="AM190" s="534"/>
      <c r="AN190" s="534"/>
      <c r="AO190" s="534"/>
      <c r="AP190" s="534"/>
      <c r="AQ190" s="534"/>
      <c r="AR190" s="534"/>
      <c r="AS190" s="534"/>
      <c r="AT190" s="534"/>
      <c r="AU190" s="534"/>
      <c r="AV190" s="534"/>
      <c r="AW190" s="534"/>
      <c r="AX190" s="534"/>
      <c r="AY190" s="534"/>
      <c r="AZ190" s="534"/>
      <c r="BA190" s="534"/>
      <c r="BB190" s="534"/>
      <c r="BC190" s="534"/>
      <c r="BD190" s="534"/>
      <c r="BE190" s="534"/>
      <c r="BF190" s="534"/>
      <c r="BG190" s="534"/>
      <c r="BH190" s="534"/>
      <c r="BI190" s="534"/>
      <c r="BJ190" s="534"/>
      <c r="BK190" s="534"/>
      <c r="BL190" s="534"/>
      <c r="BM190" s="534"/>
      <c r="BN190" s="534"/>
      <c r="BO190" s="534"/>
      <c r="BP190" s="534"/>
      <c r="BQ190" s="534"/>
      <c r="BR190" s="534"/>
      <c r="BS190" s="534"/>
      <c r="BT190" s="534"/>
      <c r="BU190" s="534"/>
      <c r="BV190" s="534"/>
      <c r="BW190" s="534"/>
      <c r="BX190" s="534"/>
      <c r="BY190" s="534"/>
      <c r="BZ190" s="534"/>
      <c r="CA190" s="534"/>
      <c r="CB190" s="534"/>
      <c r="CC190" s="534"/>
      <c r="CD190" s="534"/>
      <c r="CE190" s="534"/>
      <c r="CF190" s="534"/>
      <c r="CG190" s="534"/>
      <c r="CH190" s="534"/>
      <c r="CI190" s="534"/>
      <c r="CJ190" s="534"/>
      <c r="CK190" s="534"/>
      <c r="CL190" s="534"/>
      <c r="CM190" s="534"/>
      <c r="CN190" s="534"/>
      <c r="CO190" s="534"/>
      <c r="CP190" s="534"/>
      <c r="CQ190" s="534"/>
      <c r="CR190" s="534"/>
      <c r="CS190" s="534"/>
      <c r="CT190" s="534"/>
    </row>
    <row r="191" spans="1:98" ht="12" customHeight="1">
      <c r="A191" s="518" t="s">
        <v>944</v>
      </c>
      <c r="B191" s="538">
        <v>548461900</v>
      </c>
      <c r="C191" s="538">
        <v>548461900</v>
      </c>
      <c r="D191" s="538">
        <v>1079441300</v>
      </c>
      <c r="E191" s="539">
        <v>1627903200</v>
      </c>
      <c r="F191" s="539">
        <v>1627903200</v>
      </c>
      <c r="G191" s="538">
        <v>9279048.2399999984</v>
      </c>
      <c r="H191" s="519" t="s">
        <v>1115</v>
      </c>
      <c r="I191" s="533"/>
      <c r="J191" s="533"/>
      <c r="K191" s="533"/>
      <c r="N191" s="540"/>
      <c r="O191" s="540"/>
      <c r="P191" s="540"/>
      <c r="Q191" s="540"/>
      <c r="R191" s="540"/>
      <c r="S191" s="540"/>
      <c r="T191" s="541"/>
      <c r="W191" s="542"/>
      <c r="X191" s="542"/>
      <c r="Y191" s="542"/>
      <c r="Z191" s="542"/>
      <c r="AA191" s="542"/>
      <c r="AB191" s="542"/>
      <c r="AC191" s="542"/>
    </row>
    <row r="192" spans="1:98" ht="12" customHeight="1">
      <c r="A192" s="520" t="s">
        <v>223</v>
      </c>
      <c r="B192" s="553">
        <v>1047093000</v>
      </c>
      <c r="C192" s="553">
        <v>1042772700</v>
      </c>
      <c r="D192" s="553">
        <v>1709901400</v>
      </c>
      <c r="E192" s="540">
        <v>2756994400</v>
      </c>
      <c r="F192" s="540">
        <v>2752674100</v>
      </c>
      <c r="G192" s="553">
        <v>26150403.949999999</v>
      </c>
      <c r="H192" s="572">
        <v>2012</v>
      </c>
      <c r="I192" s="533"/>
      <c r="J192" s="533"/>
      <c r="K192" s="533"/>
      <c r="N192" s="540"/>
      <c r="O192" s="540"/>
      <c r="P192" s="540"/>
      <c r="Q192" s="540"/>
      <c r="R192" s="540"/>
      <c r="S192" s="540"/>
      <c r="T192" s="541"/>
      <c r="W192" s="542"/>
      <c r="X192" s="542"/>
      <c r="Y192" s="542"/>
      <c r="Z192" s="542"/>
      <c r="AA192" s="542"/>
      <c r="AB192" s="542"/>
      <c r="AC192" s="542"/>
    </row>
    <row r="193" spans="1:98">
      <c r="I193" s="533"/>
      <c r="J193" s="533"/>
      <c r="K193" s="533"/>
    </row>
    <row r="194" spans="1:98" s="563" customFormat="1" ht="12.75" customHeight="1">
      <c r="A194" s="573" t="s">
        <v>39</v>
      </c>
      <c r="B194" s="557">
        <f>SUM(B142:B164,B171:B192)</f>
        <v>88928058265</v>
      </c>
      <c r="C194" s="557">
        <f t="shared" ref="C194:G194" si="1">SUM(C142:C164,C171:C192)</f>
        <v>87851664904</v>
      </c>
      <c r="D194" s="557">
        <f t="shared" si="1"/>
        <v>156300817029</v>
      </c>
      <c r="E194" s="557">
        <f t="shared" si="1"/>
        <v>245228875294</v>
      </c>
      <c r="F194" s="557">
        <f t="shared" si="1"/>
        <v>244152481933</v>
      </c>
      <c r="G194" s="557">
        <f t="shared" si="1"/>
        <v>2523543890.19982</v>
      </c>
      <c r="H194" s="558"/>
      <c r="L194" s="560"/>
      <c r="M194" s="560"/>
      <c r="N194" s="562"/>
      <c r="O194" s="562"/>
      <c r="P194" s="562"/>
      <c r="Q194" s="562"/>
      <c r="R194" s="562"/>
      <c r="S194" s="562"/>
      <c r="T194" s="560"/>
      <c r="U194" s="560"/>
      <c r="V194" s="560"/>
      <c r="W194" s="560"/>
      <c r="X194" s="560"/>
      <c r="Y194" s="560"/>
      <c r="Z194" s="560"/>
      <c r="AA194" s="560"/>
      <c r="AB194" s="560"/>
      <c r="AC194" s="560"/>
      <c r="AD194" s="560"/>
      <c r="AE194" s="560"/>
      <c r="AF194" s="560"/>
      <c r="AG194" s="560"/>
      <c r="AH194" s="560"/>
      <c r="AI194" s="560"/>
      <c r="AJ194" s="560"/>
      <c r="AK194" s="560"/>
      <c r="AL194" s="560"/>
      <c r="AM194" s="560"/>
      <c r="AN194" s="560"/>
      <c r="AO194" s="560"/>
      <c r="AP194" s="560"/>
      <c r="AQ194" s="560"/>
      <c r="AR194" s="560"/>
      <c r="AS194" s="560"/>
      <c r="AT194" s="560"/>
      <c r="AU194" s="560"/>
      <c r="AV194" s="560"/>
      <c r="AW194" s="560"/>
      <c r="AX194" s="560"/>
      <c r="AY194" s="560"/>
      <c r="AZ194" s="560"/>
      <c r="BA194" s="560"/>
      <c r="BB194" s="560"/>
      <c r="BC194" s="560"/>
      <c r="BD194" s="560"/>
      <c r="BE194" s="560"/>
      <c r="BF194" s="560"/>
      <c r="BG194" s="560"/>
      <c r="BH194" s="560"/>
      <c r="BI194" s="560"/>
      <c r="BJ194" s="560"/>
      <c r="BK194" s="560"/>
      <c r="BL194" s="560"/>
      <c r="BM194" s="560"/>
      <c r="BN194" s="560"/>
      <c r="BO194" s="560"/>
      <c r="BP194" s="560"/>
      <c r="BQ194" s="560"/>
      <c r="BR194" s="560"/>
      <c r="BS194" s="560"/>
      <c r="BT194" s="560"/>
      <c r="BU194" s="560"/>
      <c r="BV194" s="560"/>
      <c r="BW194" s="560"/>
      <c r="BX194" s="560"/>
      <c r="BY194" s="560"/>
      <c r="BZ194" s="560"/>
      <c r="CA194" s="560"/>
      <c r="CB194" s="560"/>
      <c r="CC194" s="560"/>
      <c r="CD194" s="560"/>
      <c r="CE194" s="560"/>
      <c r="CF194" s="560"/>
      <c r="CG194" s="560"/>
      <c r="CH194" s="560"/>
      <c r="CI194" s="560"/>
      <c r="CJ194" s="560"/>
      <c r="CK194" s="560"/>
      <c r="CL194" s="560"/>
      <c r="CM194" s="560"/>
      <c r="CN194" s="560"/>
      <c r="CO194" s="560"/>
      <c r="CP194" s="560"/>
      <c r="CQ194" s="560"/>
      <c r="CR194" s="560"/>
      <c r="CS194" s="560"/>
      <c r="CT194" s="560"/>
    </row>
    <row r="195" spans="1:98" s="563" customFormat="1" ht="12.75" customHeight="1">
      <c r="A195" s="573" t="s">
        <v>34</v>
      </c>
      <c r="B195" s="557">
        <f>B136</f>
        <v>284290183231</v>
      </c>
      <c r="C195" s="557">
        <f t="shared" ref="C195:G195" si="2">C136</f>
        <v>256071765990</v>
      </c>
      <c r="D195" s="557">
        <f t="shared" si="2"/>
        <v>453857977165</v>
      </c>
      <c r="E195" s="557">
        <f t="shared" si="2"/>
        <v>738148160396</v>
      </c>
      <c r="F195" s="557">
        <f t="shared" si="2"/>
        <v>709929743155</v>
      </c>
      <c r="G195" s="557">
        <f t="shared" si="2"/>
        <v>6504941997.5151901</v>
      </c>
      <c r="H195" s="558"/>
      <c r="L195" s="560"/>
      <c r="M195" s="560"/>
      <c r="N195" s="562"/>
      <c r="O195" s="562"/>
      <c r="P195" s="562"/>
      <c r="Q195" s="562"/>
      <c r="R195" s="562"/>
      <c r="S195" s="562"/>
      <c r="T195" s="560"/>
      <c r="U195" s="560"/>
      <c r="V195" s="560"/>
      <c r="W195" s="560"/>
      <c r="X195" s="560"/>
      <c r="Y195" s="560"/>
      <c r="Z195" s="560"/>
      <c r="AA195" s="560"/>
      <c r="AB195" s="560"/>
      <c r="AC195" s="560"/>
      <c r="AD195" s="560"/>
      <c r="AE195" s="560"/>
      <c r="AF195" s="560"/>
      <c r="AG195" s="560"/>
      <c r="AH195" s="560"/>
      <c r="AI195" s="560"/>
      <c r="AJ195" s="560"/>
      <c r="AK195" s="560"/>
      <c r="AL195" s="560"/>
      <c r="AM195" s="560"/>
      <c r="AN195" s="560"/>
      <c r="AO195" s="560"/>
      <c r="AP195" s="560"/>
      <c r="AQ195" s="560"/>
      <c r="AR195" s="560"/>
      <c r="AS195" s="560"/>
      <c r="AT195" s="560"/>
      <c r="AU195" s="560"/>
      <c r="AV195" s="560"/>
      <c r="AW195" s="560"/>
      <c r="AX195" s="560"/>
      <c r="AY195" s="560"/>
      <c r="AZ195" s="560"/>
      <c r="BA195" s="560"/>
      <c r="BB195" s="560"/>
      <c r="BC195" s="560"/>
      <c r="BD195" s="560"/>
      <c r="BE195" s="560"/>
      <c r="BF195" s="560"/>
      <c r="BG195" s="560"/>
      <c r="BH195" s="560"/>
      <c r="BI195" s="560"/>
      <c r="BJ195" s="560"/>
      <c r="BK195" s="560"/>
      <c r="BL195" s="560"/>
      <c r="BM195" s="560"/>
      <c r="BN195" s="560"/>
      <c r="BO195" s="560"/>
      <c r="BP195" s="560"/>
      <c r="BQ195" s="560"/>
      <c r="BR195" s="560"/>
      <c r="BS195" s="560"/>
      <c r="BT195" s="560"/>
      <c r="BU195" s="560"/>
      <c r="BV195" s="560"/>
      <c r="BW195" s="560"/>
      <c r="BX195" s="560"/>
      <c r="BY195" s="560"/>
      <c r="BZ195" s="560"/>
      <c r="CA195" s="560"/>
      <c r="CB195" s="560"/>
      <c r="CC195" s="560"/>
      <c r="CD195" s="560"/>
      <c r="CE195" s="560"/>
      <c r="CF195" s="560"/>
      <c r="CG195" s="560"/>
      <c r="CH195" s="560"/>
      <c r="CI195" s="560"/>
      <c r="CJ195" s="560"/>
      <c r="CK195" s="560"/>
      <c r="CL195" s="560"/>
      <c r="CM195" s="560"/>
      <c r="CN195" s="560"/>
      <c r="CO195" s="560"/>
      <c r="CP195" s="560"/>
      <c r="CQ195" s="560"/>
      <c r="CR195" s="560"/>
      <c r="CS195" s="560"/>
      <c r="CT195" s="560"/>
    </row>
    <row r="196" spans="1:98">
      <c r="A196" s="574"/>
      <c r="B196" s="575"/>
      <c r="C196" s="575"/>
      <c r="D196" s="575"/>
      <c r="E196" s="575"/>
      <c r="F196" s="575"/>
      <c r="G196" s="575"/>
      <c r="H196" s="576"/>
      <c r="N196" s="564"/>
      <c r="O196" s="564"/>
      <c r="P196" s="564"/>
      <c r="Q196" s="564"/>
      <c r="R196" s="564"/>
      <c r="S196" s="564"/>
    </row>
    <row r="197" spans="1:98" s="563" customFormat="1" ht="12.75" customHeight="1">
      <c r="A197" s="573" t="s">
        <v>40</v>
      </c>
      <c r="B197" s="557">
        <f t="shared" ref="B197:G197" si="3">B194+B195</f>
        <v>373218241496</v>
      </c>
      <c r="C197" s="557">
        <f t="shared" si="3"/>
        <v>343923430894</v>
      </c>
      <c r="D197" s="557">
        <f t="shared" si="3"/>
        <v>610158794194</v>
      </c>
      <c r="E197" s="557">
        <f t="shared" si="3"/>
        <v>983377035690</v>
      </c>
      <c r="F197" s="557">
        <f t="shared" si="3"/>
        <v>954082225088</v>
      </c>
      <c r="G197" s="557">
        <f t="shared" si="3"/>
        <v>9028485887.7150097</v>
      </c>
      <c r="H197" s="558"/>
      <c r="L197" s="560"/>
      <c r="M197" s="560"/>
      <c r="N197" s="562"/>
      <c r="O197" s="562"/>
      <c r="P197" s="562"/>
      <c r="Q197" s="562"/>
      <c r="R197" s="562"/>
      <c r="S197" s="562"/>
      <c r="T197" s="560"/>
      <c r="U197" s="560"/>
      <c r="V197" s="560"/>
      <c r="W197" s="560"/>
      <c r="X197" s="560"/>
      <c r="Y197" s="560"/>
      <c r="Z197" s="560"/>
      <c r="AA197" s="560"/>
      <c r="AB197" s="560"/>
      <c r="AC197" s="560"/>
      <c r="AD197" s="560"/>
      <c r="AE197" s="560"/>
      <c r="AF197" s="560"/>
      <c r="AG197" s="560"/>
      <c r="AH197" s="560"/>
      <c r="AI197" s="560"/>
      <c r="AJ197" s="560"/>
      <c r="AK197" s="560"/>
      <c r="AL197" s="560"/>
      <c r="AM197" s="560"/>
      <c r="AN197" s="560"/>
      <c r="AO197" s="560"/>
      <c r="AP197" s="560"/>
      <c r="AQ197" s="560"/>
      <c r="AR197" s="560"/>
      <c r="AS197" s="560"/>
      <c r="AT197" s="560"/>
      <c r="AU197" s="560"/>
      <c r="AV197" s="560"/>
      <c r="AW197" s="560"/>
      <c r="AX197" s="560"/>
      <c r="AY197" s="560"/>
      <c r="AZ197" s="560"/>
      <c r="BA197" s="560"/>
      <c r="BB197" s="560"/>
      <c r="BC197" s="560"/>
      <c r="BD197" s="560"/>
      <c r="BE197" s="560"/>
      <c r="BF197" s="560"/>
      <c r="BG197" s="560"/>
      <c r="BH197" s="560"/>
      <c r="BI197" s="560"/>
      <c r="BJ197" s="560"/>
      <c r="BK197" s="560"/>
      <c r="BL197" s="560"/>
      <c r="BM197" s="560"/>
      <c r="BN197" s="560"/>
      <c r="BO197" s="560"/>
      <c r="BP197" s="560"/>
      <c r="BQ197" s="560"/>
      <c r="BR197" s="560"/>
      <c r="BS197" s="560"/>
      <c r="BT197" s="560"/>
      <c r="BU197" s="560"/>
      <c r="BV197" s="560"/>
      <c r="BW197" s="560"/>
      <c r="BX197" s="560"/>
      <c r="BY197" s="560"/>
      <c r="BZ197" s="560"/>
      <c r="CA197" s="560"/>
      <c r="CB197" s="560"/>
      <c r="CC197" s="560"/>
      <c r="CD197" s="560"/>
      <c r="CE197" s="560"/>
      <c r="CF197" s="560"/>
      <c r="CG197" s="560"/>
      <c r="CH197" s="560"/>
      <c r="CI197" s="560"/>
      <c r="CJ197" s="560"/>
      <c r="CK197" s="560"/>
      <c r="CL197" s="560"/>
      <c r="CM197" s="560"/>
      <c r="CN197" s="560"/>
      <c r="CO197" s="560"/>
      <c r="CP197" s="560"/>
      <c r="CQ197" s="560"/>
      <c r="CR197" s="560"/>
      <c r="CS197" s="560"/>
      <c r="CT197" s="560"/>
    </row>
    <row r="198" spans="1:98" ht="13.2">
      <c r="B198" s="1075"/>
      <c r="C198" s="1074"/>
      <c r="D198" s="1075"/>
      <c r="E198" s="1075"/>
      <c r="F198" s="1075"/>
      <c r="G198" s="1075"/>
    </row>
    <row r="200" spans="1:98">
      <c r="A200" s="518" t="s">
        <v>2</v>
      </c>
      <c r="M200" s="1150"/>
      <c r="N200" s="1150"/>
      <c r="O200" s="1150"/>
      <c r="P200" s="1150"/>
      <c r="Q200" s="1150"/>
      <c r="R200" s="1150"/>
      <c r="S200" s="1150"/>
      <c r="T200" s="1150"/>
    </row>
    <row r="201" spans="1:98">
      <c r="A201" s="1151" t="s">
        <v>945</v>
      </c>
      <c r="B201" s="1151"/>
      <c r="C201" s="1151"/>
      <c r="D201" s="1151"/>
      <c r="E201" s="1151"/>
      <c r="F201" s="1151"/>
      <c r="G201" s="1151"/>
      <c r="H201" s="1151"/>
      <c r="M201" s="1150"/>
      <c r="N201" s="1150"/>
      <c r="O201" s="1150"/>
      <c r="P201" s="1150"/>
      <c r="Q201" s="1150"/>
      <c r="R201" s="1150"/>
      <c r="S201" s="1150"/>
      <c r="T201" s="1150"/>
    </row>
    <row r="202" spans="1:98">
      <c r="A202" s="1151" t="s">
        <v>946</v>
      </c>
      <c r="B202" s="1151"/>
      <c r="C202" s="1151"/>
      <c r="D202" s="1151"/>
      <c r="E202" s="1151"/>
      <c r="F202" s="1151"/>
      <c r="G202" s="1151"/>
      <c r="H202" s="1151"/>
      <c r="M202" s="1150"/>
      <c r="N202" s="1150"/>
      <c r="O202" s="1150"/>
      <c r="P202" s="1150"/>
      <c r="Q202" s="1150"/>
      <c r="R202" s="1150"/>
      <c r="S202" s="1150"/>
      <c r="T202" s="1150"/>
    </row>
    <row r="203" spans="1:98">
      <c r="A203" s="1151" t="s">
        <v>947</v>
      </c>
      <c r="B203" s="1151"/>
      <c r="C203" s="1151"/>
      <c r="D203" s="1151"/>
      <c r="E203" s="1151"/>
      <c r="F203" s="1151"/>
      <c r="G203" s="1151"/>
      <c r="H203" s="1151"/>
      <c r="M203" s="1150"/>
      <c r="N203" s="1150"/>
      <c r="O203" s="1150"/>
      <c r="P203" s="1150"/>
      <c r="Q203" s="1150"/>
      <c r="R203" s="1150"/>
      <c r="S203" s="1150"/>
      <c r="T203" s="1150"/>
    </row>
    <row r="204" spans="1:98">
      <c r="A204" s="1151" t="s">
        <v>948</v>
      </c>
      <c r="B204" s="1151"/>
      <c r="C204" s="1151"/>
      <c r="D204" s="1151"/>
      <c r="E204" s="1151"/>
      <c r="F204" s="1151"/>
      <c r="G204" s="1151"/>
      <c r="H204" s="1151"/>
    </row>
    <row r="207" spans="1:98" ht="12">
      <c r="A207" s="568"/>
      <c r="M207" s="521"/>
    </row>
    <row r="210" spans="4:4">
      <c r="D210" s="538"/>
    </row>
    <row r="214" spans="4:4" ht="7.5" customHeight="1"/>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2:H2"/>
    <mergeCell ref="M2:T2"/>
    <mergeCell ref="A43:H43"/>
    <mergeCell ref="M55:T55"/>
    <mergeCell ref="M57:T57"/>
    <mergeCell ref="N77:S77"/>
    <mergeCell ref="A84:H84"/>
    <mergeCell ref="M108:T108"/>
    <mergeCell ref="M110:T110"/>
    <mergeCell ref="A125:H125"/>
    <mergeCell ref="A166:H166"/>
    <mergeCell ref="M200:T200"/>
    <mergeCell ref="A204:H204"/>
    <mergeCell ref="A201:H201"/>
    <mergeCell ref="M201:T201"/>
    <mergeCell ref="A202:H202"/>
    <mergeCell ref="M202:T202"/>
    <mergeCell ref="A203:H203"/>
    <mergeCell ref="M203:T203"/>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sheetPr codeName="Sheet29"/>
  <dimension ref="A1:M217"/>
  <sheetViews>
    <sheetView zoomScaleNormal="100" workbookViewId="0"/>
  </sheetViews>
  <sheetFormatPr defaultColWidth="8.6640625" defaultRowHeight="11.4"/>
  <cols>
    <col min="1" max="1" width="16.6640625" style="518" customWidth="1"/>
    <col min="2" max="2" width="16.88671875" style="518" bestFit="1" customWidth="1"/>
    <col min="3" max="3" width="14.33203125" style="518" bestFit="1" customWidth="1"/>
    <col min="4" max="4" width="14.5546875" style="518" bestFit="1" customWidth="1"/>
    <col min="5" max="5" width="15.33203125" style="518" bestFit="1" customWidth="1"/>
    <col min="6" max="6" width="16.88671875" style="518" customWidth="1"/>
    <col min="7" max="7" width="12.5546875" style="518" bestFit="1" customWidth="1"/>
    <col min="8" max="8" width="13.33203125" style="518" bestFit="1" customWidth="1"/>
    <col min="9" max="9" width="8.6640625" style="518" customWidth="1"/>
    <col min="10" max="10" width="8.6640625" style="581" customWidth="1"/>
    <col min="11" max="16384" width="8.6640625" style="518"/>
  </cols>
  <sheetData>
    <row r="1" spans="1:13" s="568" customFormat="1" ht="13.8">
      <c r="A1" s="517" t="s">
        <v>963</v>
      </c>
      <c r="J1" s="577"/>
    </row>
    <row r="2" spans="1:13" s="578" customFormat="1" ht="13.2">
      <c r="A2" s="1148" t="s">
        <v>1104</v>
      </c>
      <c r="B2" s="1149"/>
      <c r="C2" s="1149"/>
      <c r="D2" s="1149"/>
      <c r="E2" s="1149"/>
      <c r="F2" s="1149"/>
      <c r="G2" s="1149"/>
      <c r="H2" s="1149"/>
      <c r="J2" s="579"/>
    </row>
    <row r="3" spans="1:13" s="568" customFormat="1" ht="12.6" thickBot="1">
      <c r="A3" s="524"/>
      <c r="B3" s="524"/>
      <c r="C3" s="524"/>
      <c r="D3" s="524"/>
      <c r="E3" s="524"/>
      <c r="F3" s="524"/>
      <c r="G3" s="524"/>
      <c r="H3" s="524"/>
      <c r="J3" s="577"/>
    </row>
    <row r="4" spans="1:13" ht="14.25" customHeight="1">
      <c r="A4" s="580"/>
      <c r="B4" s="580"/>
      <c r="C4" s="580"/>
      <c r="D4" s="580"/>
      <c r="E4" s="580"/>
      <c r="F4" s="580" t="s">
        <v>935</v>
      </c>
      <c r="G4" s="580"/>
      <c r="H4" s="580" t="s">
        <v>949</v>
      </c>
    </row>
    <row r="5" spans="1:13" ht="12.75" customHeight="1">
      <c r="A5" s="528"/>
      <c r="B5" s="528" t="s">
        <v>950</v>
      </c>
      <c r="C5" s="1156" t="s">
        <v>951</v>
      </c>
      <c r="D5" s="1156"/>
      <c r="E5" s="1156"/>
      <c r="F5" s="528" t="s">
        <v>952</v>
      </c>
      <c r="G5" s="528" t="s">
        <v>953</v>
      </c>
      <c r="H5" s="528" t="s">
        <v>954</v>
      </c>
    </row>
    <row r="6" spans="1:13" ht="12">
      <c r="A6" s="525" t="s">
        <v>33</v>
      </c>
      <c r="B6" s="525" t="s">
        <v>955</v>
      </c>
      <c r="C6" s="525" t="s">
        <v>956</v>
      </c>
      <c r="D6" s="525" t="s">
        <v>957</v>
      </c>
      <c r="E6" s="525" t="s">
        <v>958</v>
      </c>
      <c r="F6" s="525" t="s">
        <v>959</v>
      </c>
      <c r="G6" s="525" t="s">
        <v>935</v>
      </c>
      <c r="H6" s="525" t="s">
        <v>503</v>
      </c>
    </row>
    <row r="7" spans="1:13" ht="9" customHeight="1">
      <c r="A7" s="528"/>
      <c r="B7" s="528"/>
      <c r="C7" s="528"/>
      <c r="D7" s="528"/>
      <c r="E7" s="528"/>
      <c r="F7" s="528"/>
      <c r="G7" s="528"/>
      <c r="H7" s="528"/>
    </row>
    <row r="8" spans="1:13" ht="11.25" customHeight="1">
      <c r="A8" s="518" t="s">
        <v>99</v>
      </c>
      <c r="B8" s="582">
        <v>3872031300</v>
      </c>
      <c r="C8" s="550">
        <v>500252800</v>
      </c>
      <c r="D8" s="550">
        <v>186907600</v>
      </c>
      <c r="E8" s="582">
        <v>687160400</v>
      </c>
      <c r="F8" s="582">
        <v>4559191700</v>
      </c>
      <c r="G8" s="583">
        <v>0.15071978657971324</v>
      </c>
      <c r="H8" s="550">
        <v>3587353.76</v>
      </c>
      <c r="I8" s="581"/>
      <c r="K8" s="581"/>
      <c r="L8" s="581"/>
      <c r="M8" s="581"/>
    </row>
    <row r="9" spans="1:13" ht="11.25" customHeight="1">
      <c r="A9" s="518" t="s">
        <v>101</v>
      </c>
      <c r="B9" s="547">
        <v>17014572300</v>
      </c>
      <c r="C9" s="538">
        <v>2894611500</v>
      </c>
      <c r="D9" s="538">
        <v>1010507800</v>
      </c>
      <c r="E9" s="547">
        <v>3905119300</v>
      </c>
      <c r="F9" s="547">
        <v>20919691600</v>
      </c>
      <c r="G9" s="583">
        <v>0.18667193449448366</v>
      </c>
      <c r="H9" s="538">
        <v>29757009.066</v>
      </c>
      <c r="I9" s="581"/>
      <c r="K9" s="581"/>
      <c r="L9" s="581"/>
      <c r="M9" s="581"/>
    </row>
    <row r="10" spans="1:13" ht="11.25" customHeight="1">
      <c r="A10" s="518" t="s">
        <v>103</v>
      </c>
      <c r="B10" s="547">
        <v>1083820600</v>
      </c>
      <c r="C10" s="538">
        <v>228045400</v>
      </c>
      <c r="D10" s="538">
        <v>117072100</v>
      </c>
      <c r="E10" s="547">
        <v>345117500</v>
      </c>
      <c r="F10" s="547">
        <v>1428938100</v>
      </c>
      <c r="G10" s="583">
        <v>0.24152025899512372</v>
      </c>
      <c r="H10" s="538">
        <v>2312287.25</v>
      </c>
      <c r="I10" s="581"/>
      <c r="K10" s="581"/>
      <c r="L10" s="581"/>
      <c r="M10" s="581"/>
    </row>
    <row r="11" spans="1:13" ht="11.25" customHeight="1">
      <c r="A11" s="518" t="s">
        <v>105</v>
      </c>
      <c r="B11" s="547">
        <v>1112814000</v>
      </c>
      <c r="C11" s="538">
        <v>22144900</v>
      </c>
      <c r="D11" s="538">
        <v>55878600</v>
      </c>
      <c r="E11" s="547">
        <v>78023500</v>
      </c>
      <c r="F11" s="547">
        <v>1190837500</v>
      </c>
      <c r="G11" s="583">
        <v>6.5519854724091234E-2</v>
      </c>
      <c r="H11" s="538">
        <v>366710.44999999995</v>
      </c>
      <c r="I11" s="581"/>
      <c r="K11" s="581"/>
      <c r="L11" s="581"/>
      <c r="M11" s="581"/>
    </row>
    <row r="12" spans="1:13" ht="11.25" customHeight="1">
      <c r="A12" s="518" t="s">
        <v>107</v>
      </c>
      <c r="B12" s="547">
        <v>2668866300</v>
      </c>
      <c r="C12" s="538">
        <v>173846000</v>
      </c>
      <c r="D12" s="538">
        <v>337274800</v>
      </c>
      <c r="E12" s="547">
        <v>511120800</v>
      </c>
      <c r="F12" s="547">
        <v>3179987100</v>
      </c>
      <c r="G12" s="583">
        <v>0.16073046334055882</v>
      </c>
      <c r="H12" s="538">
        <v>2657828.16</v>
      </c>
      <c r="I12" s="581"/>
      <c r="K12" s="581"/>
      <c r="L12" s="581"/>
      <c r="M12" s="581"/>
    </row>
    <row r="13" spans="1:13" ht="9" customHeight="1">
      <c r="B13" s="547"/>
      <c r="C13" s="538"/>
      <c r="D13" s="538"/>
      <c r="E13" s="547"/>
      <c r="F13" s="547"/>
      <c r="G13" s="583"/>
      <c r="H13" s="538"/>
    </row>
    <row r="14" spans="1:13" ht="11.25" customHeight="1">
      <c r="A14" s="518" t="s">
        <v>109</v>
      </c>
      <c r="B14" s="547">
        <v>1357755000</v>
      </c>
      <c r="C14" s="538">
        <v>88396400</v>
      </c>
      <c r="D14" s="538">
        <v>82915200</v>
      </c>
      <c r="E14" s="547">
        <v>171311600</v>
      </c>
      <c r="F14" s="547">
        <v>1529066600</v>
      </c>
      <c r="G14" s="583">
        <v>0.11203671573232978</v>
      </c>
      <c r="H14" s="538">
        <v>985041.7</v>
      </c>
      <c r="I14" s="581"/>
      <c r="K14" s="581"/>
      <c r="L14" s="581"/>
      <c r="M14" s="581"/>
    </row>
    <row r="15" spans="1:13" ht="11.25" customHeight="1">
      <c r="A15" s="518" t="s">
        <v>111</v>
      </c>
      <c r="B15" s="547">
        <v>62891330300</v>
      </c>
      <c r="C15" s="538">
        <v>6343238600</v>
      </c>
      <c r="D15" s="538">
        <v>1067284700</v>
      </c>
      <c r="E15" s="547">
        <v>7410523300</v>
      </c>
      <c r="F15" s="547">
        <v>70301853600</v>
      </c>
      <c r="G15" s="583">
        <v>0.10541006987047635</v>
      </c>
      <c r="H15" s="538">
        <v>83504809</v>
      </c>
      <c r="I15" s="581"/>
      <c r="K15" s="581"/>
      <c r="L15" s="581"/>
      <c r="M15" s="581"/>
    </row>
    <row r="16" spans="1:13" ht="11.25" customHeight="1">
      <c r="A16" s="518" t="s">
        <v>113</v>
      </c>
      <c r="B16" s="547">
        <v>8075236100</v>
      </c>
      <c r="C16" s="538">
        <v>494903800</v>
      </c>
      <c r="D16" s="538">
        <v>594173000</v>
      </c>
      <c r="E16" s="547">
        <v>1089076800</v>
      </c>
      <c r="F16" s="547">
        <v>9164312900</v>
      </c>
      <c r="G16" s="583">
        <v>0.11883889298454661</v>
      </c>
      <c r="H16" s="538">
        <v>5227568.6399999997</v>
      </c>
      <c r="I16" s="581"/>
      <c r="K16" s="581"/>
      <c r="L16" s="581"/>
      <c r="M16" s="581"/>
    </row>
    <row r="17" spans="1:13" ht="11.25" customHeight="1">
      <c r="A17" s="518" t="s">
        <v>115</v>
      </c>
      <c r="B17" s="547">
        <v>964065600</v>
      </c>
      <c r="C17" s="538">
        <v>247418200</v>
      </c>
      <c r="D17" s="538">
        <v>42256800</v>
      </c>
      <c r="E17" s="547">
        <v>289675000</v>
      </c>
      <c r="F17" s="547">
        <v>1253740600</v>
      </c>
      <c r="G17" s="583">
        <v>0.23104859171027883</v>
      </c>
      <c r="H17" s="538">
        <v>1390439.9999999998</v>
      </c>
      <c r="I17" s="581"/>
      <c r="K17" s="581"/>
      <c r="L17" s="581"/>
      <c r="M17" s="581"/>
    </row>
    <row r="18" spans="1:13" ht="11.25" customHeight="1">
      <c r="A18" s="518" t="s">
        <v>117</v>
      </c>
      <c r="B18" s="547">
        <v>8756073467</v>
      </c>
      <c r="C18" s="538">
        <v>215450400</v>
      </c>
      <c r="D18" s="538">
        <v>288480500</v>
      </c>
      <c r="E18" s="547">
        <v>503930900</v>
      </c>
      <c r="F18" s="547">
        <v>9260004367</v>
      </c>
      <c r="G18" s="583">
        <v>5.4420157920860732E-2</v>
      </c>
      <c r="H18" s="538">
        <v>2519654.5</v>
      </c>
      <c r="I18" s="581"/>
      <c r="K18" s="581"/>
      <c r="L18" s="581"/>
      <c r="M18" s="581"/>
    </row>
    <row r="19" spans="1:13" ht="9" customHeight="1">
      <c r="B19" s="547"/>
      <c r="C19" s="547"/>
      <c r="D19" s="547"/>
      <c r="E19" s="547"/>
      <c r="F19" s="547"/>
      <c r="G19" s="583"/>
      <c r="H19" s="547"/>
    </row>
    <row r="20" spans="1:13" ht="11.25" customHeight="1">
      <c r="A20" s="518" t="s">
        <v>119</v>
      </c>
      <c r="B20" s="547">
        <v>659822800</v>
      </c>
      <c r="C20" s="538">
        <v>101732600</v>
      </c>
      <c r="D20" s="538">
        <v>29140600</v>
      </c>
      <c r="E20" s="547">
        <v>130873200</v>
      </c>
      <c r="F20" s="547">
        <v>790696000</v>
      </c>
      <c r="G20" s="583">
        <v>0.16551645638779</v>
      </c>
      <c r="H20" s="538">
        <v>0</v>
      </c>
      <c r="I20" s="581"/>
      <c r="K20" s="581"/>
      <c r="L20" s="581"/>
      <c r="M20" s="581"/>
    </row>
    <row r="21" spans="1:13" ht="11.25" customHeight="1">
      <c r="A21" s="518" t="s">
        <v>121</v>
      </c>
      <c r="B21" s="547">
        <v>3591259150</v>
      </c>
      <c r="C21" s="538">
        <v>199663400</v>
      </c>
      <c r="D21" s="538">
        <v>170208500</v>
      </c>
      <c r="E21" s="547">
        <v>369871900</v>
      </c>
      <c r="F21" s="547">
        <v>3961131050</v>
      </c>
      <c r="G21" s="583">
        <v>9.3375325211722038E-2</v>
      </c>
      <c r="H21" s="538">
        <v>2663077.6799999997</v>
      </c>
      <c r="I21" s="581"/>
      <c r="K21" s="581"/>
      <c r="L21" s="581"/>
      <c r="M21" s="581"/>
    </row>
    <row r="22" spans="1:13" ht="11.25" customHeight="1">
      <c r="A22" s="518" t="s">
        <v>123</v>
      </c>
      <c r="B22" s="547">
        <v>1277151565</v>
      </c>
      <c r="C22" s="538">
        <v>209028800</v>
      </c>
      <c r="D22" s="538">
        <v>57853700</v>
      </c>
      <c r="E22" s="547">
        <v>266882500</v>
      </c>
      <c r="F22" s="547">
        <v>1544034065</v>
      </c>
      <c r="G22" s="583">
        <v>0.17284754659865617</v>
      </c>
      <c r="H22" s="538">
        <v>1254347.75</v>
      </c>
      <c r="I22" s="581"/>
      <c r="K22" s="581"/>
      <c r="L22" s="581"/>
      <c r="M22" s="581"/>
    </row>
    <row r="23" spans="1:13" ht="11.25" customHeight="1">
      <c r="A23" s="518" t="s">
        <v>125</v>
      </c>
      <c r="B23" s="547">
        <v>2033790897</v>
      </c>
      <c r="C23" s="538">
        <v>255676925</v>
      </c>
      <c r="D23" s="538">
        <v>53746198</v>
      </c>
      <c r="E23" s="547">
        <v>309423123</v>
      </c>
      <c r="F23" s="547">
        <v>2343214020</v>
      </c>
      <c r="G23" s="583">
        <v>0.13205073047488849</v>
      </c>
      <c r="H23" s="538">
        <v>1330519.4289000002</v>
      </c>
      <c r="I23" s="581"/>
      <c r="K23" s="581"/>
      <c r="L23" s="581"/>
      <c r="M23" s="581"/>
    </row>
    <row r="24" spans="1:13" ht="11.25" customHeight="1">
      <c r="A24" s="518" t="s">
        <v>127</v>
      </c>
      <c r="B24" s="547">
        <v>1455734406</v>
      </c>
      <c r="C24" s="538">
        <v>144073500</v>
      </c>
      <c r="D24" s="538">
        <v>85036800</v>
      </c>
      <c r="E24" s="547">
        <v>229110300</v>
      </c>
      <c r="F24" s="547">
        <v>1684844706</v>
      </c>
      <c r="G24" s="583">
        <v>0.135983037002818</v>
      </c>
      <c r="H24" s="538">
        <v>1008085.3200000001</v>
      </c>
      <c r="I24" s="581"/>
      <c r="K24" s="581"/>
      <c r="L24" s="581"/>
      <c r="M24" s="581"/>
    </row>
    <row r="25" spans="1:13" ht="9" customHeight="1">
      <c r="B25" s="547"/>
      <c r="C25" s="538"/>
      <c r="D25" s="538"/>
      <c r="E25" s="547"/>
      <c r="F25" s="547"/>
      <c r="G25" s="583"/>
      <c r="H25" s="538"/>
    </row>
    <row r="26" spans="1:13" ht="11.25" customHeight="1">
      <c r="A26" s="518" t="s">
        <v>129</v>
      </c>
      <c r="B26" s="547">
        <v>3843151668</v>
      </c>
      <c r="C26" s="538">
        <v>96079952</v>
      </c>
      <c r="D26" s="538">
        <v>247750700</v>
      </c>
      <c r="E26" s="547">
        <v>343830652</v>
      </c>
      <c r="F26" s="547">
        <v>4186982320</v>
      </c>
      <c r="G26" s="583">
        <v>8.2118964381010337E-2</v>
      </c>
      <c r="H26" s="538">
        <v>1822302.4556</v>
      </c>
      <c r="I26" s="581"/>
      <c r="K26" s="581"/>
      <c r="L26" s="581"/>
      <c r="M26" s="581"/>
    </row>
    <row r="27" spans="1:13" ht="11.25" customHeight="1">
      <c r="A27" s="518" t="s">
        <v>131</v>
      </c>
      <c r="B27" s="547">
        <v>2680668436</v>
      </c>
      <c r="C27" s="538">
        <v>431382900</v>
      </c>
      <c r="D27" s="538">
        <v>186252600</v>
      </c>
      <c r="E27" s="547">
        <v>617635500</v>
      </c>
      <c r="F27" s="547">
        <v>3298303936</v>
      </c>
      <c r="G27" s="583">
        <v>0.18725851588711806</v>
      </c>
      <c r="H27" s="538">
        <v>4446975.5999999996</v>
      </c>
      <c r="I27" s="581"/>
      <c r="K27" s="581"/>
      <c r="L27" s="581"/>
      <c r="M27" s="581"/>
    </row>
    <row r="28" spans="1:13" ht="11.25" customHeight="1">
      <c r="A28" s="518" t="s">
        <v>133</v>
      </c>
      <c r="B28" s="547">
        <v>2652858400</v>
      </c>
      <c r="C28" s="538">
        <v>160404700</v>
      </c>
      <c r="D28" s="538">
        <v>64362300</v>
      </c>
      <c r="E28" s="547">
        <v>224767000</v>
      </c>
      <c r="F28" s="547">
        <v>2877625400</v>
      </c>
      <c r="G28" s="583">
        <v>7.8108498764293641E-2</v>
      </c>
      <c r="H28" s="538">
        <v>133736.36499999999</v>
      </c>
      <c r="I28" s="581"/>
      <c r="K28" s="581"/>
      <c r="L28" s="581"/>
      <c r="M28" s="581"/>
    </row>
    <row r="29" spans="1:13" ht="11.25" customHeight="1">
      <c r="A29" s="518" t="s">
        <v>135</v>
      </c>
      <c r="B29" s="547">
        <v>778999259</v>
      </c>
      <c r="C29" s="538">
        <v>57136500</v>
      </c>
      <c r="D29" s="538">
        <v>14199200</v>
      </c>
      <c r="E29" s="547">
        <v>71335700</v>
      </c>
      <c r="F29" s="547">
        <v>850334959</v>
      </c>
      <c r="G29" s="583">
        <v>8.3891293948318083E-2</v>
      </c>
      <c r="H29" s="538">
        <v>499349.9</v>
      </c>
      <c r="I29" s="581"/>
      <c r="K29" s="581"/>
      <c r="L29" s="581"/>
      <c r="M29" s="581"/>
    </row>
    <row r="30" spans="1:13" ht="11.25" customHeight="1">
      <c r="A30" s="518" t="s">
        <v>137</v>
      </c>
      <c r="B30" s="547">
        <v>980927543</v>
      </c>
      <c r="C30" s="538">
        <v>10930272</v>
      </c>
      <c r="D30" s="538">
        <v>58174800</v>
      </c>
      <c r="E30" s="547">
        <v>69105072</v>
      </c>
      <c r="F30" s="547">
        <v>1050032615</v>
      </c>
      <c r="G30" s="583">
        <v>6.5812310030007967E-2</v>
      </c>
      <c r="H30" s="538">
        <v>290241.30239999999</v>
      </c>
      <c r="I30" s="581"/>
      <c r="K30" s="581"/>
      <c r="L30" s="581"/>
      <c r="M30" s="581"/>
    </row>
    <row r="31" spans="1:13" ht="9" customHeight="1">
      <c r="B31" s="547"/>
      <c r="C31" s="538"/>
      <c r="D31" s="538"/>
      <c r="E31" s="547"/>
      <c r="F31" s="547"/>
      <c r="G31" s="583"/>
      <c r="H31" s="538"/>
    </row>
    <row r="32" spans="1:13" ht="11.25" customHeight="1">
      <c r="A32" s="529" t="s">
        <v>139</v>
      </c>
      <c r="B32" s="584">
        <v>29801717000</v>
      </c>
      <c r="C32" s="543">
        <v>1469774100</v>
      </c>
      <c r="D32" s="543">
        <v>425317500</v>
      </c>
      <c r="E32" s="584">
        <v>1895091600</v>
      </c>
      <c r="F32" s="584">
        <v>31696808600</v>
      </c>
      <c r="G32" s="585">
        <v>5.9788088571162967E-2</v>
      </c>
      <c r="H32" s="543">
        <v>18003370.199999999</v>
      </c>
      <c r="I32" s="581"/>
      <c r="K32" s="581"/>
      <c r="L32" s="581"/>
      <c r="M32" s="581"/>
    </row>
    <row r="33" spans="1:13" ht="11.25" customHeight="1">
      <c r="A33" s="518" t="s">
        <v>141</v>
      </c>
      <c r="B33" s="547">
        <v>2598140000</v>
      </c>
      <c r="C33" s="538">
        <v>69450700</v>
      </c>
      <c r="D33" s="538">
        <v>113644900</v>
      </c>
      <c r="E33" s="547">
        <v>183095600</v>
      </c>
      <c r="F33" s="547">
        <v>2781235600</v>
      </c>
      <c r="G33" s="583">
        <v>6.5832466692142155E-2</v>
      </c>
      <c r="H33" s="538">
        <v>1153502.28</v>
      </c>
      <c r="I33" s="581"/>
      <c r="K33" s="581"/>
      <c r="L33" s="581"/>
      <c r="M33" s="581"/>
    </row>
    <row r="34" spans="1:13" ht="11.25" customHeight="1">
      <c r="A34" s="518" t="s">
        <v>143</v>
      </c>
      <c r="B34" s="547">
        <v>483758000</v>
      </c>
      <c r="C34" s="538">
        <v>95033000</v>
      </c>
      <c r="D34" s="538">
        <v>32703000</v>
      </c>
      <c r="E34" s="547">
        <v>127736000</v>
      </c>
      <c r="F34" s="547">
        <v>611494000</v>
      </c>
      <c r="G34" s="583">
        <v>0.20889166533113979</v>
      </c>
      <c r="H34" s="538">
        <v>689774.4</v>
      </c>
      <c r="I34" s="581"/>
      <c r="K34" s="581"/>
      <c r="L34" s="581"/>
      <c r="M34" s="581"/>
    </row>
    <row r="35" spans="1:13" ht="11.25" customHeight="1">
      <c r="A35" s="518" t="s">
        <v>145</v>
      </c>
      <c r="B35" s="547">
        <v>4709368376</v>
      </c>
      <c r="C35" s="538">
        <v>217290200</v>
      </c>
      <c r="D35" s="538">
        <v>276978100</v>
      </c>
      <c r="E35" s="547">
        <v>494268300</v>
      </c>
      <c r="F35" s="547">
        <v>5203636676</v>
      </c>
      <c r="G35" s="583">
        <v>9.4985167254209732E-2</v>
      </c>
      <c r="H35" s="538">
        <v>3954146.4000000004</v>
      </c>
      <c r="I35" s="581"/>
      <c r="K35" s="581"/>
      <c r="L35" s="581"/>
      <c r="M35" s="581"/>
    </row>
    <row r="36" spans="1:13" ht="11.25" customHeight="1">
      <c r="A36" s="518" t="s">
        <v>147</v>
      </c>
      <c r="B36" s="547">
        <v>947147048</v>
      </c>
      <c r="C36" s="538">
        <v>44535280</v>
      </c>
      <c r="D36" s="538">
        <v>74450830</v>
      </c>
      <c r="E36" s="547">
        <v>118986110</v>
      </c>
      <c r="F36" s="547">
        <v>1066133158</v>
      </c>
      <c r="G36" s="583">
        <v>0.11160529911968088</v>
      </c>
      <c r="H36" s="538">
        <v>809105.54800000018</v>
      </c>
      <c r="I36" s="581"/>
      <c r="K36" s="581"/>
      <c r="L36" s="581"/>
      <c r="M36" s="581"/>
    </row>
    <row r="37" spans="1:13" ht="9" customHeight="1">
      <c r="B37" s="547"/>
      <c r="C37" s="538"/>
      <c r="D37" s="538"/>
      <c r="E37" s="547"/>
      <c r="F37" s="547"/>
      <c r="G37" s="583"/>
      <c r="H37" s="538"/>
    </row>
    <row r="38" spans="1:13" ht="11.25" customHeight="1">
      <c r="A38" s="518" t="s">
        <v>149</v>
      </c>
      <c r="B38" s="547">
        <v>1427628192</v>
      </c>
      <c r="C38" s="538">
        <v>85592200</v>
      </c>
      <c r="D38" s="538">
        <v>62691900</v>
      </c>
      <c r="E38" s="547">
        <v>148284100</v>
      </c>
      <c r="F38" s="547">
        <v>1575912292</v>
      </c>
      <c r="G38" s="583">
        <v>9.4094132492495333E-2</v>
      </c>
      <c r="H38" s="538">
        <v>785905.73</v>
      </c>
      <c r="I38" s="581"/>
      <c r="K38" s="581"/>
      <c r="L38" s="581"/>
      <c r="M38" s="581"/>
    </row>
    <row r="39" spans="1:13" ht="11.25" customHeight="1">
      <c r="A39" s="518" t="s">
        <v>610</v>
      </c>
      <c r="B39" s="547">
        <v>2708005023</v>
      </c>
      <c r="C39" s="538">
        <v>223458700</v>
      </c>
      <c r="D39" s="538">
        <v>188892100</v>
      </c>
      <c r="E39" s="547">
        <v>412350800</v>
      </c>
      <c r="F39" s="547">
        <v>3120355823</v>
      </c>
      <c r="G39" s="583">
        <v>0.13214864694615311</v>
      </c>
      <c r="H39" s="538">
        <v>2968925.76</v>
      </c>
      <c r="I39" s="581"/>
      <c r="K39" s="581"/>
      <c r="L39" s="581"/>
      <c r="M39" s="581"/>
    </row>
    <row r="40" spans="1:13" ht="11.25" customHeight="1">
      <c r="A40" s="518" t="s">
        <v>153</v>
      </c>
      <c r="B40" s="547">
        <v>1681493579</v>
      </c>
      <c r="C40" s="538">
        <v>26452700</v>
      </c>
      <c r="D40" s="538">
        <v>67353300</v>
      </c>
      <c r="E40" s="547">
        <v>93806000</v>
      </c>
      <c r="F40" s="547">
        <v>1775299579</v>
      </c>
      <c r="G40" s="583">
        <v>5.2839532611639289E-2</v>
      </c>
      <c r="H40" s="538">
        <v>651951.69999999995</v>
      </c>
      <c r="I40" s="581"/>
      <c r="K40" s="581"/>
      <c r="L40" s="581"/>
      <c r="M40" s="581"/>
    </row>
    <row r="41" spans="1:13" ht="11.25" customHeight="1">
      <c r="A41" s="518" t="s">
        <v>155</v>
      </c>
      <c r="B41" s="547">
        <v>200415461077</v>
      </c>
      <c r="C41" s="538">
        <v>12884640303</v>
      </c>
      <c r="D41" s="538">
        <v>2680004405</v>
      </c>
      <c r="E41" s="547">
        <v>15564644708</v>
      </c>
      <c r="F41" s="547">
        <v>215980105785</v>
      </c>
      <c r="G41" s="583">
        <v>7.2065177722868662E-2</v>
      </c>
      <c r="H41" s="538">
        <v>170932500</v>
      </c>
      <c r="I41" s="581"/>
      <c r="K41" s="581"/>
      <c r="L41" s="581"/>
      <c r="M41" s="581"/>
    </row>
    <row r="42" spans="1:13" ht="11.25" customHeight="1">
      <c r="A42" s="518" t="s">
        <v>157</v>
      </c>
      <c r="B42" s="547">
        <v>11480688900</v>
      </c>
      <c r="C42" s="538">
        <v>677455300</v>
      </c>
      <c r="D42" s="538">
        <v>323058100</v>
      </c>
      <c r="E42" s="547">
        <v>1000513400</v>
      </c>
      <c r="F42" s="547">
        <v>12481202300</v>
      </c>
      <c r="G42" s="583">
        <v>8.0161620327234021E-2</v>
      </c>
      <c r="H42" s="538">
        <v>9704979.9800000004</v>
      </c>
      <c r="I42" s="581"/>
      <c r="K42" s="581"/>
      <c r="L42" s="581"/>
      <c r="M42" s="581"/>
    </row>
    <row r="43" spans="1:13" ht="13.8">
      <c r="A43" s="517" t="s">
        <v>964</v>
      </c>
      <c r="B43" s="568"/>
      <c r="C43" s="568"/>
      <c r="D43" s="568"/>
      <c r="E43" s="568"/>
      <c r="F43" s="568"/>
      <c r="G43" s="568"/>
      <c r="H43" s="568"/>
    </row>
    <row r="44" spans="1:13" s="586" customFormat="1" ht="13.2">
      <c r="A44" s="1148" t="s">
        <v>1104</v>
      </c>
      <c r="B44" s="1149"/>
      <c r="C44" s="1149"/>
      <c r="D44" s="1149"/>
      <c r="E44" s="1149"/>
      <c r="F44" s="1149"/>
      <c r="G44" s="1149"/>
      <c r="H44" s="1149"/>
      <c r="J44" s="587"/>
    </row>
    <row r="45" spans="1:13" ht="12.6" thickBot="1">
      <c r="A45" s="524"/>
      <c r="B45" s="524"/>
      <c r="C45" s="524"/>
      <c r="D45" s="524"/>
      <c r="E45" s="524"/>
      <c r="F45" s="524"/>
      <c r="G45" s="524"/>
      <c r="H45" s="524"/>
    </row>
    <row r="46" spans="1:13" ht="14.25" customHeight="1">
      <c r="A46" s="580"/>
      <c r="B46" s="580"/>
      <c r="C46" s="580"/>
      <c r="D46" s="580"/>
      <c r="E46" s="580"/>
      <c r="F46" s="580" t="s">
        <v>935</v>
      </c>
      <c r="G46" s="580"/>
      <c r="H46" s="580" t="s">
        <v>949</v>
      </c>
    </row>
    <row r="47" spans="1:13" ht="12.75" customHeight="1">
      <c r="A47" s="528"/>
      <c r="B47" s="528" t="s">
        <v>950</v>
      </c>
      <c r="C47" s="1156" t="s">
        <v>951</v>
      </c>
      <c r="D47" s="1156"/>
      <c r="E47" s="1156"/>
      <c r="F47" s="528" t="s">
        <v>952</v>
      </c>
      <c r="G47" s="528" t="s">
        <v>953</v>
      </c>
      <c r="H47" s="528" t="s">
        <v>954</v>
      </c>
    </row>
    <row r="48" spans="1:13" ht="12">
      <c r="A48" s="525" t="s">
        <v>33</v>
      </c>
      <c r="B48" s="525" t="s">
        <v>955</v>
      </c>
      <c r="C48" s="525" t="s">
        <v>956</v>
      </c>
      <c r="D48" s="525" t="s">
        <v>957</v>
      </c>
      <c r="E48" s="525" t="s">
        <v>958</v>
      </c>
      <c r="F48" s="525" t="s">
        <v>959</v>
      </c>
      <c r="G48" s="525" t="s">
        <v>935</v>
      </c>
      <c r="H48" s="525" t="s">
        <v>503</v>
      </c>
    </row>
    <row r="49" spans="1:13" ht="9" customHeight="1"/>
    <row r="50" spans="1:13" ht="11.25" customHeight="1">
      <c r="A50" s="518" t="s">
        <v>159</v>
      </c>
      <c r="B50" s="582">
        <v>1698467400</v>
      </c>
      <c r="C50" s="550">
        <v>75664300</v>
      </c>
      <c r="D50" s="550">
        <v>26960200</v>
      </c>
      <c r="E50" s="582">
        <v>102624500</v>
      </c>
      <c r="F50" s="582">
        <v>1801091900</v>
      </c>
      <c r="G50" s="583">
        <v>5.6979046988107601E-2</v>
      </c>
      <c r="H50" s="550">
        <v>513122.5</v>
      </c>
      <c r="I50" s="581"/>
      <c r="K50" s="581"/>
      <c r="L50" s="581"/>
      <c r="M50" s="581"/>
    </row>
    <row r="51" spans="1:13" ht="11.25" customHeight="1">
      <c r="A51" s="518" t="s">
        <v>161</v>
      </c>
      <c r="B51" s="547">
        <v>3517225600</v>
      </c>
      <c r="C51" s="538">
        <v>75567200</v>
      </c>
      <c r="D51" s="538">
        <v>165835100</v>
      </c>
      <c r="E51" s="547">
        <v>241402300</v>
      </c>
      <c r="F51" s="547">
        <v>3758627900</v>
      </c>
      <c r="G51" s="583">
        <v>6.4226176791802134E-2</v>
      </c>
      <c r="H51" s="538">
        <v>1443827.1562999999</v>
      </c>
      <c r="I51" s="581"/>
      <c r="K51" s="581"/>
      <c r="L51" s="581"/>
      <c r="M51" s="581"/>
    </row>
    <row r="52" spans="1:13" ht="11.25" customHeight="1">
      <c r="A52" s="518" t="s">
        <v>36</v>
      </c>
      <c r="B52" s="547">
        <v>6910716500</v>
      </c>
      <c r="C52" s="538">
        <v>92681700</v>
      </c>
      <c r="D52" s="538">
        <v>415871000</v>
      </c>
      <c r="E52" s="547">
        <v>508552700</v>
      </c>
      <c r="F52" s="547">
        <v>7419269200</v>
      </c>
      <c r="G52" s="583">
        <v>6.8544850751607725E-2</v>
      </c>
      <c r="H52" s="538">
        <v>2746184.5800000005</v>
      </c>
      <c r="I52" s="581"/>
      <c r="K52" s="581"/>
      <c r="L52" s="581"/>
      <c r="M52" s="581"/>
    </row>
    <row r="53" spans="1:13" ht="11.25" customHeight="1">
      <c r="A53" s="518" t="s">
        <v>164</v>
      </c>
      <c r="B53" s="547">
        <v>8095943200</v>
      </c>
      <c r="C53" s="538">
        <v>148319500</v>
      </c>
      <c r="D53" s="538">
        <v>641932600</v>
      </c>
      <c r="E53" s="547">
        <v>790252100</v>
      </c>
      <c r="F53" s="547">
        <v>8886195300</v>
      </c>
      <c r="G53" s="583">
        <v>8.8930309690582646E-2</v>
      </c>
      <c r="H53" s="538">
        <v>4622974.7850000001</v>
      </c>
      <c r="I53" s="581"/>
      <c r="K53" s="581"/>
      <c r="L53" s="581"/>
      <c r="M53" s="581"/>
    </row>
    <row r="54" spans="1:13" s="529" customFormat="1" ht="11.25" customHeight="1">
      <c r="A54" s="529" t="s">
        <v>166</v>
      </c>
      <c r="B54" s="584">
        <v>1199131100</v>
      </c>
      <c r="C54" s="543">
        <v>80350000</v>
      </c>
      <c r="D54" s="543">
        <v>75210500</v>
      </c>
      <c r="E54" s="584">
        <v>155560500</v>
      </c>
      <c r="F54" s="584">
        <v>1354691600</v>
      </c>
      <c r="G54" s="585">
        <v>0.11483093273775374</v>
      </c>
      <c r="H54" s="543">
        <v>840026.7</v>
      </c>
      <c r="I54" s="533"/>
      <c r="J54" s="533"/>
      <c r="K54" s="533"/>
      <c r="L54" s="533"/>
      <c r="M54" s="533"/>
    </row>
    <row r="55" spans="1:13" ht="9" customHeight="1">
      <c r="B55" s="547"/>
      <c r="C55" s="538"/>
      <c r="D55" s="538"/>
      <c r="E55" s="547"/>
      <c r="F55" s="547"/>
      <c r="G55" s="583"/>
      <c r="H55" s="538"/>
    </row>
    <row r="56" spans="1:13" ht="11.25" customHeight="1">
      <c r="A56" s="518" t="s">
        <v>100</v>
      </c>
      <c r="B56" s="547">
        <v>4315321900</v>
      </c>
      <c r="C56" s="538">
        <v>180455700</v>
      </c>
      <c r="D56" s="538">
        <v>125932000</v>
      </c>
      <c r="E56" s="547">
        <v>306387700</v>
      </c>
      <c r="F56" s="547">
        <v>4621709600</v>
      </c>
      <c r="G56" s="583">
        <v>6.6293152646371381E-2</v>
      </c>
      <c r="H56" s="538">
        <v>1991520.05</v>
      </c>
      <c r="I56" s="581"/>
      <c r="K56" s="581"/>
      <c r="L56" s="581"/>
      <c r="M56" s="581"/>
    </row>
    <row r="57" spans="1:13" ht="11.25" customHeight="1">
      <c r="A57" s="518" t="s">
        <v>102</v>
      </c>
      <c r="B57" s="547">
        <v>4683877857</v>
      </c>
      <c r="C57" s="538">
        <v>89348100</v>
      </c>
      <c r="D57" s="538">
        <v>157511300</v>
      </c>
      <c r="E57" s="547">
        <v>246859400</v>
      </c>
      <c r="F57" s="547">
        <v>4930737257</v>
      </c>
      <c r="G57" s="583">
        <v>5.0065413574722953E-2</v>
      </c>
      <c r="H57" s="538">
        <v>1308354.82</v>
      </c>
      <c r="I57" s="581"/>
      <c r="K57" s="581"/>
      <c r="L57" s="581"/>
      <c r="M57" s="581"/>
    </row>
    <row r="58" spans="1:13" ht="11.25" customHeight="1">
      <c r="A58" s="518" t="s">
        <v>104</v>
      </c>
      <c r="B58" s="547">
        <v>1665125300</v>
      </c>
      <c r="C58" s="538">
        <v>124930000</v>
      </c>
      <c r="D58" s="538">
        <v>100608800</v>
      </c>
      <c r="E58" s="547">
        <v>225538800</v>
      </c>
      <c r="F58" s="547">
        <v>1890664100</v>
      </c>
      <c r="G58" s="583">
        <v>0.11929078253508912</v>
      </c>
      <c r="H58" s="538">
        <v>1105140.1200000001</v>
      </c>
      <c r="I58" s="581"/>
      <c r="K58" s="581"/>
      <c r="L58" s="581"/>
      <c r="M58" s="581"/>
    </row>
    <row r="59" spans="1:13" ht="11.25" customHeight="1">
      <c r="A59" s="518" t="s">
        <v>106</v>
      </c>
      <c r="B59" s="547">
        <v>2193017702</v>
      </c>
      <c r="C59" s="538">
        <v>134822800</v>
      </c>
      <c r="D59" s="538">
        <v>117722700</v>
      </c>
      <c r="E59" s="547">
        <v>252545500</v>
      </c>
      <c r="F59" s="547">
        <v>2445563202</v>
      </c>
      <c r="G59" s="583">
        <v>0.10326680569672719</v>
      </c>
      <c r="H59" s="538">
        <v>1742563.9499999997</v>
      </c>
      <c r="I59" s="581"/>
      <c r="K59" s="581"/>
      <c r="L59" s="581"/>
      <c r="M59" s="581"/>
    </row>
    <row r="60" spans="1:13" ht="11.25" customHeight="1">
      <c r="A60" s="520" t="s">
        <v>108</v>
      </c>
      <c r="B60" s="588">
        <v>710015390</v>
      </c>
      <c r="C60" s="538">
        <v>144854800</v>
      </c>
      <c r="D60" s="538">
        <v>28605500</v>
      </c>
      <c r="E60" s="588">
        <v>173460300</v>
      </c>
      <c r="F60" s="588">
        <v>883475690</v>
      </c>
      <c r="G60" s="589">
        <v>0.19633850932559332</v>
      </c>
      <c r="H60" s="538">
        <v>884647.53</v>
      </c>
      <c r="I60" s="581"/>
      <c r="K60" s="581"/>
      <c r="L60" s="581"/>
      <c r="M60" s="581"/>
    </row>
    <row r="61" spans="1:13" ht="8.25" customHeight="1"/>
    <row r="62" spans="1:13">
      <c r="A62" s="518" t="s">
        <v>521</v>
      </c>
      <c r="B62" s="547">
        <v>2666596652</v>
      </c>
      <c r="C62" s="538">
        <v>216941523</v>
      </c>
      <c r="D62" s="538">
        <v>259609109</v>
      </c>
      <c r="E62" s="547">
        <v>476550632</v>
      </c>
      <c r="F62" s="547">
        <v>3143147284</v>
      </c>
      <c r="G62" s="583">
        <v>0.15161574973780326</v>
      </c>
      <c r="H62" s="538">
        <v>2144477.844</v>
      </c>
      <c r="I62" s="581"/>
      <c r="K62" s="581"/>
      <c r="L62" s="581"/>
      <c r="M62" s="581"/>
    </row>
    <row r="63" spans="1:13">
      <c r="A63" s="518" t="s">
        <v>112</v>
      </c>
      <c r="B63" s="547">
        <v>11936466700</v>
      </c>
      <c r="C63" s="538">
        <v>1018562900</v>
      </c>
      <c r="D63" s="538">
        <v>326533300</v>
      </c>
      <c r="E63" s="547">
        <v>1345096200</v>
      </c>
      <c r="F63" s="547">
        <v>13281562900</v>
      </c>
      <c r="G63" s="583">
        <v>0.10127544552757417</v>
      </c>
      <c r="H63" s="538">
        <v>10895279.220000001</v>
      </c>
      <c r="I63" s="581"/>
      <c r="K63" s="581"/>
      <c r="L63" s="581"/>
      <c r="M63" s="581"/>
    </row>
    <row r="64" spans="1:13">
      <c r="A64" s="518" t="s">
        <v>114</v>
      </c>
      <c r="B64" s="547">
        <v>30972928700</v>
      </c>
      <c r="C64" s="538">
        <v>2035423900</v>
      </c>
      <c r="D64" s="538">
        <v>1324425800</v>
      </c>
      <c r="E64" s="547">
        <v>3359849700</v>
      </c>
      <c r="F64" s="547">
        <v>34332778400</v>
      </c>
      <c r="G64" s="583">
        <v>9.7861281742348011E-2</v>
      </c>
      <c r="H64" s="538">
        <v>29230692.390000001</v>
      </c>
      <c r="I64" s="581"/>
      <c r="K64" s="581"/>
      <c r="L64" s="581"/>
      <c r="M64" s="581"/>
    </row>
    <row r="65" spans="1:13">
      <c r="A65" s="518" t="s">
        <v>116</v>
      </c>
      <c r="B65" s="547">
        <v>3037623646</v>
      </c>
      <c r="C65" s="538">
        <v>198991400</v>
      </c>
      <c r="D65" s="538">
        <v>341296300</v>
      </c>
      <c r="E65" s="547">
        <v>540287700</v>
      </c>
      <c r="F65" s="547">
        <v>3577911346</v>
      </c>
      <c r="G65" s="583">
        <v>0.15100645257854861</v>
      </c>
      <c r="H65" s="538">
        <v>2485323.42</v>
      </c>
      <c r="I65" s="581"/>
      <c r="K65" s="581"/>
      <c r="L65" s="581"/>
      <c r="M65" s="581"/>
    </row>
    <row r="66" spans="1:13">
      <c r="A66" s="518" t="s">
        <v>537</v>
      </c>
      <c r="B66" s="547">
        <v>678094700</v>
      </c>
      <c r="C66" s="538">
        <v>56987900</v>
      </c>
      <c r="D66" s="538">
        <v>18636600</v>
      </c>
      <c r="E66" s="547">
        <v>75624500</v>
      </c>
      <c r="F66" s="547">
        <v>753719200</v>
      </c>
      <c r="G66" s="583">
        <v>0.10033511153755935</v>
      </c>
      <c r="H66" s="538">
        <v>279810.65000000002</v>
      </c>
      <c r="I66" s="581"/>
      <c r="K66" s="581"/>
      <c r="L66" s="581"/>
      <c r="M66" s="581"/>
    </row>
    <row r="67" spans="1:13" ht="9" customHeight="1">
      <c r="B67" s="547"/>
      <c r="C67" s="538"/>
      <c r="D67" s="538"/>
      <c r="E67" s="547"/>
      <c r="F67" s="547"/>
      <c r="G67" s="583"/>
      <c r="H67" s="538"/>
    </row>
    <row r="68" spans="1:13">
      <c r="A68" s="518" t="s">
        <v>120</v>
      </c>
      <c r="B68" s="547">
        <v>4475723500</v>
      </c>
      <c r="C68" s="538">
        <v>106005900</v>
      </c>
      <c r="D68" s="538">
        <v>196304700</v>
      </c>
      <c r="E68" s="547">
        <v>302310600</v>
      </c>
      <c r="F68" s="547">
        <v>4778034100</v>
      </c>
      <c r="G68" s="583">
        <v>6.3270917216769126E-2</v>
      </c>
      <c r="H68" s="538">
        <v>1965018.9</v>
      </c>
      <c r="I68" s="581"/>
      <c r="K68" s="581"/>
      <c r="L68" s="581"/>
      <c r="M68" s="581"/>
    </row>
    <row r="69" spans="1:13">
      <c r="A69" s="518" t="s">
        <v>122</v>
      </c>
      <c r="B69" s="547">
        <v>11065599800</v>
      </c>
      <c r="C69" s="538">
        <v>521540500</v>
      </c>
      <c r="D69" s="538">
        <v>153603400</v>
      </c>
      <c r="E69" s="547">
        <v>675143900</v>
      </c>
      <c r="F69" s="547">
        <v>11740743700</v>
      </c>
      <c r="G69" s="583">
        <v>5.7504355537545716E-2</v>
      </c>
      <c r="H69" s="538">
        <v>5198608.03</v>
      </c>
      <c r="I69" s="581"/>
      <c r="K69" s="581"/>
      <c r="L69" s="581"/>
      <c r="M69" s="581"/>
    </row>
    <row r="70" spans="1:13">
      <c r="A70" s="518" t="s">
        <v>124</v>
      </c>
      <c r="B70" s="547">
        <v>839103225</v>
      </c>
      <c r="C70" s="538">
        <v>19872500</v>
      </c>
      <c r="D70" s="538">
        <v>31521700</v>
      </c>
      <c r="E70" s="547">
        <v>51394200</v>
      </c>
      <c r="F70" s="547">
        <v>890497425</v>
      </c>
      <c r="G70" s="583">
        <v>5.7714035501001029E-2</v>
      </c>
      <c r="H70" s="538">
        <v>267249.83999999997</v>
      </c>
      <c r="I70" s="581"/>
      <c r="K70" s="581"/>
      <c r="L70" s="581"/>
      <c r="M70" s="581"/>
    </row>
    <row r="71" spans="1:13">
      <c r="A71" s="518" t="s">
        <v>126</v>
      </c>
      <c r="B71" s="547">
        <v>2767486200</v>
      </c>
      <c r="C71" s="538">
        <v>829606300</v>
      </c>
      <c r="D71" s="538">
        <v>53589300</v>
      </c>
      <c r="E71" s="547">
        <v>883195600</v>
      </c>
      <c r="F71" s="547">
        <v>3650681800</v>
      </c>
      <c r="G71" s="583">
        <v>0.2419262067704723</v>
      </c>
      <c r="H71" s="538">
        <v>4680936.6800000006</v>
      </c>
      <c r="I71" s="581"/>
      <c r="K71" s="581"/>
      <c r="L71" s="581"/>
      <c r="M71" s="581"/>
    </row>
    <row r="72" spans="1:13" ht="12" customHeight="1">
      <c r="A72" s="518" t="s">
        <v>128</v>
      </c>
      <c r="B72" s="547">
        <v>1846325516</v>
      </c>
      <c r="C72" s="538">
        <v>45741878</v>
      </c>
      <c r="D72" s="538">
        <v>75694195</v>
      </c>
      <c r="E72" s="547">
        <v>121436073</v>
      </c>
      <c r="F72" s="547">
        <v>1967761589</v>
      </c>
      <c r="G72" s="583">
        <v>6.1712797769222033E-2</v>
      </c>
      <c r="H72" s="538">
        <v>768775.14999999991</v>
      </c>
      <c r="I72" s="581"/>
      <c r="K72" s="581"/>
      <c r="L72" s="581"/>
      <c r="M72" s="581"/>
    </row>
    <row r="73" spans="1:13" ht="9" customHeight="1">
      <c r="B73" s="547"/>
      <c r="C73" s="547"/>
      <c r="D73" s="538"/>
      <c r="E73" s="547"/>
      <c r="F73" s="547"/>
      <c r="G73" s="583"/>
      <c r="H73" s="547"/>
    </row>
    <row r="74" spans="1:13">
      <c r="A74" s="518" t="s">
        <v>130</v>
      </c>
      <c r="B74" s="547">
        <v>3192296500</v>
      </c>
      <c r="C74" s="538">
        <v>43391700</v>
      </c>
      <c r="D74" s="538">
        <v>71322600</v>
      </c>
      <c r="E74" s="547">
        <v>114714300</v>
      </c>
      <c r="F74" s="547">
        <v>3307010800</v>
      </c>
      <c r="G74" s="583">
        <v>3.4688214504772712E-2</v>
      </c>
      <c r="H74" s="538">
        <v>447385.77</v>
      </c>
      <c r="I74" s="581"/>
      <c r="K74" s="581"/>
      <c r="L74" s="581"/>
      <c r="M74" s="581"/>
    </row>
    <row r="75" spans="1:13">
      <c r="A75" s="518" t="s">
        <v>132</v>
      </c>
      <c r="B75" s="547">
        <v>876239015</v>
      </c>
      <c r="C75" s="538">
        <v>139620300</v>
      </c>
      <c r="D75" s="538">
        <v>81167200</v>
      </c>
      <c r="E75" s="547">
        <v>220787500</v>
      </c>
      <c r="F75" s="547">
        <v>1097026515</v>
      </c>
      <c r="G75" s="583">
        <v>0.20125994858018542</v>
      </c>
      <c r="H75" s="538">
        <v>1437326.625</v>
      </c>
      <c r="I75" s="581"/>
      <c r="K75" s="581"/>
      <c r="L75" s="581"/>
      <c r="M75" s="581"/>
    </row>
    <row r="76" spans="1:13">
      <c r="A76" s="518" t="s">
        <v>134</v>
      </c>
      <c r="B76" s="584">
        <v>56159809900</v>
      </c>
      <c r="C76" s="543">
        <v>3926732500</v>
      </c>
      <c r="D76" s="543">
        <v>1221324200</v>
      </c>
      <c r="E76" s="584">
        <v>5148056700</v>
      </c>
      <c r="F76" s="584">
        <v>61307866600</v>
      </c>
      <c r="G76" s="585">
        <v>8.3970573198839701E-2</v>
      </c>
      <c r="H76" s="543">
        <v>63578500.245000005</v>
      </c>
      <c r="I76" s="581"/>
      <c r="K76" s="581"/>
      <c r="L76" s="581"/>
      <c r="M76" s="581"/>
    </row>
    <row r="77" spans="1:13">
      <c r="A77" s="518" t="s">
        <v>136</v>
      </c>
      <c r="B77" s="547">
        <v>4638247500</v>
      </c>
      <c r="C77" s="538">
        <v>42336500</v>
      </c>
      <c r="D77" s="538">
        <v>110882100</v>
      </c>
      <c r="E77" s="547">
        <v>153218600</v>
      </c>
      <c r="F77" s="547">
        <v>4791466100</v>
      </c>
      <c r="G77" s="583">
        <v>3.1977394142473428E-2</v>
      </c>
      <c r="H77" s="538">
        <v>995920.9</v>
      </c>
      <c r="I77" s="581"/>
      <c r="K77" s="581"/>
      <c r="L77" s="581"/>
      <c r="M77" s="581"/>
    </row>
    <row r="78" spans="1:13">
      <c r="A78" s="518" t="s">
        <v>138</v>
      </c>
      <c r="B78" s="547">
        <v>842746000</v>
      </c>
      <c r="C78" s="538">
        <v>38658200</v>
      </c>
      <c r="D78" s="538">
        <v>45476600</v>
      </c>
      <c r="E78" s="547">
        <v>84134800</v>
      </c>
      <c r="F78" s="547">
        <v>926880800</v>
      </c>
      <c r="G78" s="583">
        <v>9.0771974130869904E-2</v>
      </c>
      <c r="H78" s="538">
        <v>319712.24</v>
      </c>
      <c r="I78" s="581"/>
      <c r="K78" s="581"/>
      <c r="L78" s="581"/>
      <c r="M78" s="581"/>
    </row>
    <row r="79" spans="1:13" ht="9" customHeight="1">
      <c r="B79" s="547"/>
      <c r="C79" s="538"/>
      <c r="D79" s="538"/>
      <c r="E79" s="547"/>
      <c r="F79" s="547"/>
      <c r="G79" s="583"/>
      <c r="H79" s="538"/>
    </row>
    <row r="80" spans="1:13">
      <c r="A80" s="518" t="s">
        <v>140</v>
      </c>
      <c r="B80" s="547">
        <v>2736797100</v>
      </c>
      <c r="C80" s="538">
        <v>246730400</v>
      </c>
      <c r="D80" s="538">
        <v>182087300</v>
      </c>
      <c r="E80" s="547">
        <v>428817700</v>
      </c>
      <c r="F80" s="547">
        <v>3165614800</v>
      </c>
      <c r="G80" s="583">
        <v>0.1354611116930588</v>
      </c>
      <c r="H80" s="538">
        <v>2272733.81</v>
      </c>
      <c r="I80" s="581"/>
      <c r="K80" s="581"/>
      <c r="L80" s="581"/>
      <c r="M80" s="581"/>
    </row>
    <row r="81" spans="1:13">
      <c r="A81" s="518" t="s">
        <v>142</v>
      </c>
      <c r="B81" s="547">
        <v>1659041010</v>
      </c>
      <c r="C81" s="538">
        <v>14330400</v>
      </c>
      <c r="D81" s="538">
        <v>55249200</v>
      </c>
      <c r="E81" s="547">
        <v>69579600</v>
      </c>
      <c r="F81" s="547">
        <v>1728620610</v>
      </c>
      <c r="G81" s="583">
        <v>4.025151591823263E-2</v>
      </c>
      <c r="H81" s="538">
        <v>327024.12</v>
      </c>
      <c r="I81" s="581"/>
      <c r="K81" s="581"/>
      <c r="L81" s="581"/>
      <c r="M81" s="581"/>
    </row>
    <row r="82" spans="1:13">
      <c r="A82" s="518" t="s">
        <v>144</v>
      </c>
      <c r="B82" s="547">
        <v>3691350900</v>
      </c>
      <c r="C82" s="538">
        <v>243648500</v>
      </c>
      <c r="D82" s="538">
        <v>172837100</v>
      </c>
      <c r="E82" s="547">
        <v>416485600</v>
      </c>
      <c r="F82" s="547">
        <v>4107836500</v>
      </c>
      <c r="G82" s="583">
        <v>0.10138806644324817</v>
      </c>
      <c r="H82" s="538">
        <v>1582645.28</v>
      </c>
      <c r="I82" s="581"/>
      <c r="K82" s="581"/>
      <c r="L82" s="581"/>
      <c r="M82" s="581"/>
    </row>
    <row r="83" spans="1:13">
      <c r="A83" s="518" t="s">
        <v>146</v>
      </c>
      <c r="B83" s="547">
        <v>2193438500</v>
      </c>
      <c r="C83" s="538">
        <v>31589400</v>
      </c>
      <c r="D83" s="538">
        <v>80293000</v>
      </c>
      <c r="E83" s="547">
        <v>111882400</v>
      </c>
      <c r="F83" s="547">
        <v>2305320900</v>
      </c>
      <c r="G83" s="583">
        <v>4.8532245554187274E-2</v>
      </c>
      <c r="H83" s="538">
        <v>514659.04000000004</v>
      </c>
      <c r="I83" s="581"/>
      <c r="K83" s="581"/>
      <c r="L83" s="581"/>
      <c r="M83" s="581"/>
    </row>
    <row r="84" spans="1:13">
      <c r="A84" s="518" t="s">
        <v>148</v>
      </c>
      <c r="B84" s="547">
        <v>7187287200</v>
      </c>
      <c r="C84" s="538">
        <v>605553900</v>
      </c>
      <c r="D84" s="538">
        <v>1888211100</v>
      </c>
      <c r="E84" s="547">
        <v>2493765000</v>
      </c>
      <c r="F84" s="547">
        <v>9681052200</v>
      </c>
      <c r="G84" s="583">
        <v>0.25759235137684722</v>
      </c>
      <c r="H84" s="538">
        <v>21695755.5</v>
      </c>
      <c r="I84" s="581"/>
      <c r="K84" s="581"/>
      <c r="L84" s="581"/>
      <c r="M84" s="581"/>
    </row>
    <row r="85" spans="1:13" ht="13.8">
      <c r="A85" s="517" t="s">
        <v>964</v>
      </c>
      <c r="B85" s="568"/>
      <c r="C85" s="568"/>
      <c r="D85" s="568"/>
      <c r="E85" s="568"/>
      <c r="F85" s="568"/>
      <c r="G85" s="568"/>
      <c r="H85" s="568"/>
    </row>
    <row r="86" spans="1:13" ht="13.2">
      <c r="A86" s="1148" t="s">
        <v>1104</v>
      </c>
      <c r="B86" s="1149"/>
      <c r="C86" s="1149"/>
      <c r="D86" s="1149"/>
      <c r="E86" s="1149"/>
      <c r="F86" s="1149"/>
      <c r="G86" s="1149"/>
      <c r="H86" s="1149"/>
    </row>
    <row r="87" spans="1:13" ht="12.6" thickBot="1">
      <c r="A87" s="524"/>
      <c r="B87" s="524"/>
      <c r="C87" s="524"/>
      <c r="D87" s="524"/>
      <c r="E87" s="524"/>
      <c r="F87" s="524"/>
      <c r="G87" s="524"/>
      <c r="H87" s="524"/>
    </row>
    <row r="88" spans="1:13" ht="14.25" customHeight="1">
      <c r="A88" s="580"/>
      <c r="B88" s="580"/>
      <c r="C88" s="580"/>
      <c r="D88" s="580"/>
      <c r="E88" s="580"/>
      <c r="F88" s="580" t="s">
        <v>935</v>
      </c>
      <c r="G88" s="580"/>
      <c r="H88" s="580" t="s">
        <v>949</v>
      </c>
    </row>
    <row r="89" spans="1:13" ht="12">
      <c r="A89" s="528"/>
      <c r="B89" s="528" t="s">
        <v>950</v>
      </c>
      <c r="C89" s="1156" t="s">
        <v>951</v>
      </c>
      <c r="D89" s="1156"/>
      <c r="E89" s="1156"/>
      <c r="F89" s="528" t="s">
        <v>952</v>
      </c>
      <c r="G89" s="528" t="s">
        <v>953</v>
      </c>
      <c r="H89" s="528" t="s">
        <v>954</v>
      </c>
    </row>
    <row r="90" spans="1:13" ht="12">
      <c r="A90" s="525" t="s">
        <v>33</v>
      </c>
      <c r="B90" s="525" t="s">
        <v>955</v>
      </c>
      <c r="C90" s="525" t="s">
        <v>956</v>
      </c>
      <c r="D90" s="525" t="s">
        <v>957</v>
      </c>
      <c r="E90" s="525" t="s">
        <v>958</v>
      </c>
      <c r="F90" s="525" t="s">
        <v>959</v>
      </c>
      <c r="G90" s="525" t="s">
        <v>935</v>
      </c>
      <c r="H90" s="525" t="s">
        <v>503</v>
      </c>
    </row>
    <row r="91" spans="1:13" ht="9" customHeight="1">
      <c r="B91" s="547"/>
      <c r="C91" s="547"/>
      <c r="D91" s="538"/>
      <c r="E91" s="547"/>
      <c r="F91" s="547"/>
      <c r="G91" s="583"/>
      <c r="H91" s="547"/>
    </row>
    <row r="92" spans="1:13">
      <c r="A92" s="518" t="s">
        <v>150</v>
      </c>
      <c r="B92" s="582">
        <v>3649229910</v>
      </c>
      <c r="C92" s="550">
        <v>91242600</v>
      </c>
      <c r="D92" s="550">
        <v>124524100</v>
      </c>
      <c r="E92" s="582">
        <v>215766700</v>
      </c>
      <c r="F92" s="582">
        <v>3864996610</v>
      </c>
      <c r="G92" s="583">
        <v>5.5825844566523439E-2</v>
      </c>
      <c r="H92" s="550">
        <v>1294600.2</v>
      </c>
      <c r="I92" s="581"/>
      <c r="K92" s="581"/>
      <c r="L92" s="581"/>
      <c r="M92" s="581"/>
    </row>
    <row r="93" spans="1:13">
      <c r="A93" s="518" t="s">
        <v>960</v>
      </c>
      <c r="B93" s="547">
        <v>2346460757</v>
      </c>
      <c r="C93" s="538">
        <v>123256300</v>
      </c>
      <c r="D93" s="538">
        <v>173563400</v>
      </c>
      <c r="E93" s="547">
        <v>296819700</v>
      </c>
      <c r="F93" s="547">
        <v>2643280457</v>
      </c>
      <c r="G93" s="583">
        <v>0.11229217059202129</v>
      </c>
      <c r="H93" s="538">
        <v>2404239.5700000003</v>
      </c>
      <c r="I93" s="581"/>
      <c r="K93" s="581"/>
      <c r="L93" s="581"/>
      <c r="M93" s="581"/>
    </row>
    <row r="94" spans="1:13">
      <c r="A94" s="518" t="s">
        <v>154</v>
      </c>
      <c r="B94" s="547">
        <v>2883293000</v>
      </c>
      <c r="C94" s="538">
        <v>190192400</v>
      </c>
      <c r="D94" s="538">
        <v>380151800</v>
      </c>
      <c r="E94" s="547">
        <v>570344200</v>
      </c>
      <c r="F94" s="547">
        <v>3453637200</v>
      </c>
      <c r="G94" s="583">
        <v>0.16514305555893363</v>
      </c>
      <c r="H94" s="538">
        <v>3079858.68</v>
      </c>
      <c r="I94" s="581"/>
      <c r="K94" s="581"/>
      <c r="L94" s="581"/>
      <c r="M94" s="581"/>
    </row>
    <row r="95" spans="1:13">
      <c r="A95" s="518" t="s">
        <v>156</v>
      </c>
      <c r="B95" s="547">
        <v>3256236500</v>
      </c>
      <c r="C95" s="538">
        <v>26912600</v>
      </c>
      <c r="D95" s="538">
        <v>69808400</v>
      </c>
      <c r="E95" s="547">
        <v>96721000</v>
      </c>
      <c r="F95" s="547">
        <v>3352957500</v>
      </c>
      <c r="G95" s="583">
        <v>2.8846473598308359E-2</v>
      </c>
      <c r="H95" s="538">
        <v>406228.19999999995</v>
      </c>
      <c r="I95" s="581"/>
      <c r="K95" s="581"/>
      <c r="L95" s="581"/>
      <c r="M95" s="581"/>
    </row>
    <row r="96" spans="1:13">
      <c r="A96" s="518" t="s">
        <v>158</v>
      </c>
      <c r="B96" s="547">
        <v>899337244</v>
      </c>
      <c r="C96" s="538">
        <v>153741430</v>
      </c>
      <c r="D96" s="538">
        <v>70090264</v>
      </c>
      <c r="E96" s="547">
        <v>223831694</v>
      </c>
      <c r="F96" s="547">
        <v>1123168938</v>
      </c>
      <c r="G96" s="583">
        <v>0.19928586557830893</v>
      </c>
      <c r="H96" s="538">
        <v>984859.45360000001</v>
      </c>
      <c r="I96" s="581"/>
      <c r="K96" s="581"/>
      <c r="L96" s="581"/>
      <c r="M96" s="581"/>
    </row>
    <row r="97" spans="1:13" ht="9" customHeight="1">
      <c r="B97" s="547"/>
      <c r="C97" s="538"/>
      <c r="D97" s="538"/>
      <c r="E97" s="547"/>
      <c r="F97" s="547"/>
      <c r="G97" s="583"/>
      <c r="H97" s="538"/>
    </row>
    <row r="98" spans="1:13">
      <c r="A98" s="518" t="s">
        <v>160</v>
      </c>
      <c r="B98" s="547">
        <v>4016591000</v>
      </c>
      <c r="C98" s="538">
        <v>275208900</v>
      </c>
      <c r="D98" s="538">
        <v>99781100</v>
      </c>
      <c r="E98" s="547">
        <v>374990000</v>
      </c>
      <c r="F98" s="547">
        <v>4391581000</v>
      </c>
      <c r="G98" s="583">
        <v>8.5388382908114416E-2</v>
      </c>
      <c r="H98" s="538">
        <v>2699928</v>
      </c>
      <c r="I98" s="581"/>
      <c r="K98" s="581"/>
      <c r="L98" s="581"/>
      <c r="M98" s="581"/>
    </row>
    <row r="99" spans="1:13">
      <c r="A99" s="518" t="s">
        <v>162</v>
      </c>
      <c r="B99" s="547">
        <v>2411337645</v>
      </c>
      <c r="C99" s="538">
        <v>230484700</v>
      </c>
      <c r="D99" s="538">
        <v>168364000</v>
      </c>
      <c r="E99" s="547">
        <v>398848700</v>
      </c>
      <c r="F99" s="547">
        <v>2810186345</v>
      </c>
      <c r="G99" s="583">
        <v>0.1419296270902633</v>
      </c>
      <c r="H99" s="538">
        <v>2552631.6800000002</v>
      </c>
      <c r="I99" s="581"/>
      <c r="K99" s="581"/>
      <c r="L99" s="581"/>
      <c r="M99" s="581"/>
    </row>
    <row r="100" spans="1:13">
      <c r="A100" s="518" t="s">
        <v>163</v>
      </c>
      <c r="B100" s="547">
        <v>1742852100</v>
      </c>
      <c r="C100" s="538">
        <v>33813100</v>
      </c>
      <c r="D100" s="538">
        <v>97685300</v>
      </c>
      <c r="E100" s="547">
        <v>131498400</v>
      </c>
      <c r="F100" s="547">
        <v>1874350500</v>
      </c>
      <c r="G100" s="583">
        <v>7.0156782309391971E-2</v>
      </c>
      <c r="H100" s="538">
        <v>631192.32000000007</v>
      </c>
      <c r="I100" s="581"/>
      <c r="K100" s="581"/>
      <c r="L100" s="581"/>
      <c r="M100" s="581"/>
    </row>
    <row r="101" spans="1:13">
      <c r="A101" s="518" t="s">
        <v>165</v>
      </c>
      <c r="B101" s="547">
        <v>4235467230</v>
      </c>
      <c r="C101" s="538">
        <v>145209800</v>
      </c>
      <c r="D101" s="538">
        <v>334491700</v>
      </c>
      <c r="E101" s="547">
        <v>479701500</v>
      </c>
      <c r="F101" s="547">
        <v>4715168730</v>
      </c>
      <c r="G101" s="583">
        <v>0.1017358078721395</v>
      </c>
      <c r="H101" s="538">
        <v>2686328.4000000004</v>
      </c>
      <c r="I101" s="581"/>
      <c r="K101" s="581"/>
      <c r="L101" s="581"/>
      <c r="M101" s="581"/>
    </row>
    <row r="102" spans="1:13">
      <c r="A102" s="518" t="s">
        <v>167</v>
      </c>
      <c r="B102" s="547">
        <v>3332354000</v>
      </c>
      <c r="C102" s="538">
        <v>136269100</v>
      </c>
      <c r="D102" s="538">
        <v>177145200</v>
      </c>
      <c r="E102" s="547">
        <v>313414300</v>
      </c>
      <c r="F102" s="547">
        <v>3645768300</v>
      </c>
      <c r="G102" s="583">
        <v>8.5966598590480919E-2</v>
      </c>
      <c r="H102" s="538">
        <v>2820728.7</v>
      </c>
      <c r="I102" s="581"/>
      <c r="K102" s="581"/>
      <c r="L102" s="581"/>
      <c r="M102" s="581"/>
    </row>
    <row r="103" spans="1:13" ht="9" customHeight="1">
      <c r="B103" s="547"/>
      <c r="C103" s="547"/>
      <c r="D103" s="538"/>
      <c r="E103" s="547"/>
      <c r="F103" s="547"/>
      <c r="G103" s="583"/>
      <c r="H103" s="547"/>
    </row>
    <row r="104" spans="1:13">
      <c r="A104" s="518" t="s">
        <v>168</v>
      </c>
      <c r="B104" s="547">
        <v>1592116355</v>
      </c>
      <c r="C104" s="538">
        <v>74555400</v>
      </c>
      <c r="D104" s="538">
        <v>264852100</v>
      </c>
      <c r="E104" s="547">
        <v>339407500</v>
      </c>
      <c r="F104" s="547">
        <v>1931523855</v>
      </c>
      <c r="G104" s="583">
        <v>0.17572006637215465</v>
      </c>
      <c r="H104" s="538">
        <v>1425511.5</v>
      </c>
      <c r="I104" s="581"/>
      <c r="K104" s="581"/>
      <c r="L104" s="581"/>
      <c r="M104" s="581"/>
    </row>
    <row r="105" spans="1:13">
      <c r="A105" s="518" t="s">
        <v>170</v>
      </c>
      <c r="B105" s="547">
        <v>2678910600</v>
      </c>
      <c r="C105" s="538">
        <v>2065029400</v>
      </c>
      <c r="D105" s="538">
        <v>103513200</v>
      </c>
      <c r="E105" s="547">
        <v>2168542600</v>
      </c>
      <c r="F105" s="547">
        <v>4847453200</v>
      </c>
      <c r="G105" s="583">
        <v>0.44735709877508462</v>
      </c>
      <c r="H105" s="538">
        <v>17348340.800000001</v>
      </c>
      <c r="I105" s="581"/>
      <c r="K105" s="581"/>
      <c r="L105" s="581"/>
      <c r="M105" s="581"/>
    </row>
    <row r="106" spans="1:13">
      <c r="A106" s="518" t="s">
        <v>172</v>
      </c>
      <c r="B106" s="547">
        <v>42273631100</v>
      </c>
      <c r="C106" s="538">
        <v>2114072300</v>
      </c>
      <c r="D106" s="538">
        <v>1202520200</v>
      </c>
      <c r="E106" s="547">
        <v>3316592500</v>
      </c>
      <c r="F106" s="547">
        <v>45590223600</v>
      </c>
      <c r="G106" s="583">
        <v>7.2747888431062668E-2</v>
      </c>
      <c r="H106" s="538">
        <v>40097603.325000003</v>
      </c>
      <c r="I106" s="581"/>
      <c r="K106" s="581"/>
      <c r="L106" s="581"/>
      <c r="M106" s="581"/>
    </row>
    <row r="107" spans="1:13">
      <c r="A107" s="518" t="s">
        <v>174</v>
      </c>
      <c r="B107" s="547">
        <v>2835258000</v>
      </c>
      <c r="C107" s="538">
        <v>538180400</v>
      </c>
      <c r="D107" s="538">
        <v>107537800</v>
      </c>
      <c r="E107" s="547">
        <v>645718200</v>
      </c>
      <c r="F107" s="547">
        <v>3480976200</v>
      </c>
      <c r="G107" s="583">
        <v>0.18549917118077394</v>
      </c>
      <c r="H107" s="538">
        <v>3486878.2800000003</v>
      </c>
      <c r="I107" s="581"/>
      <c r="K107" s="581"/>
      <c r="L107" s="581"/>
      <c r="M107" s="581"/>
    </row>
    <row r="108" spans="1:13">
      <c r="A108" s="518" t="s">
        <v>176</v>
      </c>
      <c r="B108" s="547">
        <v>2126318700</v>
      </c>
      <c r="C108" s="538">
        <v>111047600</v>
      </c>
      <c r="D108" s="538">
        <v>34757500</v>
      </c>
      <c r="E108" s="547">
        <v>145805100</v>
      </c>
      <c r="F108" s="547">
        <v>2272123800</v>
      </c>
      <c r="G108" s="583">
        <v>6.4171283272504778E-2</v>
      </c>
      <c r="H108" s="538">
        <v>889411.11</v>
      </c>
      <c r="I108" s="581"/>
      <c r="K108" s="581"/>
      <c r="L108" s="581"/>
      <c r="M108" s="581"/>
    </row>
    <row r="109" spans="1:13" ht="9" customHeight="1">
      <c r="B109" s="547"/>
      <c r="C109" s="538"/>
      <c r="D109" s="538"/>
      <c r="E109" s="547"/>
      <c r="F109" s="547"/>
      <c r="G109" s="583"/>
      <c r="H109" s="538"/>
    </row>
    <row r="110" spans="1:13">
      <c r="A110" s="518" t="s">
        <v>178</v>
      </c>
      <c r="B110" s="547">
        <v>855674008</v>
      </c>
      <c r="C110" s="538">
        <v>66224622</v>
      </c>
      <c r="D110" s="538">
        <v>46733903</v>
      </c>
      <c r="E110" s="547">
        <v>112958525</v>
      </c>
      <c r="F110" s="547">
        <v>968632533</v>
      </c>
      <c r="G110" s="583">
        <v>0.11661648886616531</v>
      </c>
      <c r="H110" s="538">
        <v>756822.11750000005</v>
      </c>
      <c r="I110" s="581"/>
      <c r="K110" s="581"/>
      <c r="L110" s="581"/>
      <c r="M110" s="581"/>
    </row>
    <row r="111" spans="1:13">
      <c r="A111" s="518" t="s">
        <v>37</v>
      </c>
      <c r="B111" s="547">
        <v>8137210000</v>
      </c>
      <c r="C111" s="538">
        <v>606282600</v>
      </c>
      <c r="D111" s="538">
        <v>412572800</v>
      </c>
      <c r="E111" s="547">
        <v>1018855400</v>
      </c>
      <c r="F111" s="547">
        <v>9156065400</v>
      </c>
      <c r="G111" s="583">
        <v>0.11127655335445726</v>
      </c>
      <c r="H111" s="538">
        <v>11105523.860000001</v>
      </c>
      <c r="I111" s="581"/>
      <c r="K111" s="581"/>
      <c r="L111" s="581"/>
      <c r="M111" s="581"/>
    </row>
    <row r="112" spans="1:13">
      <c r="A112" s="518" t="s">
        <v>180</v>
      </c>
      <c r="B112" s="547">
        <v>2767145006</v>
      </c>
      <c r="C112" s="538">
        <v>162752700</v>
      </c>
      <c r="D112" s="538">
        <v>162495800</v>
      </c>
      <c r="E112" s="547">
        <v>325248500</v>
      </c>
      <c r="F112" s="547">
        <v>3092393506</v>
      </c>
      <c r="G112" s="583">
        <v>0.10517694445061353</v>
      </c>
      <c r="H112" s="538">
        <v>2081590.4</v>
      </c>
      <c r="I112" s="581"/>
      <c r="K112" s="581"/>
      <c r="L112" s="581"/>
      <c r="M112" s="581"/>
    </row>
    <row r="113" spans="1:13">
      <c r="A113" s="518" t="s">
        <v>181</v>
      </c>
      <c r="B113" s="547">
        <v>7984796600</v>
      </c>
      <c r="C113" s="538">
        <v>333800800</v>
      </c>
      <c r="D113" s="538">
        <v>817360900</v>
      </c>
      <c r="E113" s="547">
        <v>1151161700</v>
      </c>
      <c r="F113" s="547">
        <v>9135958300</v>
      </c>
      <c r="G113" s="583">
        <v>0.12600338817220741</v>
      </c>
      <c r="H113" s="538">
        <v>7367434.8799999999</v>
      </c>
      <c r="I113" s="581"/>
      <c r="K113" s="581"/>
      <c r="L113" s="581"/>
      <c r="M113" s="581"/>
    </row>
    <row r="114" spans="1:13">
      <c r="A114" s="520" t="s">
        <v>183</v>
      </c>
      <c r="B114" s="588">
        <v>1329553216</v>
      </c>
      <c r="C114" s="538">
        <v>94027940</v>
      </c>
      <c r="D114" s="538">
        <v>71877700</v>
      </c>
      <c r="E114" s="588">
        <v>165905640</v>
      </c>
      <c r="F114" s="588">
        <v>1495458856</v>
      </c>
      <c r="G114" s="589">
        <v>0.11093962186546441</v>
      </c>
      <c r="H114" s="538">
        <v>1161339.48</v>
      </c>
      <c r="I114" s="581"/>
      <c r="K114" s="581"/>
      <c r="L114" s="581"/>
      <c r="M114" s="581"/>
    </row>
    <row r="115" spans="1:13" ht="8.25" customHeight="1"/>
    <row r="116" spans="1:13">
      <c r="A116" s="518" t="s">
        <v>185</v>
      </c>
      <c r="B116" s="538">
        <v>1178340600</v>
      </c>
      <c r="C116" s="538">
        <v>76594300</v>
      </c>
      <c r="D116" s="538">
        <v>151922026</v>
      </c>
      <c r="E116" s="538">
        <v>228516326</v>
      </c>
      <c r="F116" s="553">
        <v>1406856926</v>
      </c>
      <c r="G116" s="590">
        <v>0.16243039485878752</v>
      </c>
      <c r="H116" s="538">
        <v>1096878.3648000001</v>
      </c>
      <c r="I116" s="581"/>
      <c r="K116" s="581"/>
      <c r="L116" s="581"/>
      <c r="M116" s="581"/>
    </row>
    <row r="117" spans="1:13">
      <c r="A117" s="518" t="s">
        <v>187</v>
      </c>
      <c r="B117" s="547">
        <v>5073545800</v>
      </c>
      <c r="C117" s="538">
        <v>458737000</v>
      </c>
      <c r="D117" s="538">
        <v>184565400</v>
      </c>
      <c r="E117" s="547">
        <v>643302400</v>
      </c>
      <c r="F117" s="547">
        <v>5716848200</v>
      </c>
      <c r="G117" s="583">
        <v>0.11252745874903587</v>
      </c>
      <c r="H117" s="538">
        <v>3280842.24</v>
      </c>
      <c r="I117" s="581"/>
      <c r="K117" s="581"/>
      <c r="L117" s="581"/>
      <c r="M117" s="581"/>
    </row>
    <row r="118" spans="1:13">
      <c r="A118" s="518" t="s">
        <v>189</v>
      </c>
      <c r="B118" s="547">
        <v>1614039562</v>
      </c>
      <c r="C118" s="538">
        <v>128559900</v>
      </c>
      <c r="D118" s="538">
        <v>167255900</v>
      </c>
      <c r="E118" s="547">
        <v>295815800</v>
      </c>
      <c r="F118" s="547">
        <v>1909855362</v>
      </c>
      <c r="G118" s="583">
        <v>0.15488911144047149</v>
      </c>
      <c r="H118" s="538">
        <v>2189036.92</v>
      </c>
      <c r="I118" s="581"/>
      <c r="K118" s="581"/>
      <c r="L118" s="581"/>
      <c r="M118" s="581"/>
    </row>
    <row r="119" spans="1:13">
      <c r="A119" s="518" t="s">
        <v>191</v>
      </c>
      <c r="B119" s="547">
        <v>1687257100</v>
      </c>
      <c r="C119" s="538">
        <v>155050700</v>
      </c>
      <c r="D119" s="538">
        <v>139800400</v>
      </c>
      <c r="E119" s="547">
        <v>294851100</v>
      </c>
      <c r="F119" s="547">
        <v>1982108200</v>
      </c>
      <c r="G119" s="583">
        <v>0.14875630906526696</v>
      </c>
      <c r="H119" s="538">
        <v>2211383.25</v>
      </c>
      <c r="I119" s="581"/>
      <c r="K119" s="581"/>
      <c r="L119" s="581"/>
      <c r="M119" s="581"/>
    </row>
    <row r="120" spans="1:13">
      <c r="A120" s="518" t="s">
        <v>193</v>
      </c>
      <c r="B120" s="547">
        <v>12333057500</v>
      </c>
      <c r="C120" s="538">
        <v>650880300</v>
      </c>
      <c r="D120" s="538">
        <v>167263500</v>
      </c>
      <c r="E120" s="547">
        <v>818143800</v>
      </c>
      <c r="F120" s="547">
        <v>13151201300</v>
      </c>
      <c r="G120" s="583">
        <v>6.2210575394355802E-2</v>
      </c>
      <c r="H120" s="538">
        <v>7199665.4399999995</v>
      </c>
      <c r="I120" s="581"/>
      <c r="K120" s="581"/>
      <c r="L120" s="581"/>
      <c r="M120" s="581"/>
    </row>
    <row r="121" spans="1:13" ht="9" customHeight="1">
      <c r="B121" s="547"/>
      <c r="C121" s="538"/>
      <c r="D121" s="538"/>
      <c r="E121" s="547"/>
      <c r="F121" s="547"/>
      <c r="G121" s="583"/>
      <c r="H121" s="538"/>
    </row>
    <row r="122" spans="1:13">
      <c r="A122" s="518" t="s">
        <v>195</v>
      </c>
      <c r="B122" s="547">
        <v>13377716276</v>
      </c>
      <c r="C122" s="538">
        <v>850387200</v>
      </c>
      <c r="D122" s="538">
        <v>758176000</v>
      </c>
      <c r="E122" s="547">
        <v>1608563200</v>
      </c>
      <c r="F122" s="547">
        <v>14986279476</v>
      </c>
      <c r="G122" s="583">
        <v>0.10733572682773315</v>
      </c>
      <c r="H122" s="538">
        <v>17211626.240000002</v>
      </c>
      <c r="I122" s="581"/>
      <c r="K122" s="581"/>
      <c r="L122" s="581"/>
      <c r="M122" s="581"/>
    </row>
    <row r="123" spans="1:13">
      <c r="A123" s="518" t="s">
        <v>197</v>
      </c>
      <c r="B123" s="547">
        <v>878370600</v>
      </c>
      <c r="C123" s="538">
        <v>48110900</v>
      </c>
      <c r="D123" s="538">
        <v>58027400</v>
      </c>
      <c r="E123" s="547">
        <v>106138300</v>
      </c>
      <c r="F123" s="547">
        <v>984508900</v>
      </c>
      <c r="G123" s="583">
        <v>0.10780837024429134</v>
      </c>
      <c r="H123" s="538">
        <v>774809.59000000008</v>
      </c>
      <c r="I123" s="581"/>
      <c r="K123" s="581"/>
      <c r="L123" s="581"/>
      <c r="M123" s="581"/>
    </row>
    <row r="124" spans="1:13" ht="12" customHeight="1">
      <c r="A124" s="518" t="s">
        <v>199</v>
      </c>
      <c r="B124" s="547">
        <v>929772475</v>
      </c>
      <c r="C124" s="538">
        <v>209435500</v>
      </c>
      <c r="D124" s="538">
        <v>57474600</v>
      </c>
      <c r="E124" s="547">
        <v>266910100</v>
      </c>
      <c r="F124" s="547">
        <v>1196682575</v>
      </c>
      <c r="G124" s="583">
        <v>0.22304168672298083</v>
      </c>
      <c r="H124" s="538">
        <v>1441314.5400000003</v>
      </c>
      <c r="I124" s="581"/>
      <c r="K124" s="581"/>
      <c r="L124" s="581"/>
      <c r="M124" s="581"/>
    </row>
    <row r="125" spans="1:13">
      <c r="A125" s="518" t="s">
        <v>201</v>
      </c>
      <c r="B125" s="547">
        <v>2787180000</v>
      </c>
      <c r="C125" s="538">
        <v>322671200</v>
      </c>
      <c r="D125" s="538">
        <v>176033400</v>
      </c>
      <c r="E125" s="547">
        <v>498704600</v>
      </c>
      <c r="F125" s="547">
        <v>3285884600</v>
      </c>
      <c r="G125" s="583">
        <v>0.15177179381162687</v>
      </c>
      <c r="H125" s="538">
        <v>2842616.2199999997</v>
      </c>
      <c r="I125" s="581"/>
      <c r="K125" s="581"/>
      <c r="L125" s="581"/>
      <c r="M125" s="581"/>
    </row>
    <row r="126" spans="1:13">
      <c r="A126" s="518" t="s">
        <v>203</v>
      </c>
      <c r="B126" s="547">
        <v>4124636300</v>
      </c>
      <c r="C126" s="538">
        <v>242548000</v>
      </c>
      <c r="D126" s="538">
        <v>361604100</v>
      </c>
      <c r="E126" s="547">
        <v>604152100</v>
      </c>
      <c r="F126" s="547">
        <v>4728788400</v>
      </c>
      <c r="G126" s="583">
        <v>0.12776044282294383</v>
      </c>
      <c r="H126" s="538">
        <v>3564497.3899999997</v>
      </c>
      <c r="I126" s="581"/>
      <c r="K126" s="581"/>
      <c r="L126" s="581"/>
      <c r="M126" s="581"/>
    </row>
    <row r="127" spans="1:13" ht="13.8">
      <c r="A127" s="517" t="s">
        <v>964</v>
      </c>
      <c r="B127" s="568"/>
      <c r="C127" s="568"/>
      <c r="D127" s="568"/>
      <c r="E127" s="568"/>
      <c r="F127" s="568"/>
      <c r="G127" s="568"/>
      <c r="H127" s="568"/>
    </row>
    <row r="128" spans="1:13" ht="13.2">
      <c r="A128" s="1148" t="s">
        <v>1104</v>
      </c>
      <c r="B128" s="1149"/>
      <c r="C128" s="1149"/>
      <c r="D128" s="1149"/>
      <c r="E128" s="1149"/>
      <c r="F128" s="1149"/>
      <c r="G128" s="1149"/>
      <c r="H128" s="1149"/>
    </row>
    <row r="129" spans="1:13" ht="12.6" thickBot="1">
      <c r="A129" s="524"/>
      <c r="B129" s="524"/>
      <c r="C129" s="524"/>
      <c r="D129" s="524"/>
      <c r="E129" s="524"/>
      <c r="F129" s="524"/>
      <c r="G129" s="524"/>
      <c r="H129" s="524"/>
    </row>
    <row r="130" spans="1:13" ht="14.25" customHeight="1">
      <c r="A130" s="580"/>
      <c r="B130" s="580"/>
      <c r="C130" s="580"/>
      <c r="D130" s="580"/>
      <c r="E130" s="580"/>
      <c r="F130" s="580" t="s">
        <v>935</v>
      </c>
      <c r="G130" s="580"/>
      <c r="H130" s="580" t="s">
        <v>949</v>
      </c>
    </row>
    <row r="131" spans="1:13" ht="12">
      <c r="A131" s="528"/>
      <c r="B131" s="528" t="s">
        <v>950</v>
      </c>
      <c r="C131" s="1156" t="s">
        <v>951</v>
      </c>
      <c r="D131" s="1156"/>
      <c r="E131" s="1156"/>
      <c r="F131" s="528" t="s">
        <v>952</v>
      </c>
      <c r="G131" s="528" t="s">
        <v>953</v>
      </c>
      <c r="H131" s="528" t="s">
        <v>954</v>
      </c>
    </row>
    <row r="132" spans="1:13" ht="12">
      <c r="A132" s="525" t="s">
        <v>33</v>
      </c>
      <c r="B132" s="525" t="s">
        <v>955</v>
      </c>
      <c r="C132" s="525" t="s">
        <v>956</v>
      </c>
      <c r="D132" s="525" t="s">
        <v>957</v>
      </c>
      <c r="E132" s="525" t="s">
        <v>958</v>
      </c>
      <c r="F132" s="525" t="s">
        <v>959</v>
      </c>
      <c r="G132" s="525" t="s">
        <v>935</v>
      </c>
      <c r="H132" s="525" t="s">
        <v>503</v>
      </c>
    </row>
    <row r="133" spans="1:13" ht="9" customHeight="1">
      <c r="B133" s="547"/>
      <c r="C133" s="538"/>
      <c r="D133" s="538"/>
      <c r="E133" s="547"/>
      <c r="F133" s="547"/>
      <c r="G133" s="583"/>
      <c r="H133" s="538"/>
    </row>
    <row r="134" spans="1:13">
      <c r="A134" s="518" t="s">
        <v>205</v>
      </c>
      <c r="B134" s="582">
        <v>4510019200</v>
      </c>
      <c r="C134" s="550">
        <v>251876300</v>
      </c>
      <c r="D134" s="550">
        <v>375476700</v>
      </c>
      <c r="E134" s="582">
        <v>627353000</v>
      </c>
      <c r="F134" s="582">
        <v>5137372200</v>
      </c>
      <c r="G134" s="583">
        <v>0.12211554381829683</v>
      </c>
      <c r="H134" s="550">
        <v>3952323.9</v>
      </c>
      <c r="I134" s="581"/>
      <c r="K134" s="581"/>
      <c r="L134" s="581"/>
      <c r="M134" s="581"/>
    </row>
    <row r="135" spans="1:13">
      <c r="A135" s="518" t="s">
        <v>207</v>
      </c>
      <c r="B135" s="547">
        <v>2628273400</v>
      </c>
      <c r="C135" s="538">
        <v>64898500</v>
      </c>
      <c r="D135" s="538">
        <v>83604800</v>
      </c>
      <c r="E135" s="547">
        <v>148503300</v>
      </c>
      <c r="F135" s="547">
        <v>2776776700</v>
      </c>
      <c r="G135" s="583">
        <v>5.3480461716637138E-2</v>
      </c>
      <c r="H135" s="538">
        <v>712815.84</v>
      </c>
      <c r="I135" s="581"/>
      <c r="K135" s="581"/>
      <c r="L135" s="581"/>
      <c r="M135" s="581"/>
    </row>
    <row r="136" spans="1:13">
      <c r="A136" s="518" t="s">
        <v>209</v>
      </c>
      <c r="B136" s="547">
        <v>2037986090</v>
      </c>
      <c r="C136" s="538">
        <v>389615760</v>
      </c>
      <c r="D136" s="538">
        <v>453485980</v>
      </c>
      <c r="E136" s="547">
        <v>843101740</v>
      </c>
      <c r="F136" s="547">
        <v>2881087830</v>
      </c>
      <c r="G136" s="583">
        <v>0.2926331267033952</v>
      </c>
      <c r="H136" s="538">
        <v>4805679.9179999996</v>
      </c>
      <c r="I136" s="581"/>
      <c r="K136" s="581"/>
      <c r="L136" s="581"/>
      <c r="M136" s="581"/>
    </row>
    <row r="137" spans="1:13">
      <c r="A137" s="518" t="s">
        <v>211</v>
      </c>
      <c r="B137" s="547">
        <v>2492136400</v>
      </c>
      <c r="C137" s="538">
        <v>201668300</v>
      </c>
      <c r="D137" s="538">
        <v>146579900</v>
      </c>
      <c r="E137" s="547">
        <v>348248200</v>
      </c>
      <c r="F137" s="547">
        <v>2840384600</v>
      </c>
      <c r="G137" s="583">
        <v>0.1226060020181774</v>
      </c>
      <c r="H137" s="538">
        <v>1532292.08</v>
      </c>
      <c r="I137" s="581"/>
      <c r="K137" s="581"/>
      <c r="L137" s="581"/>
      <c r="M137" s="581"/>
    </row>
    <row r="138" spans="1:13">
      <c r="A138" s="518" t="s">
        <v>213</v>
      </c>
      <c r="B138" s="547">
        <v>8685675623</v>
      </c>
      <c r="C138" s="538">
        <v>5407660376</v>
      </c>
      <c r="D138" s="538">
        <v>481939000</v>
      </c>
      <c r="E138" s="547">
        <v>5889599376</v>
      </c>
      <c r="F138" s="547">
        <v>14575274999</v>
      </c>
      <c r="G138" s="583">
        <v>0.40408152685997906</v>
      </c>
      <c r="H138" s="538">
        <v>43671379.373040006</v>
      </c>
      <c r="I138" s="581"/>
      <c r="K138" s="581"/>
      <c r="L138" s="581"/>
      <c r="M138" s="581"/>
    </row>
    <row r="139" spans="1:13" ht="12" customHeight="1">
      <c r="B139" s="550"/>
      <c r="C139" s="550"/>
      <c r="D139" s="550"/>
      <c r="E139" s="550"/>
      <c r="F139" s="550"/>
      <c r="G139" s="550"/>
      <c r="H139" s="550"/>
    </row>
    <row r="140" spans="1:13" ht="12.75" customHeight="1">
      <c r="A140" s="591" t="s">
        <v>34</v>
      </c>
      <c r="B140" s="557">
        <f>SUM(B8:B60,B62:B114,B116:B138)</f>
        <v>738148160396</v>
      </c>
      <c r="C140" s="557">
        <f>SUM(C8:C60,C62:C114,C116:C138)</f>
        <v>57228359561</v>
      </c>
      <c r="D140" s="557">
        <f>SUM(D8:D60,D62:D114,D116:D138)</f>
        <v>26223861410</v>
      </c>
      <c r="E140" s="557">
        <f>SUM(E8:E60,E62:E114,E116:E138)</f>
        <v>83452220971</v>
      </c>
      <c r="F140" s="557">
        <f>SUM(F8:F60,F62:F114,F116:F138)</f>
        <v>821600381367</v>
      </c>
      <c r="G140" s="592">
        <f>E140/F140</f>
        <v>0.10157276318707403</v>
      </c>
      <c r="H140" s="557">
        <f>SUM(H8:H60,H62:H114,H116:H138)</f>
        <v>725465910.4331398</v>
      </c>
    </row>
    <row r="141" spans="1:13" ht="12">
      <c r="A141" s="593"/>
      <c r="B141" s="594"/>
      <c r="C141" s="594"/>
      <c r="D141" s="594"/>
      <c r="E141" s="594"/>
      <c r="F141" s="594"/>
      <c r="G141" s="595"/>
      <c r="H141" s="594"/>
    </row>
    <row r="142" spans="1:13" ht="12.75" customHeight="1" thickBot="1">
      <c r="A142" s="596"/>
      <c r="B142" s="596"/>
      <c r="C142" s="596"/>
      <c r="D142" s="596"/>
      <c r="E142" s="596"/>
      <c r="F142" s="596"/>
      <c r="G142" s="596"/>
      <c r="H142" s="596"/>
    </row>
    <row r="143" spans="1:13" ht="14.25" customHeight="1">
      <c r="A143" s="580"/>
      <c r="B143" s="580"/>
      <c r="C143" s="580"/>
      <c r="D143" s="580"/>
      <c r="E143" s="580"/>
      <c r="F143" s="580" t="s">
        <v>935</v>
      </c>
      <c r="G143" s="580"/>
      <c r="H143" s="580" t="s">
        <v>949</v>
      </c>
    </row>
    <row r="144" spans="1:13" ht="12.75" customHeight="1">
      <c r="A144" s="528"/>
      <c r="B144" s="528" t="s">
        <v>950</v>
      </c>
      <c r="C144" s="1156" t="s">
        <v>951</v>
      </c>
      <c r="D144" s="1156"/>
      <c r="E144" s="1156"/>
      <c r="F144" s="528" t="s">
        <v>952</v>
      </c>
      <c r="G144" s="528" t="s">
        <v>953</v>
      </c>
      <c r="H144" s="528" t="s">
        <v>954</v>
      </c>
    </row>
    <row r="145" spans="1:13" ht="12">
      <c r="A145" s="525" t="s">
        <v>35</v>
      </c>
      <c r="B145" s="525" t="s">
        <v>955</v>
      </c>
      <c r="C145" s="525" t="s">
        <v>956</v>
      </c>
      <c r="D145" s="525" t="s">
        <v>957</v>
      </c>
      <c r="E145" s="525" t="s">
        <v>958</v>
      </c>
      <c r="F145" s="525" t="s">
        <v>959</v>
      </c>
      <c r="G145" s="525" t="s">
        <v>935</v>
      </c>
      <c r="H145" s="525" t="s">
        <v>503</v>
      </c>
    </row>
    <row r="146" spans="1:13" ht="9" customHeight="1">
      <c r="A146" s="528"/>
      <c r="B146" s="528"/>
      <c r="C146" s="528"/>
      <c r="D146" s="528"/>
      <c r="E146" s="528"/>
      <c r="F146" s="528"/>
      <c r="G146" s="528"/>
      <c r="H146" s="528"/>
    </row>
    <row r="147" spans="1:13" ht="12" customHeight="1">
      <c r="A147" s="518" t="s">
        <v>218</v>
      </c>
      <c r="B147" s="550">
        <v>32890223459</v>
      </c>
      <c r="C147" s="550">
        <v>4558090435</v>
      </c>
      <c r="D147" s="550">
        <v>1153125671</v>
      </c>
      <c r="E147" s="550">
        <v>5711216106</v>
      </c>
      <c r="F147" s="550">
        <v>38601439565</v>
      </c>
      <c r="G147" s="597">
        <v>0.14795344863714283</v>
      </c>
      <c r="H147" s="550">
        <v>56997936.737879999</v>
      </c>
      <c r="I147" s="581"/>
      <c r="K147" s="581"/>
      <c r="L147" s="581"/>
      <c r="M147" s="581"/>
    </row>
    <row r="148" spans="1:13" ht="12" customHeight="1">
      <c r="A148" s="518" t="s">
        <v>117</v>
      </c>
      <c r="B148" s="538">
        <v>427414000</v>
      </c>
      <c r="C148" s="538">
        <v>72421400</v>
      </c>
      <c r="D148" s="538">
        <v>88648400</v>
      </c>
      <c r="E148" s="538">
        <v>161069800</v>
      </c>
      <c r="F148" s="538">
        <v>588483800</v>
      </c>
      <c r="G148" s="597">
        <v>0.27370303141734742</v>
      </c>
      <c r="H148" s="538">
        <v>1385200.28</v>
      </c>
      <c r="I148" s="581"/>
      <c r="K148" s="581"/>
      <c r="L148" s="581"/>
      <c r="M148" s="581"/>
    </row>
    <row r="149" spans="1:13" ht="12" customHeight="1">
      <c r="A149" s="518" t="s">
        <v>220</v>
      </c>
      <c r="B149" s="538">
        <v>1055329250</v>
      </c>
      <c r="C149" s="538">
        <v>117354400</v>
      </c>
      <c r="D149" s="538">
        <v>104246700</v>
      </c>
      <c r="E149" s="538">
        <v>221601100</v>
      </c>
      <c r="F149" s="538">
        <v>1276930350</v>
      </c>
      <c r="G149" s="597">
        <v>0.17354204166264825</v>
      </c>
      <c r="H149" s="538">
        <v>2193850.89</v>
      </c>
      <c r="I149" s="581"/>
      <c r="K149" s="581"/>
      <c r="L149" s="581"/>
      <c r="M149" s="581"/>
    </row>
    <row r="150" spans="1:13" ht="12" customHeight="1">
      <c r="A150" s="518" t="s">
        <v>222</v>
      </c>
      <c r="B150" s="538">
        <v>369903600</v>
      </c>
      <c r="C150" s="538">
        <v>41478800</v>
      </c>
      <c r="D150" s="538">
        <v>77723700</v>
      </c>
      <c r="E150" s="538">
        <v>119202500</v>
      </c>
      <c r="F150" s="538">
        <v>489106100</v>
      </c>
      <c r="G150" s="597">
        <v>0.24371501398162893</v>
      </c>
      <c r="H150" s="538">
        <v>1275466.75</v>
      </c>
      <c r="I150" s="581"/>
      <c r="K150" s="581"/>
      <c r="L150" s="581"/>
      <c r="M150" s="581"/>
    </row>
    <row r="151" spans="1:13" ht="12" customHeight="1">
      <c r="A151" s="518" t="s">
        <v>224</v>
      </c>
      <c r="B151" s="538">
        <v>5281021000</v>
      </c>
      <c r="C151" s="538">
        <v>502487700</v>
      </c>
      <c r="D151" s="538">
        <v>510229200</v>
      </c>
      <c r="E151" s="538">
        <v>1012716900</v>
      </c>
      <c r="F151" s="538">
        <v>6293737900</v>
      </c>
      <c r="G151" s="597">
        <v>0.16090865493461365</v>
      </c>
      <c r="H151" s="538">
        <v>9620810.5499999989</v>
      </c>
      <c r="I151" s="581"/>
      <c r="K151" s="581"/>
      <c r="L151" s="581"/>
      <c r="M151" s="581"/>
    </row>
    <row r="152" spans="1:13" ht="9" customHeight="1">
      <c r="B152" s="538"/>
      <c r="C152" s="538"/>
      <c r="D152" s="538"/>
      <c r="E152" s="538"/>
      <c r="F152" s="538"/>
      <c r="G152" s="597"/>
      <c r="H152" s="538"/>
    </row>
    <row r="153" spans="1:13" ht="12" customHeight="1">
      <c r="A153" s="518" t="s">
        <v>169</v>
      </c>
      <c r="B153" s="538">
        <v>22164609234</v>
      </c>
      <c r="C153" s="538">
        <v>737197600</v>
      </c>
      <c r="D153" s="538">
        <v>1342016800</v>
      </c>
      <c r="E153" s="538">
        <v>2079214400</v>
      </c>
      <c r="F153" s="538">
        <v>24243823634</v>
      </c>
      <c r="G153" s="597">
        <v>8.5762643359773919E-2</v>
      </c>
      <c r="H153" s="538">
        <v>21831751.200000003</v>
      </c>
      <c r="I153" s="581"/>
      <c r="K153" s="581"/>
      <c r="L153" s="581"/>
      <c r="M153" s="581"/>
    </row>
    <row r="154" spans="1:13" ht="12" customHeight="1">
      <c r="A154" s="518" t="s">
        <v>171</v>
      </c>
      <c r="B154" s="538">
        <v>1617398300</v>
      </c>
      <c r="C154" s="538">
        <v>54362100</v>
      </c>
      <c r="D154" s="538">
        <v>65420300</v>
      </c>
      <c r="E154" s="538">
        <v>119782400</v>
      </c>
      <c r="F154" s="538">
        <v>1737180700</v>
      </c>
      <c r="G154" s="597">
        <v>6.8952182118993149E-2</v>
      </c>
      <c r="H154" s="538">
        <v>1365519.3599999999</v>
      </c>
      <c r="I154" s="581"/>
      <c r="K154" s="581"/>
      <c r="L154" s="581"/>
      <c r="M154" s="581"/>
    </row>
    <row r="155" spans="1:13" ht="12" customHeight="1">
      <c r="A155" s="518" t="s">
        <v>173</v>
      </c>
      <c r="B155" s="538">
        <v>273060722</v>
      </c>
      <c r="C155" s="538">
        <v>53242500</v>
      </c>
      <c r="D155" s="538">
        <v>61250600</v>
      </c>
      <c r="E155" s="538">
        <v>114493100</v>
      </c>
      <c r="F155" s="538">
        <v>387553822</v>
      </c>
      <c r="G155" s="597">
        <v>0.29542503131345715</v>
      </c>
      <c r="H155" s="538">
        <v>790002.3899999999</v>
      </c>
      <c r="I155" s="581"/>
      <c r="K155" s="581"/>
      <c r="L155" s="581"/>
      <c r="M155" s="581"/>
    </row>
    <row r="156" spans="1:13" ht="12" customHeight="1">
      <c r="A156" s="518" t="s">
        <v>175</v>
      </c>
      <c r="B156" s="538">
        <v>2233805500</v>
      </c>
      <c r="C156" s="538">
        <v>311606600</v>
      </c>
      <c r="D156" s="538">
        <v>183165000</v>
      </c>
      <c r="E156" s="538">
        <v>494771600</v>
      </c>
      <c r="F156" s="538">
        <v>2728577100</v>
      </c>
      <c r="G156" s="597">
        <v>0.18132952885956566</v>
      </c>
      <c r="H156" s="538">
        <v>3611832.68</v>
      </c>
      <c r="I156" s="581"/>
      <c r="K156" s="581"/>
      <c r="L156" s="581"/>
      <c r="M156" s="581"/>
    </row>
    <row r="157" spans="1:13" ht="12" customHeight="1">
      <c r="A157" s="518" t="s">
        <v>177</v>
      </c>
      <c r="B157" s="538">
        <v>364375800</v>
      </c>
      <c r="C157" s="538">
        <v>32695400</v>
      </c>
      <c r="D157" s="538">
        <v>35466300</v>
      </c>
      <c r="E157" s="538">
        <v>68161700</v>
      </c>
      <c r="F157" s="538">
        <v>432537500</v>
      </c>
      <c r="G157" s="597">
        <v>0.15758564286333554</v>
      </c>
      <c r="H157" s="538">
        <v>565742.11</v>
      </c>
      <c r="I157" s="581"/>
      <c r="K157" s="581"/>
      <c r="L157" s="581"/>
      <c r="M157" s="581"/>
    </row>
    <row r="158" spans="1:13" ht="9" customHeight="1">
      <c r="B158" s="538"/>
      <c r="C158" s="538"/>
      <c r="D158" s="538"/>
      <c r="E158" s="538"/>
      <c r="F158" s="538"/>
      <c r="G158" s="597"/>
      <c r="H158" s="538"/>
    </row>
    <row r="159" spans="1:13" ht="12" customHeight="1">
      <c r="A159" s="518" t="s">
        <v>155</v>
      </c>
      <c r="B159" s="538">
        <v>5222526200</v>
      </c>
      <c r="C159" s="538">
        <v>196935700</v>
      </c>
      <c r="D159" s="538">
        <v>291702300</v>
      </c>
      <c r="E159" s="538">
        <v>488638000</v>
      </c>
      <c r="F159" s="538">
        <v>5711164200</v>
      </c>
      <c r="G159" s="597">
        <v>8.5558387552576415E-2</v>
      </c>
      <c r="H159" s="538">
        <v>4935243.8</v>
      </c>
      <c r="I159" s="581"/>
      <c r="K159" s="581"/>
      <c r="L159" s="581"/>
      <c r="M159" s="581"/>
    </row>
    <row r="160" spans="1:13" ht="12" customHeight="1">
      <c r="A160" s="518" t="s">
        <v>626</v>
      </c>
      <c r="B160" s="538">
        <v>3324120300</v>
      </c>
      <c r="C160" s="538">
        <v>92753700</v>
      </c>
      <c r="D160" s="538">
        <v>140260100</v>
      </c>
      <c r="E160" s="538">
        <v>233013800</v>
      </c>
      <c r="F160" s="538">
        <v>3557134100</v>
      </c>
      <c r="G160" s="597">
        <v>6.5506048816096077E-2</v>
      </c>
      <c r="H160" s="538">
        <v>3040830.09</v>
      </c>
      <c r="I160" s="581"/>
      <c r="K160" s="581"/>
      <c r="L160" s="581"/>
      <c r="M160" s="581"/>
    </row>
    <row r="161" spans="1:13" ht="12" customHeight="1">
      <c r="A161" s="518" t="s">
        <v>36</v>
      </c>
      <c r="B161" s="538">
        <v>579327600</v>
      </c>
      <c r="C161" s="538">
        <v>41209300</v>
      </c>
      <c r="D161" s="538">
        <v>67637900</v>
      </c>
      <c r="E161" s="538">
        <v>108847200</v>
      </c>
      <c r="F161" s="538">
        <v>688174800</v>
      </c>
      <c r="G161" s="597">
        <v>0.15816795383963492</v>
      </c>
      <c r="H161" s="538">
        <v>979624.8</v>
      </c>
      <c r="I161" s="581"/>
      <c r="K161" s="581"/>
      <c r="L161" s="581"/>
      <c r="M161" s="581"/>
    </row>
    <row r="162" spans="1:13" ht="12" customHeight="1">
      <c r="A162" s="518" t="s">
        <v>182</v>
      </c>
      <c r="B162" s="538">
        <v>3519520600</v>
      </c>
      <c r="C162" s="538">
        <v>513738800</v>
      </c>
      <c r="D162" s="538">
        <v>259075300</v>
      </c>
      <c r="E162" s="538">
        <v>772814100</v>
      </c>
      <c r="F162" s="538">
        <v>4292334700</v>
      </c>
      <c r="G162" s="597">
        <v>0.18004516283410985</v>
      </c>
      <c r="H162" s="538">
        <v>5564261.5199999996</v>
      </c>
      <c r="I162" s="581"/>
      <c r="K162" s="581"/>
      <c r="L162" s="581"/>
      <c r="M162" s="581"/>
    </row>
    <row r="163" spans="1:13" ht="12" customHeight="1">
      <c r="A163" s="518" t="s">
        <v>184</v>
      </c>
      <c r="B163" s="538">
        <v>449458875</v>
      </c>
      <c r="C163" s="538">
        <v>35156400</v>
      </c>
      <c r="D163" s="538">
        <v>24614100</v>
      </c>
      <c r="E163" s="538">
        <v>59770500</v>
      </c>
      <c r="F163" s="538">
        <v>509229375</v>
      </c>
      <c r="G163" s="597">
        <v>0.11737441501680848</v>
      </c>
      <c r="H163" s="538">
        <v>400462.35</v>
      </c>
      <c r="I163" s="581"/>
      <c r="K163" s="581"/>
      <c r="L163" s="581"/>
      <c r="M163" s="581"/>
    </row>
    <row r="164" spans="1:13" ht="9" customHeight="1">
      <c r="B164" s="538"/>
      <c r="C164" s="538"/>
      <c r="D164" s="538"/>
      <c r="E164" s="538"/>
      <c r="F164" s="538"/>
      <c r="G164" s="597"/>
      <c r="H164" s="538"/>
    </row>
    <row r="165" spans="1:13" ht="12" customHeight="1">
      <c r="A165" s="518" t="s">
        <v>186</v>
      </c>
      <c r="B165" s="543">
        <v>10780624500</v>
      </c>
      <c r="C165" s="543">
        <v>2942181500</v>
      </c>
      <c r="D165" s="543">
        <v>518135500</v>
      </c>
      <c r="E165" s="543">
        <v>3460317000</v>
      </c>
      <c r="F165" s="543">
        <v>14240941500</v>
      </c>
      <c r="G165" s="907">
        <v>0.24298372407470392</v>
      </c>
      <c r="H165" s="543">
        <v>35987296.800000004</v>
      </c>
      <c r="I165" s="581"/>
      <c r="K165" s="581"/>
      <c r="L165" s="581"/>
      <c r="M165" s="581"/>
    </row>
    <row r="166" spans="1:13" ht="12" customHeight="1">
      <c r="A166" s="518" t="s">
        <v>939</v>
      </c>
      <c r="B166" s="538">
        <v>3920007636</v>
      </c>
      <c r="C166" s="538">
        <v>1021002800</v>
      </c>
      <c r="D166" s="538">
        <v>260991300</v>
      </c>
      <c r="E166" s="538">
        <v>1281994100</v>
      </c>
      <c r="F166" s="538">
        <v>5202001736</v>
      </c>
      <c r="G166" s="597">
        <v>0.24644245908802212</v>
      </c>
      <c r="H166" s="538">
        <v>8076562.8300000001</v>
      </c>
      <c r="I166" s="581"/>
      <c r="K166" s="581"/>
      <c r="L166" s="581"/>
      <c r="M166" s="581"/>
    </row>
    <row r="167" spans="1:13" ht="12" customHeight="1">
      <c r="A167" s="518" t="s">
        <v>190</v>
      </c>
      <c r="B167" s="538">
        <v>1363521300</v>
      </c>
      <c r="C167" s="538">
        <v>156549700</v>
      </c>
      <c r="D167" s="538">
        <v>38312500</v>
      </c>
      <c r="E167" s="538">
        <v>194862200</v>
      </c>
      <c r="F167" s="538">
        <v>1558383500</v>
      </c>
      <c r="G167" s="597">
        <v>0.12504123664040334</v>
      </c>
      <c r="H167" s="538">
        <v>1987594.44</v>
      </c>
      <c r="I167" s="581"/>
      <c r="K167" s="581"/>
      <c r="L167" s="581"/>
      <c r="M167" s="581"/>
    </row>
    <row r="168" spans="1:13" ht="12" customHeight="1">
      <c r="A168" s="520" t="s">
        <v>940</v>
      </c>
      <c r="B168" s="538">
        <v>566445100</v>
      </c>
      <c r="C168" s="538">
        <v>297377700</v>
      </c>
      <c r="D168" s="538">
        <v>312605800</v>
      </c>
      <c r="E168" s="538">
        <v>609983500</v>
      </c>
      <c r="F168" s="553">
        <v>1176428600</v>
      </c>
      <c r="G168" s="590">
        <v>0.51850448042490638</v>
      </c>
      <c r="H168" s="538">
        <v>4757871.3000000007</v>
      </c>
      <c r="I168" s="581"/>
      <c r="K168" s="581"/>
      <c r="L168" s="581"/>
      <c r="M168" s="581"/>
    </row>
    <row r="169" spans="1:13" ht="12" customHeight="1">
      <c r="A169" s="518" t="s">
        <v>194</v>
      </c>
      <c r="B169" s="538">
        <v>4994182200</v>
      </c>
      <c r="C169" s="538">
        <v>426608200</v>
      </c>
      <c r="D169" s="538">
        <v>936343600</v>
      </c>
      <c r="E169" s="538">
        <v>1362951800</v>
      </c>
      <c r="F169" s="553">
        <v>6357134000</v>
      </c>
      <c r="G169" s="590">
        <v>0.2143972110702716</v>
      </c>
      <c r="H169" s="538">
        <v>15128764.98</v>
      </c>
      <c r="I169" s="581"/>
      <c r="K169" s="581"/>
      <c r="L169" s="581"/>
      <c r="M169" s="581"/>
    </row>
    <row r="170" spans="1:13" ht="13.8">
      <c r="A170" s="517" t="s">
        <v>964</v>
      </c>
      <c r="B170" s="568"/>
      <c r="C170" s="568"/>
      <c r="D170" s="568"/>
      <c r="E170" s="568"/>
      <c r="F170" s="568"/>
      <c r="G170" s="568"/>
      <c r="H170" s="568"/>
    </row>
    <row r="171" spans="1:13" ht="13.2">
      <c r="A171" s="1148" t="s">
        <v>1104</v>
      </c>
      <c r="B171" s="1149"/>
      <c r="C171" s="1149"/>
      <c r="D171" s="1149"/>
      <c r="E171" s="1149"/>
      <c r="F171" s="1149"/>
      <c r="G171" s="1149"/>
      <c r="H171" s="1149"/>
    </row>
    <row r="172" spans="1:13" ht="12.6" thickBot="1">
      <c r="A172" s="524"/>
      <c r="B172" s="524"/>
      <c r="C172" s="524"/>
      <c r="D172" s="524"/>
      <c r="E172" s="524"/>
      <c r="F172" s="524"/>
      <c r="G172" s="524"/>
      <c r="H172" s="524"/>
    </row>
    <row r="173" spans="1:13" ht="14.25" customHeight="1">
      <c r="A173" s="580"/>
      <c r="B173" s="580"/>
      <c r="C173" s="580"/>
      <c r="D173" s="580"/>
      <c r="E173" s="580"/>
      <c r="F173" s="580" t="s">
        <v>935</v>
      </c>
      <c r="G173" s="580"/>
      <c r="H173" s="580" t="s">
        <v>949</v>
      </c>
    </row>
    <row r="174" spans="1:13" ht="12">
      <c r="A174" s="528"/>
      <c r="B174" s="528" t="s">
        <v>950</v>
      </c>
      <c r="C174" s="1156" t="s">
        <v>951</v>
      </c>
      <c r="D174" s="1156"/>
      <c r="E174" s="1156"/>
      <c r="F174" s="528" t="s">
        <v>952</v>
      </c>
      <c r="G174" s="528" t="s">
        <v>953</v>
      </c>
      <c r="H174" s="528" t="s">
        <v>954</v>
      </c>
    </row>
    <row r="175" spans="1:13" ht="12">
      <c r="A175" s="525" t="s">
        <v>35</v>
      </c>
      <c r="B175" s="525" t="s">
        <v>955</v>
      </c>
      <c r="C175" s="525" t="s">
        <v>956</v>
      </c>
      <c r="D175" s="525" t="s">
        <v>957</v>
      </c>
      <c r="E175" s="525" t="s">
        <v>958</v>
      </c>
      <c r="F175" s="525" t="s">
        <v>959</v>
      </c>
      <c r="G175" s="525" t="s">
        <v>935</v>
      </c>
      <c r="H175" s="525" t="s">
        <v>503</v>
      </c>
    </row>
    <row r="176" spans="1:13" ht="8.25" customHeight="1"/>
    <row r="177" spans="1:13" ht="12" customHeight="1">
      <c r="A177" s="518" t="s">
        <v>941</v>
      </c>
      <c r="B177" s="582">
        <v>3916333800</v>
      </c>
      <c r="C177" s="550">
        <v>563679100</v>
      </c>
      <c r="D177" s="550">
        <v>199540600</v>
      </c>
      <c r="E177" s="582">
        <v>763219700</v>
      </c>
      <c r="F177" s="582">
        <v>4679553500</v>
      </c>
      <c r="G177" s="583">
        <v>0.16309669287892531</v>
      </c>
      <c r="H177" s="550">
        <v>9097578.8239999991</v>
      </c>
      <c r="I177" s="581"/>
      <c r="K177" s="581"/>
      <c r="L177" s="581"/>
      <c r="M177" s="581"/>
    </row>
    <row r="178" spans="1:13" ht="12" customHeight="1">
      <c r="A178" s="518" t="s">
        <v>961</v>
      </c>
      <c r="B178" s="538">
        <v>1144328100</v>
      </c>
      <c r="C178" s="538">
        <v>137053000</v>
      </c>
      <c r="D178" s="538">
        <v>2793900</v>
      </c>
      <c r="E178" s="538">
        <v>139846900</v>
      </c>
      <c r="F178" s="538">
        <v>1284175000</v>
      </c>
      <c r="G178" s="597">
        <v>0.10890018883719119</v>
      </c>
      <c r="H178" s="538">
        <v>2307473.85</v>
      </c>
      <c r="I178" s="581"/>
      <c r="K178" s="581"/>
      <c r="L178" s="581"/>
      <c r="M178" s="581"/>
    </row>
    <row r="179" spans="1:13" ht="12" customHeight="1">
      <c r="A179" s="518" t="s">
        <v>200</v>
      </c>
      <c r="B179" s="538">
        <v>667076500</v>
      </c>
      <c r="C179" s="538">
        <v>45933600</v>
      </c>
      <c r="D179" s="538">
        <v>85600300</v>
      </c>
      <c r="E179" s="538">
        <v>131533900</v>
      </c>
      <c r="F179" s="538">
        <v>798610400</v>
      </c>
      <c r="G179" s="597">
        <v>0.16470346491856355</v>
      </c>
      <c r="H179" s="538">
        <v>1339225.5562400001</v>
      </c>
      <c r="I179" s="581"/>
      <c r="K179" s="581"/>
      <c r="L179" s="581"/>
      <c r="M179" s="581"/>
    </row>
    <row r="180" spans="1:13" ht="12" customHeight="1">
      <c r="A180" s="518" t="s">
        <v>202</v>
      </c>
      <c r="B180" s="538">
        <v>14150366660</v>
      </c>
      <c r="C180" s="538">
        <v>2854085700</v>
      </c>
      <c r="D180" s="538">
        <v>740237400</v>
      </c>
      <c r="E180" s="538">
        <v>3594323100</v>
      </c>
      <c r="F180" s="538">
        <v>17744689760</v>
      </c>
      <c r="G180" s="597">
        <v>0.20255767492212273</v>
      </c>
      <c r="H180" s="538">
        <v>39537554.100000001</v>
      </c>
      <c r="I180" s="581"/>
      <c r="K180" s="581"/>
      <c r="L180" s="581"/>
      <c r="M180" s="581"/>
    </row>
    <row r="181" spans="1:13" ht="12" customHeight="1">
      <c r="A181" s="518" t="s">
        <v>204</v>
      </c>
      <c r="B181" s="538">
        <v>17461122000</v>
      </c>
      <c r="C181" s="538">
        <v>8344255540</v>
      </c>
      <c r="D181" s="538">
        <v>1401732300</v>
      </c>
      <c r="E181" s="538">
        <v>9745987840</v>
      </c>
      <c r="F181" s="538">
        <v>27207109840</v>
      </c>
      <c r="G181" s="597">
        <v>0.35821474229766992</v>
      </c>
      <c r="H181" s="538">
        <v>108180465.02400002</v>
      </c>
      <c r="I181" s="581"/>
      <c r="K181" s="581"/>
      <c r="L181" s="581"/>
      <c r="M181" s="581"/>
    </row>
    <row r="182" spans="1:13" ht="9" customHeight="1">
      <c r="B182" s="538"/>
      <c r="C182" s="538"/>
      <c r="D182" s="538"/>
      <c r="E182" s="538"/>
      <c r="F182" s="538"/>
      <c r="G182" s="597"/>
      <c r="H182" s="538"/>
    </row>
    <row r="183" spans="1:13" ht="12" customHeight="1">
      <c r="A183" s="518" t="s">
        <v>942</v>
      </c>
      <c r="B183" s="538">
        <v>220246000</v>
      </c>
      <c r="C183" s="538">
        <v>33589300</v>
      </c>
      <c r="D183" s="538">
        <v>23528100</v>
      </c>
      <c r="E183" s="538">
        <v>57117400</v>
      </c>
      <c r="F183" s="538">
        <v>277363400</v>
      </c>
      <c r="G183" s="597">
        <v>0.20592983789497821</v>
      </c>
      <c r="H183" s="538">
        <v>456938.8</v>
      </c>
      <c r="I183" s="581"/>
      <c r="K183" s="581"/>
      <c r="L183" s="581"/>
      <c r="M183" s="581"/>
    </row>
    <row r="184" spans="1:13" ht="12" customHeight="1">
      <c r="A184" s="518" t="s">
        <v>208</v>
      </c>
      <c r="B184" s="538">
        <v>1809471800</v>
      </c>
      <c r="C184" s="538">
        <v>165832800</v>
      </c>
      <c r="D184" s="538">
        <v>193393000</v>
      </c>
      <c r="E184" s="538">
        <v>359225800</v>
      </c>
      <c r="F184" s="538">
        <v>2168697600</v>
      </c>
      <c r="G184" s="597">
        <v>0.16564125860608689</v>
      </c>
      <c r="H184" s="538">
        <v>4849548.3000000007</v>
      </c>
      <c r="I184" s="581"/>
      <c r="K184" s="581"/>
      <c r="L184" s="581"/>
      <c r="M184" s="581"/>
    </row>
    <row r="185" spans="1:13" ht="12" customHeight="1">
      <c r="A185" s="518" t="s">
        <v>943</v>
      </c>
      <c r="B185" s="538">
        <v>1508646060</v>
      </c>
      <c r="C185" s="538">
        <v>40706440</v>
      </c>
      <c r="D185" s="538">
        <v>65300600</v>
      </c>
      <c r="E185" s="538">
        <v>106007040</v>
      </c>
      <c r="F185" s="538">
        <v>1614653100</v>
      </c>
      <c r="G185" s="597">
        <v>6.5653136268093742E-2</v>
      </c>
      <c r="H185" s="538">
        <v>975264.76800000004</v>
      </c>
      <c r="I185" s="581"/>
      <c r="K185" s="581"/>
      <c r="L185" s="581"/>
      <c r="M185" s="581"/>
    </row>
    <row r="186" spans="1:13" ht="12" customHeight="1">
      <c r="A186" s="518" t="s">
        <v>212</v>
      </c>
      <c r="B186" s="538">
        <v>7018606555</v>
      </c>
      <c r="C186" s="538">
        <v>4302459846</v>
      </c>
      <c r="D186" s="538">
        <v>558622870</v>
      </c>
      <c r="E186" s="538">
        <v>4861082716</v>
      </c>
      <c r="F186" s="538">
        <v>11879689271</v>
      </c>
      <c r="G186" s="597">
        <v>0.40919274949948309</v>
      </c>
      <c r="H186" s="538">
        <v>61735750.490000002</v>
      </c>
      <c r="I186" s="581"/>
      <c r="K186" s="581"/>
      <c r="L186" s="581"/>
      <c r="M186" s="581"/>
    </row>
    <row r="187" spans="1:13" ht="12" customHeight="1">
      <c r="A187" s="518" t="s">
        <v>214</v>
      </c>
      <c r="B187" s="538">
        <v>782337300</v>
      </c>
      <c r="C187" s="538">
        <v>278430000</v>
      </c>
      <c r="D187" s="538">
        <v>27213400</v>
      </c>
      <c r="E187" s="538">
        <v>305643400</v>
      </c>
      <c r="F187" s="538">
        <v>1087980700</v>
      </c>
      <c r="G187" s="597">
        <v>0.28092722600685838</v>
      </c>
      <c r="H187" s="538">
        <v>2322889.84</v>
      </c>
      <c r="I187" s="581"/>
      <c r="K187" s="581"/>
      <c r="L187" s="581"/>
      <c r="M187" s="581"/>
    </row>
    <row r="188" spans="1:13" ht="11.25" customHeight="1">
      <c r="B188" s="538"/>
      <c r="C188" s="538"/>
      <c r="D188" s="538"/>
      <c r="E188" s="538"/>
      <c r="F188" s="538"/>
      <c r="G188" s="597"/>
      <c r="H188" s="538"/>
    </row>
    <row r="189" spans="1:13" ht="12" customHeight="1">
      <c r="A189" s="518" t="s">
        <v>178</v>
      </c>
      <c r="B189" s="538">
        <v>19716529000</v>
      </c>
      <c r="C189" s="538">
        <v>4684990000</v>
      </c>
      <c r="D189" s="538">
        <v>1313558000</v>
      </c>
      <c r="E189" s="538">
        <v>5998548000</v>
      </c>
      <c r="F189" s="538">
        <v>25715077000</v>
      </c>
      <c r="G189" s="597">
        <v>0.23326968843997628</v>
      </c>
      <c r="H189" s="538">
        <v>71982576</v>
      </c>
      <c r="I189" s="581"/>
      <c r="K189" s="581"/>
      <c r="L189" s="581"/>
      <c r="M189" s="581"/>
    </row>
    <row r="190" spans="1:13" ht="12" customHeight="1">
      <c r="A190" s="518" t="s">
        <v>37</v>
      </c>
      <c r="B190" s="538">
        <v>6889472200</v>
      </c>
      <c r="C190" s="538">
        <v>1418386000</v>
      </c>
      <c r="D190" s="538">
        <v>489936700</v>
      </c>
      <c r="E190" s="538">
        <v>1908322700</v>
      </c>
      <c r="F190" s="538">
        <v>8797794900</v>
      </c>
      <c r="G190" s="597">
        <v>0.21690920528279195</v>
      </c>
      <c r="H190" s="538">
        <v>22709040.130000003</v>
      </c>
      <c r="I190" s="581"/>
      <c r="K190" s="581"/>
      <c r="L190" s="581"/>
      <c r="M190" s="581"/>
    </row>
    <row r="191" spans="1:13" ht="12" customHeight="1">
      <c r="A191" s="518" t="s">
        <v>215</v>
      </c>
      <c r="B191" s="538">
        <v>1993245700</v>
      </c>
      <c r="C191" s="538">
        <v>244611600</v>
      </c>
      <c r="D191" s="538">
        <v>225955300</v>
      </c>
      <c r="E191" s="538">
        <v>470566900</v>
      </c>
      <c r="F191" s="538">
        <v>2246717000</v>
      </c>
      <c r="G191" s="597">
        <v>0.1128185258757556</v>
      </c>
      <c r="H191" s="538">
        <v>5469053.852</v>
      </c>
      <c r="I191" s="581"/>
      <c r="K191" s="581"/>
      <c r="L191" s="581"/>
      <c r="M191" s="581"/>
    </row>
    <row r="192" spans="1:13" ht="12" customHeight="1">
      <c r="A192" s="518" t="s">
        <v>216</v>
      </c>
      <c r="B192" s="538">
        <v>1852497541</v>
      </c>
      <c r="C192" s="538">
        <v>124134835</v>
      </c>
      <c r="D192" s="538">
        <v>142388756</v>
      </c>
      <c r="E192" s="538">
        <v>266523591</v>
      </c>
      <c r="F192" s="538">
        <v>2119021132</v>
      </c>
      <c r="G192" s="597">
        <v>0.12577674992247317</v>
      </c>
      <c r="H192" s="538">
        <v>2398712.3190000001</v>
      </c>
      <c r="I192" s="581"/>
      <c r="K192" s="581"/>
      <c r="L192" s="581"/>
      <c r="M192" s="581"/>
    </row>
    <row r="193" spans="1:13" ht="12" customHeight="1">
      <c r="A193" s="518" t="s">
        <v>217</v>
      </c>
      <c r="B193" s="538">
        <v>9371181700</v>
      </c>
      <c r="C193" s="538">
        <v>690883300</v>
      </c>
      <c r="D193" s="538">
        <v>299856500</v>
      </c>
      <c r="E193" s="538">
        <v>990739800</v>
      </c>
      <c r="F193" s="538">
        <v>10361921500</v>
      </c>
      <c r="G193" s="597">
        <v>9.5613521102239585E-2</v>
      </c>
      <c r="H193" s="538">
        <v>10070005</v>
      </c>
      <c r="I193" s="581"/>
      <c r="K193" s="581"/>
      <c r="L193" s="581"/>
      <c r="M193" s="581"/>
    </row>
    <row r="194" spans="1:13" ht="9" customHeight="1">
      <c r="B194" s="538"/>
      <c r="C194" s="538"/>
      <c r="D194" s="538"/>
      <c r="E194" s="538"/>
      <c r="F194" s="538"/>
      <c r="G194" s="597"/>
      <c r="H194" s="538"/>
    </row>
    <row r="195" spans="1:13">
      <c r="A195" s="518" t="s">
        <v>799</v>
      </c>
      <c r="B195" s="538">
        <v>49182162202</v>
      </c>
      <c r="C195" s="538">
        <v>5601780037</v>
      </c>
      <c r="D195" s="538">
        <v>1523496000</v>
      </c>
      <c r="E195" s="538">
        <v>7125276037</v>
      </c>
      <c r="F195" s="538">
        <v>56307438239</v>
      </c>
      <c r="G195" s="597">
        <v>0.12654235852031442</v>
      </c>
      <c r="H195" s="538">
        <v>67690122.351500005</v>
      </c>
      <c r="I195" s="581"/>
      <c r="K195" s="581"/>
      <c r="L195" s="581"/>
      <c r="M195" s="581"/>
    </row>
    <row r="196" spans="1:13">
      <c r="A196" s="518" t="s">
        <v>219</v>
      </c>
      <c r="B196" s="538">
        <v>1763479400</v>
      </c>
      <c r="C196" s="538">
        <v>117562400</v>
      </c>
      <c r="D196" s="538">
        <v>197548400</v>
      </c>
      <c r="E196" s="538">
        <v>315110800</v>
      </c>
      <c r="F196" s="538">
        <v>2078590200</v>
      </c>
      <c r="G196" s="597">
        <v>0.15159832852093694</v>
      </c>
      <c r="H196" s="538">
        <v>2363331</v>
      </c>
      <c r="I196" s="581"/>
      <c r="K196" s="581"/>
      <c r="L196" s="581"/>
      <c r="M196" s="581"/>
    </row>
    <row r="197" spans="1:13">
      <c r="A197" s="518" t="s">
        <v>944</v>
      </c>
      <c r="B197" s="538">
        <v>1627903200</v>
      </c>
      <c r="C197" s="538">
        <v>91558000</v>
      </c>
      <c r="D197" s="538">
        <v>739965200</v>
      </c>
      <c r="E197" s="538">
        <v>831523200</v>
      </c>
      <c r="F197" s="538">
        <v>2459426400</v>
      </c>
      <c r="G197" s="597">
        <v>0.33809639515945672</v>
      </c>
      <c r="H197" s="538">
        <v>4739682.2399999993</v>
      </c>
      <c r="I197" s="581"/>
      <c r="K197" s="581"/>
      <c r="L197" s="581"/>
      <c r="M197" s="581"/>
    </row>
    <row r="198" spans="1:13">
      <c r="A198" s="518" t="s">
        <v>223</v>
      </c>
      <c r="B198" s="538">
        <v>2756994400</v>
      </c>
      <c r="C198" s="538">
        <v>121280400</v>
      </c>
      <c r="D198" s="538">
        <v>658424300</v>
      </c>
      <c r="E198" s="538">
        <v>779704700</v>
      </c>
      <c r="F198" s="538">
        <v>3536699100</v>
      </c>
      <c r="G198" s="597">
        <v>0.22046113563916139</v>
      </c>
      <c r="H198" s="538">
        <v>7407194.6499999994</v>
      </c>
      <c r="I198" s="581"/>
      <c r="K198" s="581"/>
      <c r="L198" s="581"/>
      <c r="M198" s="581"/>
    </row>
    <row r="199" spans="1:13" ht="12" customHeight="1">
      <c r="E199" s="538"/>
      <c r="G199" s="597"/>
    </row>
    <row r="200" spans="1:13" ht="12.75" customHeight="1">
      <c r="A200" s="557" t="s">
        <v>39</v>
      </c>
      <c r="B200" s="557">
        <f>SUM(B147:B168,B169:B198)</f>
        <v>245228875294</v>
      </c>
      <c r="C200" s="557">
        <f>SUM(C147:C168,C169:C198)</f>
        <v>42065662633</v>
      </c>
      <c r="D200" s="557">
        <f>SUM(D147:D168,D169:D198)</f>
        <v>15360062697</v>
      </c>
      <c r="E200" s="557">
        <f>SUM(E147:E168,E169:E198)</f>
        <v>57425725330</v>
      </c>
      <c r="F200" s="557">
        <f>SUM(F147:F168,F169:F198)</f>
        <v>302437505024</v>
      </c>
      <c r="G200" s="592">
        <f>E200/F200</f>
        <v>0.18987633602334791</v>
      </c>
      <c r="H200" s="557">
        <f>SUM(H147:H168,H169:H198)</f>
        <v>606129032.95262003</v>
      </c>
    </row>
    <row r="201" spans="1:13" ht="12.75" customHeight="1">
      <c r="A201" s="557" t="s">
        <v>34</v>
      </c>
      <c r="B201" s="557">
        <f t="shared" ref="B201:H201" si="0">B140</f>
        <v>738148160396</v>
      </c>
      <c r="C201" s="557">
        <f t="shared" si="0"/>
        <v>57228359561</v>
      </c>
      <c r="D201" s="557">
        <f t="shared" si="0"/>
        <v>26223861410</v>
      </c>
      <c r="E201" s="557">
        <f t="shared" si="0"/>
        <v>83452220971</v>
      </c>
      <c r="F201" s="557">
        <f t="shared" si="0"/>
        <v>821600381367</v>
      </c>
      <c r="G201" s="592">
        <f t="shared" ref="G201" si="1">E201/F201</f>
        <v>0.10157276318707403</v>
      </c>
      <c r="H201" s="557">
        <f t="shared" si="0"/>
        <v>725465910.4331398</v>
      </c>
    </row>
    <row r="202" spans="1:13" ht="12">
      <c r="A202" s="598"/>
      <c r="B202" s="598"/>
      <c r="C202" s="598"/>
      <c r="D202" s="598"/>
      <c r="E202" s="598"/>
      <c r="F202" s="598"/>
      <c r="G202" s="598"/>
      <c r="H202" s="598"/>
    </row>
    <row r="203" spans="1:13" ht="12.75" customHeight="1">
      <c r="A203" s="557" t="s">
        <v>40</v>
      </c>
      <c r="B203" s="557">
        <f>SUM(B200:B201)</f>
        <v>983377035690</v>
      </c>
      <c r="C203" s="557">
        <f>SUM(C200:C201)</f>
        <v>99294022194</v>
      </c>
      <c r="D203" s="557">
        <f>SUM(D200:D201)</f>
        <v>41583924107</v>
      </c>
      <c r="E203" s="557">
        <f>SUM(E200:E201)</f>
        <v>140877946301</v>
      </c>
      <c r="F203" s="557">
        <f>SUM(F200:F201)</f>
        <v>1124037886391</v>
      </c>
      <c r="G203" s="592">
        <f>E203/F203</f>
        <v>0.12533202662173895</v>
      </c>
      <c r="H203" s="557">
        <f>SUM(H200:H201)</f>
        <v>1331594943.3857598</v>
      </c>
    </row>
    <row r="204" spans="1:13" ht="12">
      <c r="A204" s="562"/>
      <c r="B204" s="562"/>
      <c r="C204" s="598"/>
      <c r="D204" s="598"/>
      <c r="E204" s="562"/>
      <c r="F204" s="562"/>
      <c r="G204" s="599"/>
      <c r="H204" s="562"/>
    </row>
    <row r="205" spans="1:13" ht="12">
      <c r="A205" s="562"/>
      <c r="B205" s="562"/>
      <c r="C205" s="562"/>
      <c r="D205" s="562"/>
      <c r="E205" s="562"/>
      <c r="F205" s="562"/>
      <c r="G205" s="599"/>
      <c r="H205" s="562"/>
    </row>
    <row r="206" spans="1:13">
      <c r="A206" s="518" t="s">
        <v>2</v>
      </c>
      <c r="F206" s="550"/>
      <c r="G206" s="1076"/>
    </row>
    <row r="207" spans="1:13">
      <c r="A207" s="518" t="s">
        <v>945</v>
      </c>
      <c r="F207" s="550"/>
      <c r="G207" s="1076"/>
    </row>
    <row r="208" spans="1:13">
      <c r="A208" s="518" t="s">
        <v>962</v>
      </c>
      <c r="G208" s="1076"/>
    </row>
    <row r="209" spans="5:7">
      <c r="E209" s="550"/>
      <c r="G209" s="1076"/>
    </row>
    <row r="210" spans="5:7">
      <c r="E210" s="550"/>
    </row>
    <row r="211" spans="5:7">
      <c r="E211" s="550"/>
    </row>
    <row r="212" spans="5:7">
      <c r="E212" s="550"/>
    </row>
    <row r="217" spans="5:7" ht="7.5" customHeight="1"/>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A2:H2"/>
    <mergeCell ref="C5:E5"/>
    <mergeCell ref="A44:H44"/>
    <mergeCell ref="C47:E47"/>
    <mergeCell ref="A86:H86"/>
    <mergeCell ref="C174:E174"/>
    <mergeCell ref="C89:E89"/>
    <mergeCell ref="A128:H128"/>
    <mergeCell ref="C131:E131"/>
    <mergeCell ref="C144:E144"/>
    <mergeCell ref="A171:H171"/>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2 G201 G140" formula="1"/>
  </ignoredErrors>
</worksheet>
</file>

<file path=xl/worksheets/sheet29.xml><?xml version="1.0" encoding="utf-8"?>
<worksheet xmlns="http://schemas.openxmlformats.org/spreadsheetml/2006/main" xmlns:r="http://schemas.openxmlformats.org/officeDocument/2006/relationships">
  <sheetPr codeName="Sheet30"/>
  <dimension ref="A1:X219"/>
  <sheetViews>
    <sheetView zoomScale="90" zoomScaleNormal="90" workbookViewId="0"/>
  </sheetViews>
  <sheetFormatPr defaultColWidth="10.88671875" defaultRowHeight="11.4"/>
  <cols>
    <col min="1" max="1" width="17.33203125" style="518" customWidth="1"/>
    <col min="2" max="2" width="18" style="538" bestFit="1" customWidth="1"/>
    <col min="3" max="3" width="0.88671875" style="518" customWidth="1"/>
    <col min="4" max="4" width="17.33203125" style="538" bestFit="1" customWidth="1"/>
    <col min="5" max="5" width="1.5546875" style="518" customWidth="1"/>
    <col min="6" max="6" width="14.44140625" style="538" customWidth="1"/>
    <col min="7" max="7" width="0.88671875" style="518" customWidth="1"/>
    <col min="8" max="8" width="12" style="538" customWidth="1"/>
    <col min="9" max="9" width="1.5546875" style="518" customWidth="1"/>
    <col min="10" max="10" width="13.44140625" style="538" customWidth="1"/>
    <col min="11" max="11" width="0.88671875" style="518" customWidth="1"/>
    <col min="12" max="12" width="11" style="538" customWidth="1"/>
    <col min="13" max="13" width="1.5546875" style="518" customWidth="1"/>
    <col min="14" max="14" width="14.44140625" style="538" customWidth="1"/>
    <col min="15" max="15" width="0.88671875" style="518" customWidth="1"/>
    <col min="16" max="16" width="12" style="538" customWidth="1"/>
    <col min="17" max="18" width="7.109375" style="581" customWidth="1"/>
    <col min="19" max="22" width="7.88671875" style="581" bestFit="1" customWidth="1"/>
    <col min="23" max="24" width="7.109375" style="581" customWidth="1"/>
    <col min="25" max="16384" width="10.88671875" style="518"/>
  </cols>
  <sheetData>
    <row r="1" spans="1:24" s="568" customFormat="1" ht="13.8">
      <c r="A1" s="600" t="s">
        <v>996</v>
      </c>
      <c r="B1" s="601"/>
      <c r="D1" s="601"/>
      <c r="F1" s="601"/>
      <c r="H1" s="601"/>
      <c r="J1" s="601"/>
      <c r="L1" s="601"/>
      <c r="N1" s="601"/>
      <c r="P1" s="601"/>
      <c r="Q1" s="577"/>
      <c r="R1" s="577"/>
      <c r="S1" s="577"/>
      <c r="T1" s="577"/>
      <c r="U1" s="577"/>
      <c r="V1" s="577"/>
      <c r="W1" s="577"/>
      <c r="X1" s="577"/>
    </row>
    <row r="2" spans="1:24" s="568" customFormat="1" ht="13.2">
      <c r="A2" s="602" t="s">
        <v>965</v>
      </c>
      <c r="B2" s="603"/>
      <c r="C2" s="603"/>
      <c r="D2" s="603"/>
      <c r="E2" s="603"/>
      <c r="F2" s="603"/>
      <c r="G2" s="603"/>
      <c r="H2" s="603"/>
      <c r="I2" s="603"/>
      <c r="J2" s="603"/>
      <c r="K2" s="603"/>
      <c r="L2" s="603"/>
      <c r="M2" s="603"/>
      <c r="N2" s="603"/>
      <c r="O2" s="603"/>
      <c r="P2" s="603"/>
      <c r="Q2" s="604"/>
      <c r="R2" s="604"/>
      <c r="S2" s="604"/>
      <c r="T2" s="604"/>
      <c r="U2" s="604"/>
      <c r="V2" s="604"/>
      <c r="W2" s="604"/>
      <c r="X2" s="604"/>
    </row>
    <row r="3" spans="1:24" ht="13.2">
      <c r="A3" s="940" t="s">
        <v>1105</v>
      </c>
      <c r="B3" s="523"/>
      <c r="C3" s="523"/>
      <c r="D3" s="523"/>
      <c r="E3" s="523"/>
      <c r="F3" s="523"/>
      <c r="G3" s="523"/>
      <c r="H3" s="523"/>
      <c r="I3" s="523"/>
      <c r="J3" s="523"/>
      <c r="K3" s="523"/>
      <c r="L3" s="523"/>
      <c r="M3" s="523"/>
      <c r="N3" s="523"/>
      <c r="O3" s="523"/>
      <c r="P3" s="523"/>
      <c r="Q3" s="605"/>
      <c r="R3" s="605"/>
      <c r="S3" s="605"/>
      <c r="T3" s="605"/>
      <c r="U3" s="605"/>
      <c r="V3" s="605"/>
      <c r="W3" s="605"/>
      <c r="X3" s="605"/>
    </row>
    <row r="4" spans="1:24" ht="11.25" customHeight="1" thickBot="1">
      <c r="A4" s="524"/>
      <c r="B4" s="524"/>
      <c r="C4" s="524"/>
      <c r="D4" s="524"/>
      <c r="E4" s="524"/>
      <c r="F4" s="524"/>
      <c r="G4" s="524"/>
      <c r="H4" s="524"/>
      <c r="I4" s="524"/>
      <c r="J4" s="524"/>
      <c r="K4" s="524"/>
      <c r="L4" s="524"/>
      <c r="M4" s="524"/>
      <c r="N4" s="524"/>
      <c r="O4" s="524"/>
      <c r="P4" s="524"/>
      <c r="Q4" s="605"/>
      <c r="R4" s="605"/>
      <c r="S4" s="605"/>
      <c r="T4" s="605"/>
      <c r="U4" s="605"/>
      <c r="V4" s="605"/>
      <c r="W4" s="605"/>
      <c r="X4" s="605"/>
    </row>
    <row r="5" spans="1:24" ht="14.25" customHeight="1">
      <c r="A5" s="568"/>
      <c r="B5" s="1157" t="s">
        <v>966</v>
      </c>
      <c r="C5" s="1157"/>
      <c r="D5" s="1157"/>
      <c r="E5" s="568"/>
      <c r="F5" s="1157" t="s">
        <v>967</v>
      </c>
      <c r="G5" s="1157"/>
      <c r="H5" s="1157"/>
      <c r="I5" s="568"/>
      <c r="J5" s="1157" t="s">
        <v>968</v>
      </c>
      <c r="K5" s="1157"/>
      <c r="L5" s="1157"/>
      <c r="M5" s="568"/>
      <c r="N5" s="1157" t="s">
        <v>969</v>
      </c>
      <c r="O5" s="1157"/>
      <c r="P5" s="1157"/>
      <c r="Q5" s="606"/>
      <c r="R5" s="606"/>
      <c r="S5" s="606"/>
      <c r="T5" s="606"/>
      <c r="U5" s="606"/>
      <c r="V5" s="606"/>
      <c r="W5" s="606"/>
      <c r="X5" s="606"/>
    </row>
    <row r="6" spans="1:24" ht="12" customHeight="1">
      <c r="A6" s="607" t="s">
        <v>33</v>
      </c>
      <c r="B6" s="608" t="s">
        <v>970</v>
      </c>
      <c r="C6" s="607"/>
      <c r="D6" s="608" t="s">
        <v>971</v>
      </c>
      <c r="E6" s="525"/>
      <c r="F6" s="608" t="s">
        <v>970</v>
      </c>
      <c r="G6" s="525"/>
      <c r="H6" s="608" t="s">
        <v>971</v>
      </c>
      <c r="I6" s="525"/>
      <c r="J6" s="608" t="s">
        <v>970</v>
      </c>
      <c r="K6" s="525"/>
      <c r="L6" s="608" t="s">
        <v>971</v>
      </c>
      <c r="M6" s="525"/>
      <c r="N6" s="608" t="s">
        <v>970</v>
      </c>
      <c r="O6" s="525"/>
      <c r="P6" s="608" t="s">
        <v>971</v>
      </c>
      <c r="Q6" s="609"/>
      <c r="R6" s="609"/>
      <c r="S6" s="609"/>
      <c r="T6" s="609"/>
      <c r="U6" s="609"/>
      <c r="V6" s="609"/>
      <c r="W6" s="609"/>
      <c r="X6" s="609"/>
    </row>
    <row r="7" spans="1:24" ht="8.25" customHeight="1"/>
    <row r="8" spans="1:24" ht="12" customHeight="1">
      <c r="A8" s="518" t="s">
        <v>520</v>
      </c>
      <c r="B8" s="610">
        <v>350786953</v>
      </c>
      <c r="C8" s="611"/>
      <c r="D8" s="610">
        <v>11741690.08</v>
      </c>
      <c r="E8" s="611"/>
      <c r="F8" s="610">
        <v>19253401</v>
      </c>
      <c r="G8" s="611"/>
      <c r="H8" s="610">
        <v>716227</v>
      </c>
      <c r="I8" s="611"/>
      <c r="J8" s="610">
        <v>0</v>
      </c>
      <c r="K8" s="611"/>
      <c r="L8" s="610">
        <v>0</v>
      </c>
      <c r="M8" s="611"/>
      <c r="N8" s="610">
        <v>318237893</v>
      </c>
      <c r="O8" s="611"/>
      <c r="P8" s="612">
        <v>1753204.08</v>
      </c>
      <c r="Q8" s="613"/>
      <c r="R8" s="613"/>
      <c r="S8" s="613"/>
      <c r="T8" s="613"/>
      <c r="U8" s="613"/>
      <c r="V8" s="613"/>
      <c r="W8" s="613"/>
      <c r="X8" s="613"/>
    </row>
    <row r="9" spans="1:24" ht="12" customHeight="1">
      <c r="A9" s="518" t="s">
        <v>101</v>
      </c>
      <c r="B9" s="614">
        <v>918676206.73584008</v>
      </c>
      <c r="C9" s="615"/>
      <c r="D9" s="614">
        <v>38981310.140000001</v>
      </c>
      <c r="E9" s="615"/>
      <c r="F9" s="614">
        <v>14635019.859813083</v>
      </c>
      <c r="G9" s="615"/>
      <c r="H9" s="614">
        <v>626378.85</v>
      </c>
      <c r="I9" s="615"/>
      <c r="J9" s="614">
        <v>0</v>
      </c>
      <c r="K9" s="615"/>
      <c r="L9" s="614">
        <v>0</v>
      </c>
      <c r="M9" s="615"/>
      <c r="N9" s="614">
        <v>316665354.43986559</v>
      </c>
      <c r="O9" s="615"/>
      <c r="P9" s="616">
        <v>2419146.3199999998</v>
      </c>
      <c r="Q9" s="613"/>
      <c r="R9" s="613"/>
      <c r="S9" s="613"/>
      <c r="T9" s="613"/>
      <c r="U9" s="613"/>
      <c r="V9" s="613"/>
      <c r="W9" s="613"/>
      <c r="X9" s="613"/>
    </row>
    <row r="10" spans="1:24" ht="12" customHeight="1">
      <c r="A10" s="518" t="s">
        <v>103</v>
      </c>
      <c r="B10" s="614">
        <v>64524996</v>
      </c>
      <c r="C10" s="615"/>
      <c r="D10" s="614">
        <v>3612151</v>
      </c>
      <c r="E10" s="615"/>
      <c r="F10" s="614">
        <v>122088331</v>
      </c>
      <c r="G10" s="615"/>
      <c r="H10" s="614">
        <v>7264256</v>
      </c>
      <c r="I10" s="615"/>
      <c r="J10" s="614">
        <v>0</v>
      </c>
      <c r="K10" s="615"/>
      <c r="L10" s="614">
        <v>0</v>
      </c>
      <c r="M10" s="615"/>
      <c r="N10" s="614">
        <v>111612064</v>
      </c>
      <c r="O10" s="615"/>
      <c r="P10" s="616">
        <v>752125</v>
      </c>
      <c r="Q10" s="613"/>
      <c r="R10" s="613"/>
      <c r="S10" s="613"/>
      <c r="T10" s="613"/>
      <c r="U10" s="613"/>
      <c r="V10" s="613"/>
      <c r="W10" s="613"/>
      <c r="X10" s="613"/>
    </row>
    <row r="11" spans="1:24" ht="12" customHeight="1">
      <c r="A11" s="518" t="s">
        <v>105</v>
      </c>
      <c r="B11" s="614">
        <v>78769545</v>
      </c>
      <c r="C11" s="615"/>
      <c r="D11" s="614">
        <v>3060918.9899999998</v>
      </c>
      <c r="E11" s="615"/>
      <c r="F11" s="614">
        <v>3022375</v>
      </c>
      <c r="G11" s="615"/>
      <c r="H11" s="614">
        <v>30223.75</v>
      </c>
      <c r="I11" s="615"/>
      <c r="J11" s="614">
        <v>0</v>
      </c>
      <c r="K11" s="615"/>
      <c r="L11" s="614">
        <v>0</v>
      </c>
      <c r="M11" s="615"/>
      <c r="N11" s="614">
        <v>41836945</v>
      </c>
      <c r="O11" s="615"/>
      <c r="P11" s="616">
        <v>201545.24</v>
      </c>
      <c r="Q11" s="613"/>
      <c r="R11" s="613"/>
      <c r="S11" s="613"/>
      <c r="T11" s="613"/>
      <c r="U11" s="613"/>
      <c r="V11" s="613"/>
      <c r="W11" s="613"/>
      <c r="X11" s="613"/>
    </row>
    <row r="12" spans="1:24" ht="12" customHeight="1">
      <c r="A12" s="518" t="s">
        <v>107</v>
      </c>
      <c r="B12" s="614">
        <v>235056401</v>
      </c>
      <c r="C12" s="615"/>
      <c r="D12" s="614">
        <v>7296090.1299999999</v>
      </c>
      <c r="E12" s="615"/>
      <c r="F12" s="614">
        <v>88407275</v>
      </c>
      <c r="G12" s="615"/>
      <c r="H12" s="614">
        <v>1768145.5</v>
      </c>
      <c r="I12" s="615"/>
      <c r="J12" s="614">
        <v>6943910</v>
      </c>
      <c r="K12" s="615"/>
      <c r="L12" s="614">
        <v>274284.45</v>
      </c>
      <c r="M12" s="615"/>
      <c r="N12" s="614">
        <v>107140300</v>
      </c>
      <c r="O12" s="615"/>
      <c r="P12" s="616">
        <v>558980.85000000009</v>
      </c>
      <c r="Q12" s="613"/>
      <c r="R12" s="613"/>
      <c r="S12" s="613"/>
      <c r="T12" s="613"/>
      <c r="U12" s="613"/>
      <c r="V12" s="613"/>
      <c r="W12" s="613"/>
      <c r="X12" s="613"/>
    </row>
    <row r="13" spans="1:24" ht="8.25" customHeight="1">
      <c r="B13" s="614"/>
      <c r="C13" s="615"/>
      <c r="D13" s="614"/>
      <c r="E13" s="615"/>
      <c r="F13" s="614"/>
      <c r="G13" s="615"/>
      <c r="H13" s="614"/>
      <c r="I13" s="615"/>
      <c r="J13" s="614"/>
      <c r="K13" s="615"/>
      <c r="L13" s="614"/>
      <c r="M13" s="615"/>
      <c r="N13" s="614"/>
      <c r="O13" s="615"/>
      <c r="P13" s="616"/>
      <c r="Q13" s="613"/>
      <c r="R13" s="613"/>
      <c r="S13" s="613"/>
      <c r="T13" s="613"/>
      <c r="U13" s="613"/>
      <c r="V13" s="613"/>
      <c r="W13" s="613"/>
      <c r="X13" s="613"/>
    </row>
    <row r="14" spans="1:24" ht="12" customHeight="1">
      <c r="A14" s="518" t="s">
        <v>109</v>
      </c>
      <c r="B14" s="614">
        <v>86387121</v>
      </c>
      <c r="C14" s="615"/>
      <c r="D14" s="614">
        <v>3613638.27</v>
      </c>
      <c r="E14" s="615"/>
      <c r="F14" s="614">
        <v>933944</v>
      </c>
      <c r="G14" s="615"/>
      <c r="H14" s="614">
        <v>42961.440000000002</v>
      </c>
      <c r="I14" s="615"/>
      <c r="J14" s="614">
        <v>13440191</v>
      </c>
      <c r="K14" s="615"/>
      <c r="L14" s="614">
        <v>134401.91</v>
      </c>
      <c r="M14" s="615"/>
      <c r="N14" s="614">
        <v>90382341</v>
      </c>
      <c r="O14" s="615"/>
      <c r="P14" s="616">
        <v>543881.99</v>
      </c>
      <c r="Q14" s="613"/>
      <c r="R14" s="613"/>
      <c r="S14" s="613"/>
      <c r="T14" s="613"/>
      <c r="U14" s="613"/>
      <c r="V14" s="613"/>
      <c r="W14" s="613"/>
      <c r="X14" s="613"/>
    </row>
    <row r="15" spans="1:24" ht="12" customHeight="1">
      <c r="A15" s="518" t="s">
        <v>111</v>
      </c>
      <c r="B15" s="614">
        <v>2085419239</v>
      </c>
      <c r="C15" s="615"/>
      <c r="D15" s="614">
        <v>104270961.95</v>
      </c>
      <c r="E15" s="615"/>
      <c r="F15" s="614">
        <v>3561773</v>
      </c>
      <c r="G15" s="615"/>
      <c r="H15" s="614">
        <v>178088.65</v>
      </c>
      <c r="I15" s="615"/>
      <c r="J15" s="614">
        <v>0</v>
      </c>
      <c r="K15" s="615"/>
      <c r="L15" s="614">
        <v>0</v>
      </c>
      <c r="M15" s="615"/>
      <c r="N15" s="614">
        <v>758832348</v>
      </c>
      <c r="O15" s="615"/>
      <c r="P15" s="616">
        <v>7554545.1675089998</v>
      </c>
      <c r="Q15" s="613"/>
      <c r="R15" s="613"/>
      <c r="S15" s="613"/>
      <c r="T15" s="613"/>
      <c r="U15" s="613"/>
      <c r="V15" s="613"/>
      <c r="W15" s="613"/>
      <c r="X15" s="613"/>
    </row>
    <row r="16" spans="1:24" ht="12" customHeight="1">
      <c r="A16" s="518" t="s">
        <v>113</v>
      </c>
      <c r="B16" s="614">
        <v>610670920</v>
      </c>
      <c r="C16" s="615"/>
      <c r="D16" s="614">
        <v>13708251.279999999</v>
      </c>
      <c r="E16" s="615"/>
      <c r="F16" s="614">
        <v>169345780</v>
      </c>
      <c r="G16" s="615"/>
      <c r="H16" s="614">
        <v>3217569.82</v>
      </c>
      <c r="I16" s="615"/>
      <c r="J16" s="614">
        <v>0</v>
      </c>
      <c r="K16" s="615"/>
      <c r="L16" s="614">
        <v>0</v>
      </c>
      <c r="M16" s="615"/>
      <c r="N16" s="614">
        <v>298749080</v>
      </c>
      <c r="O16" s="615"/>
      <c r="P16" s="616">
        <v>1452486.85</v>
      </c>
      <c r="Q16" s="613"/>
      <c r="R16" s="613"/>
      <c r="S16" s="613"/>
      <c r="T16" s="613"/>
      <c r="U16" s="613"/>
      <c r="V16" s="613"/>
      <c r="W16" s="613"/>
      <c r="X16" s="613"/>
    </row>
    <row r="17" spans="1:24" ht="12" customHeight="1">
      <c r="A17" s="518" t="s">
        <v>115</v>
      </c>
      <c r="B17" s="614">
        <v>57923200</v>
      </c>
      <c r="C17" s="615"/>
      <c r="D17" s="614">
        <v>204494</v>
      </c>
      <c r="E17" s="615"/>
      <c r="F17" s="614">
        <v>81300</v>
      </c>
      <c r="G17" s="615"/>
      <c r="H17" s="614">
        <v>284.55</v>
      </c>
      <c r="I17" s="615"/>
      <c r="J17" s="614">
        <v>0</v>
      </c>
      <c r="K17" s="615"/>
      <c r="L17" s="614">
        <v>0</v>
      </c>
      <c r="M17" s="615"/>
      <c r="N17" s="614">
        <v>1494282594</v>
      </c>
      <c r="O17" s="615"/>
      <c r="P17" s="616">
        <v>7171134.0700000003</v>
      </c>
      <c r="Q17" s="613"/>
      <c r="R17" s="613"/>
      <c r="S17" s="613"/>
      <c r="T17" s="613"/>
      <c r="U17" s="613"/>
      <c r="V17" s="613"/>
      <c r="W17" s="613"/>
      <c r="X17" s="613"/>
    </row>
    <row r="18" spans="1:24" ht="12" customHeight="1">
      <c r="A18" s="518" t="s">
        <v>117</v>
      </c>
      <c r="B18" s="614">
        <v>778690168</v>
      </c>
      <c r="C18" s="615"/>
      <c r="D18" s="614">
        <v>17078317</v>
      </c>
      <c r="E18" s="615"/>
      <c r="F18" s="614">
        <v>206916572</v>
      </c>
      <c r="G18" s="615"/>
      <c r="H18" s="614">
        <v>2482999</v>
      </c>
      <c r="I18" s="615"/>
      <c r="J18" s="614">
        <v>0</v>
      </c>
      <c r="K18" s="615"/>
      <c r="L18" s="614">
        <v>0</v>
      </c>
      <c r="M18" s="615"/>
      <c r="N18" s="614">
        <v>259179258</v>
      </c>
      <c r="O18" s="615"/>
      <c r="P18" s="616">
        <v>1298318.3999999999</v>
      </c>
      <c r="Q18" s="613"/>
      <c r="R18" s="613"/>
      <c r="S18" s="613"/>
      <c r="T18" s="613"/>
      <c r="U18" s="613"/>
      <c r="V18" s="613"/>
      <c r="W18" s="613"/>
      <c r="X18" s="613"/>
    </row>
    <row r="19" spans="1:24" ht="8.25" customHeight="1">
      <c r="B19" s="614"/>
      <c r="C19" s="617"/>
      <c r="D19" s="614"/>
      <c r="E19" s="617"/>
      <c r="F19" s="614"/>
      <c r="G19" s="617"/>
      <c r="H19" s="614"/>
      <c r="I19" s="617"/>
      <c r="J19" s="614"/>
      <c r="K19" s="617"/>
      <c r="L19" s="614"/>
      <c r="M19" s="617"/>
      <c r="N19" s="614"/>
      <c r="O19" s="617"/>
      <c r="P19" s="616"/>
      <c r="Q19" s="613"/>
      <c r="R19" s="613"/>
      <c r="S19" s="613"/>
      <c r="T19" s="613"/>
      <c r="U19" s="613"/>
      <c r="V19" s="613"/>
      <c r="W19" s="613"/>
      <c r="X19" s="613"/>
    </row>
    <row r="20" spans="1:24" ht="12" customHeight="1">
      <c r="A20" s="518" t="s">
        <v>119</v>
      </c>
      <c r="B20" s="614">
        <v>61121853</v>
      </c>
      <c r="C20" s="615"/>
      <c r="D20" s="614">
        <v>1311012.8500000001</v>
      </c>
      <c r="E20" s="615"/>
      <c r="F20" s="614">
        <v>18354317</v>
      </c>
      <c r="G20" s="615"/>
      <c r="H20" s="614">
        <v>163353.44</v>
      </c>
      <c r="I20" s="615"/>
      <c r="J20" s="614">
        <v>14460538</v>
      </c>
      <c r="K20" s="615"/>
      <c r="L20" s="614">
        <v>105561.95</v>
      </c>
      <c r="M20" s="615"/>
      <c r="N20" s="614">
        <v>66422045</v>
      </c>
      <c r="O20" s="615"/>
      <c r="P20" s="616">
        <v>365426.25</v>
      </c>
      <c r="Q20" s="613"/>
      <c r="R20" s="613"/>
      <c r="S20" s="613"/>
      <c r="T20" s="613"/>
      <c r="U20" s="613"/>
      <c r="V20" s="613"/>
      <c r="W20" s="613"/>
      <c r="X20" s="613"/>
    </row>
    <row r="21" spans="1:24" ht="12" customHeight="1">
      <c r="A21" s="518" t="s">
        <v>121</v>
      </c>
      <c r="B21" s="614">
        <v>318908191</v>
      </c>
      <c r="C21" s="615"/>
      <c r="D21" s="614">
        <v>8254537</v>
      </c>
      <c r="E21" s="615"/>
      <c r="F21" s="614">
        <v>182418399</v>
      </c>
      <c r="G21" s="615"/>
      <c r="H21" s="614">
        <v>3283531</v>
      </c>
      <c r="I21" s="615"/>
      <c r="J21" s="614">
        <v>0</v>
      </c>
      <c r="K21" s="615"/>
      <c r="L21" s="614">
        <v>0</v>
      </c>
      <c r="M21" s="615"/>
      <c r="N21" s="614">
        <v>208049842</v>
      </c>
      <c r="O21" s="615"/>
      <c r="P21" s="616">
        <v>1505526</v>
      </c>
      <c r="Q21" s="613"/>
      <c r="R21" s="613"/>
      <c r="S21" s="613"/>
      <c r="T21" s="613"/>
      <c r="U21" s="613"/>
      <c r="V21" s="613"/>
      <c r="W21" s="613"/>
      <c r="X21" s="613"/>
    </row>
    <row r="22" spans="1:24" ht="12" customHeight="1">
      <c r="A22" s="518" t="s">
        <v>123</v>
      </c>
      <c r="B22" s="614">
        <v>107863920</v>
      </c>
      <c r="C22" s="615"/>
      <c r="D22" s="614">
        <v>3611855</v>
      </c>
      <c r="E22" s="615"/>
      <c r="F22" s="614">
        <v>14557930</v>
      </c>
      <c r="G22" s="615"/>
      <c r="H22" s="614">
        <v>494970</v>
      </c>
      <c r="I22" s="615"/>
      <c r="J22" s="614">
        <v>14334730</v>
      </c>
      <c r="K22" s="615"/>
      <c r="L22" s="614">
        <v>172017</v>
      </c>
      <c r="M22" s="615"/>
      <c r="N22" s="614">
        <v>61081903</v>
      </c>
      <c r="O22" s="615"/>
      <c r="P22" s="616">
        <v>287568</v>
      </c>
      <c r="Q22" s="613"/>
      <c r="R22" s="613"/>
      <c r="S22" s="613"/>
      <c r="T22" s="613"/>
      <c r="U22" s="613"/>
      <c r="V22" s="613"/>
      <c r="W22" s="613"/>
      <c r="X22" s="613"/>
    </row>
    <row r="23" spans="1:24" ht="12" customHeight="1">
      <c r="A23" s="518" t="s">
        <v>125</v>
      </c>
      <c r="B23" s="614">
        <v>253838372</v>
      </c>
      <c r="C23" s="615"/>
      <c r="D23" s="614">
        <v>4592679.91</v>
      </c>
      <c r="E23" s="615"/>
      <c r="F23" s="614">
        <v>319664233</v>
      </c>
      <c r="G23" s="615"/>
      <c r="H23" s="614">
        <v>6233452.6700000009</v>
      </c>
      <c r="I23" s="615"/>
      <c r="J23" s="614">
        <v>4756721</v>
      </c>
      <c r="K23" s="615"/>
      <c r="L23" s="614">
        <v>95134.42</v>
      </c>
      <c r="M23" s="615"/>
      <c r="N23" s="614">
        <v>105027304</v>
      </c>
      <c r="O23" s="615"/>
      <c r="P23" s="616">
        <v>452210.36</v>
      </c>
      <c r="Q23" s="613"/>
      <c r="R23" s="613"/>
      <c r="S23" s="613"/>
      <c r="T23" s="613"/>
      <c r="U23" s="613"/>
      <c r="V23" s="613"/>
      <c r="W23" s="613"/>
      <c r="X23" s="613"/>
    </row>
    <row r="24" spans="1:24" ht="12" customHeight="1">
      <c r="A24" s="518" t="s">
        <v>127</v>
      </c>
      <c r="B24" s="614">
        <v>107724800</v>
      </c>
      <c r="C24" s="615"/>
      <c r="D24" s="614">
        <v>3749693.43</v>
      </c>
      <c r="E24" s="615"/>
      <c r="F24" s="614">
        <v>8184860</v>
      </c>
      <c r="G24" s="615"/>
      <c r="H24" s="614">
        <v>237360.94</v>
      </c>
      <c r="I24" s="615"/>
      <c r="J24" s="614">
        <v>17701611</v>
      </c>
      <c r="K24" s="615"/>
      <c r="L24" s="614">
        <v>177016.11</v>
      </c>
      <c r="M24" s="615"/>
      <c r="N24" s="614">
        <v>647876531</v>
      </c>
      <c r="O24" s="615"/>
      <c r="P24" s="616">
        <v>2850656.76</v>
      </c>
      <c r="Q24" s="613"/>
      <c r="R24" s="613"/>
      <c r="S24" s="613"/>
      <c r="T24" s="613"/>
      <c r="U24" s="613"/>
      <c r="V24" s="613"/>
      <c r="W24" s="613"/>
      <c r="X24" s="613"/>
    </row>
    <row r="25" spans="1:24" ht="8.25" customHeight="1">
      <c r="B25" s="614"/>
      <c r="C25" s="615"/>
      <c r="D25" s="614"/>
      <c r="E25" s="615"/>
      <c r="F25" s="614"/>
      <c r="G25" s="615"/>
      <c r="H25" s="614"/>
      <c r="I25" s="615"/>
      <c r="J25" s="614"/>
      <c r="K25" s="615"/>
      <c r="L25" s="614"/>
      <c r="M25" s="615"/>
      <c r="N25" s="614"/>
      <c r="O25" s="615"/>
      <c r="P25" s="616"/>
      <c r="Q25" s="613"/>
      <c r="R25" s="613"/>
      <c r="S25" s="613"/>
      <c r="T25" s="613"/>
      <c r="U25" s="613"/>
      <c r="V25" s="613"/>
      <c r="W25" s="613"/>
      <c r="X25" s="613"/>
    </row>
    <row r="26" spans="1:24" ht="12" customHeight="1">
      <c r="A26" s="518" t="s">
        <v>129</v>
      </c>
      <c r="B26" s="614">
        <v>362329261</v>
      </c>
      <c r="C26" s="615"/>
      <c r="D26" s="614">
        <v>14514477.229999999</v>
      </c>
      <c r="E26" s="615"/>
      <c r="F26" s="614">
        <v>162685289</v>
      </c>
      <c r="G26" s="615"/>
      <c r="H26" s="614">
        <v>5287271.99</v>
      </c>
      <c r="I26" s="615"/>
      <c r="J26" s="614">
        <v>0</v>
      </c>
      <c r="K26" s="615"/>
      <c r="L26" s="614">
        <v>0</v>
      </c>
      <c r="M26" s="615"/>
      <c r="N26" s="614">
        <v>233962523</v>
      </c>
      <c r="O26" s="615"/>
      <c r="P26" s="616">
        <v>142664.29</v>
      </c>
      <c r="Q26" s="613"/>
      <c r="R26" s="613"/>
      <c r="S26" s="613"/>
      <c r="T26" s="613"/>
      <c r="U26" s="613"/>
      <c r="V26" s="613"/>
      <c r="W26" s="613"/>
      <c r="X26" s="613"/>
    </row>
    <row r="27" spans="1:24" ht="12" customHeight="1">
      <c r="A27" s="518" t="s">
        <v>131</v>
      </c>
      <c r="B27" s="614">
        <v>311645403</v>
      </c>
      <c r="C27" s="615"/>
      <c r="D27" s="614">
        <v>10752915.209999999</v>
      </c>
      <c r="E27" s="615"/>
      <c r="F27" s="614">
        <v>12365780</v>
      </c>
      <c r="G27" s="615"/>
      <c r="H27" s="614">
        <v>432802.3</v>
      </c>
      <c r="I27" s="615"/>
      <c r="J27" s="614">
        <v>0</v>
      </c>
      <c r="K27" s="615"/>
      <c r="L27" s="614">
        <v>0</v>
      </c>
      <c r="M27" s="615"/>
      <c r="N27" s="614">
        <v>437185858</v>
      </c>
      <c r="O27" s="615"/>
      <c r="P27" s="616">
        <v>3222374.9299999997</v>
      </c>
      <c r="Q27" s="613"/>
      <c r="R27" s="613"/>
      <c r="S27" s="613"/>
      <c r="T27" s="613"/>
      <c r="U27" s="613"/>
      <c r="V27" s="613"/>
      <c r="W27" s="613"/>
      <c r="X27" s="613"/>
    </row>
    <row r="28" spans="1:24" ht="12" customHeight="1">
      <c r="A28" s="518" t="s">
        <v>133</v>
      </c>
      <c r="B28" s="614">
        <v>263930845</v>
      </c>
      <c r="C28" s="615"/>
      <c r="D28" s="614">
        <v>3926900.9299999997</v>
      </c>
      <c r="E28" s="615"/>
      <c r="F28" s="614">
        <v>55680165</v>
      </c>
      <c r="G28" s="615"/>
      <c r="H28" s="614">
        <v>723842.54</v>
      </c>
      <c r="I28" s="615"/>
      <c r="J28" s="614">
        <v>9089115</v>
      </c>
      <c r="K28" s="615"/>
      <c r="L28" s="614">
        <v>209050.29</v>
      </c>
      <c r="M28" s="615"/>
      <c r="N28" s="614">
        <v>107747737</v>
      </c>
      <c r="O28" s="615"/>
      <c r="P28" s="616">
        <v>643682.81000000006</v>
      </c>
      <c r="Q28" s="613"/>
      <c r="R28" s="613"/>
      <c r="S28" s="613"/>
      <c r="T28" s="613"/>
      <c r="U28" s="613"/>
      <c r="V28" s="613"/>
      <c r="W28" s="613"/>
      <c r="X28" s="613"/>
    </row>
    <row r="29" spans="1:24" ht="12" customHeight="1">
      <c r="A29" s="518" t="s">
        <v>135</v>
      </c>
      <c r="B29" s="614">
        <v>63852140</v>
      </c>
      <c r="C29" s="615"/>
      <c r="D29" s="614">
        <v>2186011.0699999998</v>
      </c>
      <c r="E29" s="615"/>
      <c r="F29" s="614">
        <v>6498282</v>
      </c>
      <c r="G29" s="615"/>
      <c r="H29" s="614">
        <v>162457.15</v>
      </c>
      <c r="I29" s="615"/>
      <c r="J29" s="614">
        <v>1109586</v>
      </c>
      <c r="K29" s="615"/>
      <c r="L29" s="614">
        <v>31068.41</v>
      </c>
      <c r="M29" s="615"/>
      <c r="N29" s="614">
        <v>66079189</v>
      </c>
      <c r="O29" s="615"/>
      <c r="P29" s="616">
        <v>462554.33</v>
      </c>
      <c r="Q29" s="613"/>
      <c r="R29" s="613"/>
      <c r="S29" s="613"/>
      <c r="T29" s="613"/>
      <c r="U29" s="613"/>
      <c r="V29" s="613"/>
      <c r="W29" s="613"/>
      <c r="X29" s="613"/>
    </row>
    <row r="30" spans="1:24" ht="12" customHeight="1">
      <c r="A30" s="518" t="s">
        <v>137</v>
      </c>
      <c r="B30" s="614">
        <v>95231203</v>
      </c>
      <c r="C30" s="615"/>
      <c r="D30" s="614">
        <v>2676926.5700000003</v>
      </c>
      <c r="E30" s="615"/>
      <c r="F30" s="614">
        <v>5718422</v>
      </c>
      <c r="G30" s="615"/>
      <c r="H30" s="614">
        <v>171552.66</v>
      </c>
      <c r="I30" s="615"/>
      <c r="J30" s="614">
        <v>840868</v>
      </c>
      <c r="K30" s="615"/>
      <c r="L30" s="614">
        <v>26907.78</v>
      </c>
      <c r="M30" s="615"/>
      <c r="N30" s="614">
        <v>71255523</v>
      </c>
      <c r="O30" s="615"/>
      <c r="P30" s="616">
        <v>299273.2</v>
      </c>
      <c r="Q30" s="613"/>
      <c r="R30" s="613"/>
      <c r="S30" s="613"/>
      <c r="T30" s="613"/>
      <c r="U30" s="613"/>
      <c r="V30" s="613"/>
      <c r="W30" s="613"/>
      <c r="X30" s="613"/>
    </row>
    <row r="31" spans="1:24" ht="8.25" customHeight="1">
      <c r="B31" s="614"/>
      <c r="C31" s="617"/>
      <c r="D31" s="614"/>
      <c r="E31" s="617"/>
      <c r="F31" s="614"/>
      <c r="G31" s="617"/>
      <c r="H31" s="614"/>
      <c r="I31" s="617"/>
      <c r="J31" s="614"/>
      <c r="K31" s="617"/>
      <c r="L31" s="614"/>
      <c r="M31" s="617"/>
      <c r="N31" s="614"/>
      <c r="O31" s="617"/>
      <c r="P31" s="616"/>
      <c r="Q31" s="613"/>
      <c r="R31" s="613"/>
      <c r="S31" s="613"/>
      <c r="T31" s="613"/>
      <c r="U31" s="613"/>
      <c r="V31" s="613"/>
      <c r="W31" s="613"/>
      <c r="X31" s="613"/>
    </row>
    <row r="32" spans="1:24" s="529" customFormat="1" ht="12" customHeight="1">
      <c r="A32" s="529" t="s">
        <v>139</v>
      </c>
      <c r="B32" s="618">
        <v>2611090540</v>
      </c>
      <c r="C32" s="619"/>
      <c r="D32" s="618">
        <v>90011345.900000006</v>
      </c>
      <c r="E32" s="619"/>
      <c r="F32" s="618">
        <v>147879760</v>
      </c>
      <c r="G32" s="619"/>
      <c r="H32" s="618">
        <v>1479432.5</v>
      </c>
      <c r="I32" s="619"/>
      <c r="J32" s="618">
        <v>0</v>
      </c>
      <c r="K32" s="619"/>
      <c r="L32" s="618">
        <v>0</v>
      </c>
      <c r="M32" s="619"/>
      <c r="N32" s="618">
        <v>1362778078</v>
      </c>
      <c r="O32" s="619"/>
      <c r="P32" s="620">
        <v>12995825.65</v>
      </c>
      <c r="Q32" s="613"/>
      <c r="R32" s="613"/>
      <c r="S32" s="613"/>
      <c r="T32" s="613"/>
      <c r="U32" s="613"/>
      <c r="V32" s="613"/>
      <c r="W32" s="613"/>
      <c r="X32" s="613"/>
    </row>
    <row r="33" spans="1:24" ht="12" customHeight="1">
      <c r="A33" s="518" t="s">
        <v>141</v>
      </c>
      <c r="B33" s="614">
        <v>129676025</v>
      </c>
      <c r="C33" s="615"/>
      <c r="D33" s="614">
        <v>5652846.5499999998</v>
      </c>
      <c r="E33" s="615"/>
      <c r="F33" s="614">
        <v>15735849</v>
      </c>
      <c r="G33" s="615"/>
      <c r="H33" s="614">
        <v>196598.2</v>
      </c>
      <c r="I33" s="615"/>
      <c r="J33" s="614">
        <v>0</v>
      </c>
      <c r="K33" s="615"/>
      <c r="L33" s="614">
        <v>0</v>
      </c>
      <c r="M33" s="615"/>
      <c r="N33" s="614">
        <v>63758974</v>
      </c>
      <c r="O33" s="615"/>
      <c r="P33" s="616">
        <v>401681.56</v>
      </c>
      <c r="Q33" s="613"/>
      <c r="R33" s="613"/>
      <c r="S33" s="613"/>
      <c r="T33" s="613"/>
      <c r="U33" s="613"/>
      <c r="V33" s="613"/>
      <c r="W33" s="613"/>
      <c r="X33" s="613"/>
    </row>
    <row r="34" spans="1:24" ht="12" customHeight="1">
      <c r="A34" s="518" t="s">
        <v>143</v>
      </c>
      <c r="B34" s="614">
        <v>34332400</v>
      </c>
      <c r="C34" s="615"/>
      <c r="D34" s="614">
        <v>948140</v>
      </c>
      <c r="E34" s="615"/>
      <c r="F34" s="614">
        <v>2310051</v>
      </c>
      <c r="G34" s="615"/>
      <c r="H34" s="614">
        <v>50821.14</v>
      </c>
      <c r="I34" s="615"/>
      <c r="J34" s="614">
        <v>289470</v>
      </c>
      <c r="K34" s="615"/>
      <c r="L34" s="614">
        <v>10131.5</v>
      </c>
      <c r="M34" s="615"/>
      <c r="N34" s="614">
        <v>14034655</v>
      </c>
      <c r="O34" s="615"/>
      <c r="P34" s="616">
        <v>87912.090000000011</v>
      </c>
      <c r="Q34" s="613"/>
      <c r="R34" s="613"/>
      <c r="S34" s="613"/>
      <c r="T34" s="613"/>
      <c r="U34" s="613"/>
      <c r="V34" s="613"/>
      <c r="W34" s="613"/>
      <c r="X34" s="613"/>
    </row>
    <row r="35" spans="1:24" ht="12" customHeight="1">
      <c r="A35" s="518" t="s">
        <v>145</v>
      </c>
      <c r="B35" s="614">
        <v>524430478</v>
      </c>
      <c r="C35" s="615"/>
      <c r="D35" s="614">
        <v>17910531.459999997</v>
      </c>
      <c r="E35" s="615"/>
      <c r="F35" s="614">
        <v>70081594</v>
      </c>
      <c r="G35" s="615"/>
      <c r="H35" s="614">
        <v>1401631.88</v>
      </c>
      <c r="I35" s="615"/>
      <c r="J35" s="614">
        <v>0</v>
      </c>
      <c r="K35" s="615"/>
      <c r="L35" s="614">
        <v>0</v>
      </c>
      <c r="M35" s="615"/>
      <c r="N35" s="614">
        <v>211146356</v>
      </c>
      <c r="O35" s="615"/>
      <c r="P35" s="616">
        <v>1773784.21</v>
      </c>
      <c r="Q35" s="613"/>
      <c r="R35" s="613"/>
      <c r="S35" s="613"/>
      <c r="T35" s="613"/>
      <c r="U35" s="613"/>
      <c r="V35" s="613"/>
      <c r="W35" s="613"/>
      <c r="X35" s="613"/>
    </row>
    <row r="36" spans="1:24" ht="12" customHeight="1">
      <c r="A36" s="518" t="s">
        <v>147</v>
      </c>
      <c r="B36" s="614">
        <v>66300891</v>
      </c>
      <c r="C36" s="615"/>
      <c r="D36" s="614">
        <v>2643471.9299999997</v>
      </c>
      <c r="E36" s="615"/>
      <c r="F36" s="614">
        <v>2125112</v>
      </c>
      <c r="G36" s="615"/>
      <c r="H36" s="614">
        <v>79691.72</v>
      </c>
      <c r="I36" s="615"/>
      <c r="J36" s="614">
        <v>0</v>
      </c>
      <c r="K36" s="615"/>
      <c r="L36" s="614">
        <v>0</v>
      </c>
      <c r="M36" s="615"/>
      <c r="N36" s="614">
        <v>88247200</v>
      </c>
      <c r="O36" s="615"/>
      <c r="P36" s="616">
        <v>608738.96</v>
      </c>
      <c r="Q36" s="613"/>
      <c r="R36" s="613"/>
      <c r="S36" s="613"/>
      <c r="T36" s="613"/>
      <c r="U36" s="613"/>
      <c r="V36" s="613"/>
      <c r="W36" s="613"/>
      <c r="X36" s="613"/>
    </row>
    <row r="37" spans="1:24" ht="8.25" customHeight="1">
      <c r="B37" s="614"/>
      <c r="C37" s="615"/>
      <c r="D37" s="614"/>
      <c r="E37" s="615"/>
      <c r="F37" s="614"/>
      <c r="G37" s="615"/>
      <c r="H37" s="614"/>
      <c r="I37" s="615"/>
      <c r="J37" s="621"/>
      <c r="K37" s="615"/>
      <c r="L37" s="621"/>
      <c r="M37" s="615"/>
      <c r="N37" s="614"/>
      <c r="O37" s="615"/>
      <c r="P37" s="616"/>
      <c r="Q37" s="613"/>
      <c r="R37" s="613"/>
      <c r="S37" s="613"/>
      <c r="T37" s="613"/>
      <c r="U37" s="613"/>
      <c r="V37" s="613"/>
      <c r="W37" s="613"/>
      <c r="X37" s="613"/>
    </row>
    <row r="38" spans="1:24" ht="12" customHeight="1">
      <c r="A38" s="518" t="s">
        <v>149</v>
      </c>
      <c r="B38" s="614">
        <v>150444999</v>
      </c>
      <c r="C38" s="615"/>
      <c r="D38" s="614">
        <v>2311854.1800000002</v>
      </c>
      <c r="E38" s="615"/>
      <c r="F38" s="614">
        <v>100668822</v>
      </c>
      <c r="G38" s="615"/>
      <c r="H38" s="614">
        <v>1701303.09</v>
      </c>
      <c r="I38" s="615"/>
      <c r="J38" s="614">
        <v>728086</v>
      </c>
      <c r="K38" s="615"/>
      <c r="L38" s="614">
        <v>76449.03</v>
      </c>
      <c r="M38" s="615"/>
      <c r="N38" s="614">
        <v>105971246</v>
      </c>
      <c r="O38" s="615"/>
      <c r="P38" s="616">
        <v>564545.06000000006</v>
      </c>
      <c r="Q38" s="613"/>
      <c r="R38" s="613"/>
      <c r="S38" s="613"/>
      <c r="T38" s="613"/>
      <c r="U38" s="613"/>
      <c r="V38" s="613"/>
      <c r="W38" s="613"/>
      <c r="X38" s="613"/>
    </row>
    <row r="39" spans="1:24" ht="12" customHeight="1">
      <c r="A39" s="518" t="s">
        <v>151</v>
      </c>
      <c r="B39" s="614">
        <v>267187214</v>
      </c>
      <c r="C39" s="615"/>
      <c r="D39" s="614">
        <v>11675632.721099999</v>
      </c>
      <c r="E39" s="615"/>
      <c r="F39" s="614">
        <v>17873920</v>
      </c>
      <c r="G39" s="615"/>
      <c r="H39" s="614">
        <v>589839.35999999999</v>
      </c>
      <c r="I39" s="615"/>
      <c r="J39" s="614">
        <v>0</v>
      </c>
      <c r="K39" s="615"/>
      <c r="L39" s="614">
        <v>0</v>
      </c>
      <c r="M39" s="615"/>
      <c r="N39" s="614">
        <v>144374385</v>
      </c>
      <c r="O39" s="615"/>
      <c r="P39" s="616">
        <v>1043016.5114</v>
      </c>
      <c r="Q39" s="613"/>
      <c r="R39" s="613"/>
      <c r="S39" s="613"/>
      <c r="T39" s="613"/>
      <c r="U39" s="613"/>
      <c r="V39" s="613"/>
      <c r="W39" s="613"/>
      <c r="X39" s="613"/>
    </row>
    <row r="40" spans="1:24" ht="12" customHeight="1">
      <c r="A40" s="518" t="s">
        <v>153</v>
      </c>
      <c r="B40" s="614">
        <v>89106202</v>
      </c>
      <c r="C40" s="615"/>
      <c r="D40" s="614">
        <v>2972747.95</v>
      </c>
      <c r="E40" s="615"/>
      <c r="F40" s="614">
        <v>1664900</v>
      </c>
      <c r="G40" s="615"/>
      <c r="H40" s="614">
        <v>58271.519999999997</v>
      </c>
      <c r="I40" s="615"/>
      <c r="J40" s="614">
        <v>2057170</v>
      </c>
      <c r="K40" s="615"/>
      <c r="L40" s="614">
        <v>77144.05</v>
      </c>
      <c r="M40" s="615"/>
      <c r="N40" s="614">
        <v>41051523</v>
      </c>
      <c r="O40" s="615"/>
      <c r="P40" s="616">
        <v>287864.45999999996</v>
      </c>
      <c r="Q40" s="613"/>
      <c r="R40" s="613"/>
      <c r="S40" s="613"/>
      <c r="T40" s="613"/>
      <c r="U40" s="613"/>
      <c r="V40" s="613"/>
      <c r="W40" s="613"/>
      <c r="X40" s="613"/>
    </row>
    <row r="41" spans="1:24" ht="12" customHeight="1">
      <c r="A41" s="518" t="s">
        <v>155</v>
      </c>
      <c r="B41" s="614">
        <v>13481878482</v>
      </c>
      <c r="C41" s="615"/>
      <c r="D41" s="614">
        <v>524840831</v>
      </c>
      <c r="E41" s="615"/>
      <c r="F41" s="614">
        <v>55423066</v>
      </c>
      <c r="G41" s="615"/>
      <c r="H41" s="614">
        <v>2532834</v>
      </c>
      <c r="I41" s="615"/>
      <c r="J41" s="614">
        <v>0</v>
      </c>
      <c r="K41" s="615"/>
      <c r="L41" s="614">
        <v>0</v>
      </c>
      <c r="M41" s="615"/>
      <c r="N41" s="614">
        <v>3392283666</v>
      </c>
      <c r="O41" s="615"/>
      <c r="P41" s="616">
        <v>36804725.579999998</v>
      </c>
      <c r="Q41" s="613"/>
      <c r="R41" s="613"/>
      <c r="S41" s="613"/>
      <c r="T41" s="613"/>
      <c r="U41" s="613"/>
      <c r="V41" s="613"/>
      <c r="W41" s="613"/>
      <c r="X41" s="613"/>
    </row>
    <row r="42" spans="1:24" ht="12" customHeight="1">
      <c r="A42" s="518" t="s">
        <v>157</v>
      </c>
      <c r="B42" s="614">
        <v>733451991</v>
      </c>
      <c r="C42" s="615"/>
      <c r="D42" s="614">
        <v>29060621</v>
      </c>
      <c r="E42" s="615"/>
      <c r="F42" s="614">
        <v>11535824</v>
      </c>
      <c r="G42" s="615"/>
      <c r="H42" s="614">
        <v>265324</v>
      </c>
      <c r="I42" s="615"/>
      <c r="J42" s="614">
        <v>0</v>
      </c>
      <c r="K42" s="615"/>
      <c r="L42" s="614">
        <v>0</v>
      </c>
      <c r="M42" s="615"/>
      <c r="N42" s="614">
        <v>692329732</v>
      </c>
      <c r="O42" s="615"/>
      <c r="P42" s="616">
        <v>6747136.6700000009</v>
      </c>
      <c r="Q42" s="613"/>
      <c r="R42" s="613"/>
      <c r="S42" s="613"/>
      <c r="T42" s="613"/>
      <c r="U42" s="613"/>
      <c r="V42" s="613"/>
      <c r="W42" s="613"/>
      <c r="X42" s="613"/>
    </row>
    <row r="43" spans="1:24" ht="13.8">
      <c r="A43" s="600" t="s">
        <v>997</v>
      </c>
      <c r="B43" s="601"/>
      <c r="C43" s="568"/>
      <c r="D43" s="601"/>
      <c r="E43" s="568"/>
      <c r="F43" s="601"/>
      <c r="G43" s="568"/>
      <c r="H43" s="601"/>
      <c r="I43" s="568"/>
      <c r="J43" s="601"/>
      <c r="K43" s="568"/>
      <c r="L43" s="601"/>
      <c r="M43" s="568"/>
      <c r="N43" s="601"/>
      <c r="O43" s="568"/>
      <c r="P43" s="601"/>
      <c r="Q43" s="577"/>
      <c r="R43" s="577"/>
      <c r="S43" s="577"/>
      <c r="T43" s="577"/>
      <c r="U43" s="577"/>
      <c r="V43" s="577"/>
      <c r="W43" s="577"/>
      <c r="X43" s="577"/>
    </row>
    <row r="44" spans="1:24" ht="13.2">
      <c r="A44" s="602" t="s">
        <v>965</v>
      </c>
      <c r="B44" s="603"/>
      <c r="C44" s="603"/>
      <c r="D44" s="603"/>
      <c r="E44" s="603"/>
      <c r="F44" s="603"/>
      <c r="G44" s="603"/>
      <c r="H44" s="603"/>
      <c r="I44" s="603"/>
      <c r="J44" s="603"/>
      <c r="K44" s="603"/>
      <c r="L44" s="603"/>
      <c r="M44" s="603"/>
      <c r="N44" s="603"/>
      <c r="O44" s="603"/>
      <c r="P44" s="603"/>
      <c r="Q44" s="604"/>
      <c r="R44" s="604"/>
      <c r="S44" s="604"/>
      <c r="T44" s="604"/>
      <c r="U44" s="604"/>
      <c r="V44" s="604"/>
      <c r="W44" s="604"/>
      <c r="X44" s="604"/>
    </row>
    <row r="45" spans="1:24" ht="13.2">
      <c r="A45" s="940" t="s">
        <v>1105</v>
      </c>
      <c r="B45" s="523"/>
      <c r="C45" s="523"/>
      <c r="D45" s="523"/>
      <c r="E45" s="523"/>
      <c r="F45" s="523"/>
      <c r="G45" s="523"/>
      <c r="H45" s="523"/>
      <c r="I45" s="523"/>
      <c r="J45" s="523"/>
      <c r="K45" s="523"/>
      <c r="L45" s="523"/>
      <c r="M45" s="523"/>
      <c r="N45" s="523"/>
      <c r="O45" s="523"/>
      <c r="P45" s="523"/>
      <c r="Q45" s="605"/>
      <c r="R45" s="605"/>
      <c r="S45" s="605"/>
      <c r="T45" s="605"/>
      <c r="U45" s="605"/>
      <c r="V45" s="605"/>
      <c r="W45" s="605"/>
      <c r="X45" s="605"/>
    </row>
    <row r="46" spans="1:24" ht="11.25" customHeight="1" thickBot="1">
      <c r="A46" s="524"/>
      <c r="B46" s="524"/>
      <c r="C46" s="524"/>
      <c r="D46" s="524"/>
      <c r="E46" s="524"/>
      <c r="F46" s="524"/>
      <c r="G46" s="524"/>
      <c r="H46" s="524"/>
      <c r="I46" s="524"/>
      <c r="J46" s="524"/>
      <c r="K46" s="524"/>
      <c r="L46" s="524"/>
      <c r="M46" s="524"/>
      <c r="N46" s="524"/>
      <c r="O46" s="524"/>
      <c r="P46" s="524"/>
      <c r="Q46" s="605"/>
      <c r="R46" s="605"/>
      <c r="S46" s="605"/>
      <c r="T46" s="605"/>
      <c r="U46" s="605"/>
      <c r="V46" s="605"/>
      <c r="W46" s="605"/>
      <c r="X46" s="605"/>
    </row>
    <row r="47" spans="1:24" ht="14.25" customHeight="1">
      <c r="A47" s="568"/>
      <c r="B47" s="1157" t="s">
        <v>966</v>
      </c>
      <c r="C47" s="1157"/>
      <c r="D47" s="1157"/>
      <c r="E47" s="568"/>
      <c r="F47" s="1157" t="s">
        <v>967</v>
      </c>
      <c r="G47" s="1157"/>
      <c r="H47" s="1157"/>
      <c r="I47" s="568"/>
      <c r="J47" s="1157" t="s">
        <v>968</v>
      </c>
      <c r="K47" s="1157"/>
      <c r="L47" s="1157"/>
      <c r="M47" s="568"/>
      <c r="N47" s="1157" t="s">
        <v>969</v>
      </c>
      <c r="O47" s="1157"/>
      <c r="P47" s="1157"/>
      <c r="Q47" s="606"/>
      <c r="R47" s="606"/>
      <c r="S47" s="606"/>
      <c r="T47" s="606"/>
      <c r="U47" s="606"/>
      <c r="V47" s="606"/>
      <c r="W47" s="606"/>
      <c r="X47" s="606"/>
    </row>
    <row r="48" spans="1:24" ht="12" customHeight="1">
      <c r="A48" s="607" t="s">
        <v>33</v>
      </c>
      <c r="B48" s="608" t="s">
        <v>970</v>
      </c>
      <c r="C48" s="525"/>
      <c r="D48" s="608" t="s">
        <v>971</v>
      </c>
      <c r="E48" s="525"/>
      <c r="F48" s="608" t="s">
        <v>970</v>
      </c>
      <c r="G48" s="525"/>
      <c r="H48" s="608" t="s">
        <v>971</v>
      </c>
      <c r="I48" s="525"/>
      <c r="J48" s="608" t="s">
        <v>970</v>
      </c>
      <c r="K48" s="525"/>
      <c r="L48" s="608" t="s">
        <v>971</v>
      </c>
      <c r="M48" s="525"/>
      <c r="N48" s="608" t="s">
        <v>970</v>
      </c>
      <c r="O48" s="525"/>
      <c r="P48" s="608" t="s">
        <v>971</v>
      </c>
      <c r="Q48" s="609"/>
      <c r="R48" s="609"/>
      <c r="S48" s="609"/>
      <c r="T48" s="609"/>
      <c r="U48" s="609"/>
      <c r="V48" s="609"/>
      <c r="W48" s="609"/>
      <c r="X48" s="609"/>
    </row>
    <row r="49" spans="1:24" ht="8.25" customHeight="1">
      <c r="B49" s="614"/>
      <c r="C49" s="617"/>
      <c r="D49" s="614"/>
      <c r="E49" s="617"/>
      <c r="F49" s="614"/>
      <c r="G49" s="617"/>
      <c r="H49" s="614"/>
      <c r="I49" s="617"/>
      <c r="J49" s="614"/>
      <c r="K49" s="617"/>
      <c r="L49" s="614"/>
      <c r="M49" s="617"/>
      <c r="N49" s="614"/>
      <c r="O49" s="617"/>
      <c r="P49" s="616"/>
      <c r="Q49" s="613"/>
      <c r="R49" s="613"/>
      <c r="S49" s="613"/>
      <c r="T49" s="613"/>
      <c r="U49" s="613"/>
      <c r="V49" s="613"/>
      <c r="W49" s="613"/>
      <c r="X49" s="613"/>
    </row>
    <row r="50" spans="1:24" ht="12" customHeight="1">
      <c r="A50" s="518" t="s">
        <v>159</v>
      </c>
      <c r="B50" s="610">
        <v>106927819</v>
      </c>
      <c r="C50" s="611"/>
      <c r="D50" s="610">
        <v>2917738.64</v>
      </c>
      <c r="E50" s="611"/>
      <c r="F50" s="610">
        <v>9577514</v>
      </c>
      <c r="G50" s="611"/>
      <c r="H50" s="610">
        <v>148451.47</v>
      </c>
      <c r="I50" s="611"/>
      <c r="J50" s="610">
        <v>1671939</v>
      </c>
      <c r="K50" s="611"/>
      <c r="L50" s="610">
        <v>58517.87</v>
      </c>
      <c r="M50" s="611"/>
      <c r="N50" s="610">
        <v>51951775</v>
      </c>
      <c r="O50" s="611"/>
      <c r="P50" s="612">
        <v>265406.77</v>
      </c>
      <c r="Q50" s="613"/>
      <c r="R50" s="613"/>
      <c r="S50" s="613"/>
      <c r="T50" s="613"/>
      <c r="U50" s="613"/>
      <c r="V50" s="613"/>
      <c r="W50" s="613"/>
      <c r="X50" s="613"/>
    </row>
    <row r="51" spans="1:24" ht="12" customHeight="1">
      <c r="A51" s="518" t="s">
        <v>161</v>
      </c>
      <c r="B51" s="614">
        <v>185143561</v>
      </c>
      <c r="C51" s="615"/>
      <c r="D51" s="614">
        <v>7592256.1999999993</v>
      </c>
      <c r="E51" s="615"/>
      <c r="F51" s="614">
        <v>243801</v>
      </c>
      <c r="G51" s="615"/>
      <c r="H51" s="614">
        <v>4876.0200000000004</v>
      </c>
      <c r="I51" s="615"/>
      <c r="J51" s="614">
        <v>5883822</v>
      </c>
      <c r="K51" s="615"/>
      <c r="L51" s="614">
        <v>244178.61</v>
      </c>
      <c r="M51" s="615"/>
      <c r="N51" s="614">
        <v>496073506</v>
      </c>
      <c r="O51" s="615"/>
      <c r="P51" s="616">
        <v>3002184.95</v>
      </c>
      <c r="Q51" s="613"/>
      <c r="R51" s="613"/>
      <c r="S51" s="613"/>
      <c r="T51" s="613"/>
      <c r="U51" s="613"/>
      <c r="V51" s="613"/>
      <c r="W51" s="613"/>
      <c r="X51" s="613"/>
    </row>
    <row r="52" spans="1:24" s="624" customFormat="1" ht="12" customHeight="1">
      <c r="A52" s="622" t="s">
        <v>627</v>
      </c>
      <c r="B52" s="614">
        <v>529345372</v>
      </c>
      <c r="C52" s="623"/>
      <c r="D52" s="614">
        <v>11628658.719999999</v>
      </c>
      <c r="E52" s="623"/>
      <c r="F52" s="614">
        <v>97259640</v>
      </c>
      <c r="G52" s="623"/>
      <c r="H52" s="614">
        <v>680817.5</v>
      </c>
      <c r="I52" s="623"/>
      <c r="J52" s="614">
        <v>62450190</v>
      </c>
      <c r="K52" s="623"/>
      <c r="L52" s="614">
        <v>674462.1</v>
      </c>
      <c r="M52" s="623"/>
      <c r="N52" s="614">
        <v>161030712</v>
      </c>
      <c r="O52" s="623"/>
      <c r="P52" s="616">
        <v>874872.7</v>
      </c>
      <c r="Q52" s="613"/>
      <c r="R52" s="613"/>
      <c r="S52" s="613"/>
      <c r="T52" s="613"/>
      <c r="U52" s="613"/>
      <c r="V52" s="613"/>
      <c r="W52" s="613"/>
      <c r="X52" s="613"/>
    </row>
    <row r="53" spans="1:24" ht="12" customHeight="1">
      <c r="A53" s="518" t="s">
        <v>164</v>
      </c>
      <c r="B53" s="614">
        <v>1012246882</v>
      </c>
      <c r="C53" s="615"/>
      <c r="D53" s="614">
        <v>39852388</v>
      </c>
      <c r="E53" s="615"/>
      <c r="F53" s="614">
        <v>247631962</v>
      </c>
      <c r="G53" s="615"/>
      <c r="H53" s="614">
        <v>4952639</v>
      </c>
      <c r="I53" s="615"/>
      <c r="J53" s="614">
        <v>0</v>
      </c>
      <c r="K53" s="615"/>
      <c r="L53" s="614">
        <v>0</v>
      </c>
      <c r="M53" s="615"/>
      <c r="N53" s="614">
        <v>268822740</v>
      </c>
      <c r="O53" s="615"/>
      <c r="P53" s="616">
        <v>1641648.0299999998</v>
      </c>
      <c r="Q53" s="613"/>
      <c r="R53" s="613"/>
      <c r="S53" s="613"/>
      <c r="T53" s="613"/>
      <c r="U53" s="613"/>
      <c r="V53" s="613"/>
      <c r="W53" s="613"/>
      <c r="X53" s="613"/>
    </row>
    <row r="54" spans="1:24" ht="12" customHeight="1">
      <c r="A54" s="518" t="s">
        <v>166</v>
      </c>
      <c r="B54" s="614">
        <v>173984910</v>
      </c>
      <c r="C54" s="615"/>
      <c r="D54" s="614">
        <v>3199003.64</v>
      </c>
      <c r="E54" s="615"/>
      <c r="F54" s="614">
        <v>310297932</v>
      </c>
      <c r="G54" s="615"/>
      <c r="H54" s="614">
        <v>3134009.09</v>
      </c>
      <c r="I54" s="615"/>
      <c r="J54" s="614">
        <v>20683511</v>
      </c>
      <c r="K54" s="615"/>
      <c r="L54" s="614">
        <v>167536.46</v>
      </c>
      <c r="M54" s="615"/>
      <c r="N54" s="614">
        <v>179625302</v>
      </c>
      <c r="O54" s="615"/>
      <c r="P54" s="616">
        <v>980738.5</v>
      </c>
      <c r="Q54" s="613"/>
      <c r="R54" s="613"/>
      <c r="S54" s="613"/>
      <c r="T54" s="613"/>
      <c r="U54" s="613"/>
      <c r="V54" s="613"/>
      <c r="W54" s="613"/>
      <c r="X54" s="613"/>
    </row>
    <row r="55" spans="1:24" ht="8.25" customHeight="1">
      <c r="B55" s="614"/>
      <c r="C55" s="615"/>
      <c r="D55" s="614"/>
      <c r="E55" s="615"/>
      <c r="F55" s="614"/>
      <c r="G55" s="615"/>
      <c r="H55" s="614"/>
      <c r="I55" s="615"/>
      <c r="J55" s="614"/>
      <c r="K55" s="615"/>
      <c r="L55" s="614"/>
      <c r="M55" s="615"/>
      <c r="N55" s="614"/>
      <c r="O55" s="615"/>
      <c r="P55" s="616"/>
      <c r="Q55" s="613"/>
      <c r="R55" s="613"/>
      <c r="S55" s="613"/>
      <c r="T55" s="613"/>
      <c r="U55" s="613"/>
      <c r="V55" s="613"/>
      <c r="W55" s="613"/>
      <c r="X55" s="613"/>
    </row>
    <row r="56" spans="1:24" s="617" customFormat="1" ht="12" customHeight="1">
      <c r="A56" s="625" t="s">
        <v>635</v>
      </c>
      <c r="B56" s="614">
        <v>444917569</v>
      </c>
      <c r="C56" s="623"/>
      <c r="D56" s="614">
        <v>12110639.91</v>
      </c>
      <c r="E56" s="623"/>
      <c r="F56" s="614">
        <v>8218191</v>
      </c>
      <c r="G56" s="623"/>
      <c r="H56" s="614">
        <v>242436.64</v>
      </c>
      <c r="I56" s="623"/>
      <c r="J56" s="614">
        <v>0</v>
      </c>
      <c r="K56" s="623"/>
      <c r="L56" s="614">
        <v>0</v>
      </c>
      <c r="M56" s="623"/>
      <c r="N56" s="614">
        <v>104946612</v>
      </c>
      <c r="O56" s="623"/>
      <c r="P56" s="616">
        <v>686647.20000000007</v>
      </c>
      <c r="Q56" s="613"/>
      <c r="R56" s="613"/>
      <c r="S56" s="613"/>
      <c r="T56" s="613"/>
      <c r="U56" s="613"/>
      <c r="V56" s="613"/>
      <c r="W56" s="613"/>
      <c r="X56" s="613"/>
    </row>
    <row r="57" spans="1:24" s="617" customFormat="1" ht="12" customHeight="1">
      <c r="A57" s="625" t="s">
        <v>637</v>
      </c>
      <c r="B57" s="614">
        <v>281842836</v>
      </c>
      <c r="C57" s="623"/>
      <c r="D57" s="614">
        <v>10276461.199999999</v>
      </c>
      <c r="E57" s="623"/>
      <c r="F57" s="614">
        <v>9074954</v>
      </c>
      <c r="G57" s="623"/>
      <c r="H57" s="614">
        <v>340310.81</v>
      </c>
      <c r="I57" s="623"/>
      <c r="J57" s="614">
        <v>0</v>
      </c>
      <c r="K57" s="623"/>
      <c r="L57" s="614">
        <v>0</v>
      </c>
      <c r="M57" s="623"/>
      <c r="N57" s="614">
        <v>120057618</v>
      </c>
      <c r="O57" s="623"/>
      <c r="P57" s="616">
        <v>637838.32999999996</v>
      </c>
      <c r="Q57" s="613"/>
      <c r="R57" s="613"/>
      <c r="S57" s="613"/>
      <c r="T57" s="613"/>
      <c r="U57" s="613"/>
      <c r="V57" s="613"/>
      <c r="W57" s="613"/>
      <c r="X57" s="613"/>
    </row>
    <row r="58" spans="1:24" s="617" customFormat="1" ht="12" customHeight="1">
      <c r="A58" s="625" t="s">
        <v>639</v>
      </c>
      <c r="B58" s="614">
        <v>97851316</v>
      </c>
      <c r="C58" s="623"/>
      <c r="D58" s="614">
        <v>1640978.68</v>
      </c>
      <c r="E58" s="623"/>
      <c r="F58" s="614">
        <v>7123835</v>
      </c>
      <c r="G58" s="623"/>
      <c r="H58" s="614">
        <v>124667.13</v>
      </c>
      <c r="I58" s="623"/>
      <c r="J58" s="614">
        <v>646211</v>
      </c>
      <c r="K58" s="623"/>
      <c r="L58" s="614">
        <v>43296.13</v>
      </c>
      <c r="M58" s="623"/>
      <c r="N58" s="614">
        <v>42063570</v>
      </c>
      <c r="O58" s="623"/>
      <c r="P58" s="616">
        <v>206734.25</v>
      </c>
      <c r="Q58" s="613"/>
      <c r="R58" s="613"/>
      <c r="S58" s="613"/>
      <c r="T58" s="613"/>
      <c r="U58" s="613"/>
      <c r="V58" s="613"/>
      <c r="W58" s="613"/>
      <c r="X58" s="613"/>
    </row>
    <row r="59" spans="1:24" ht="12" customHeight="1">
      <c r="A59" s="518" t="s">
        <v>106</v>
      </c>
      <c r="B59" s="614">
        <v>112363554</v>
      </c>
      <c r="C59" s="615"/>
      <c r="D59" s="614">
        <v>5312782</v>
      </c>
      <c r="E59" s="615"/>
      <c r="F59" s="614">
        <v>3781741</v>
      </c>
      <c r="G59" s="615"/>
      <c r="H59" s="614">
        <v>94544</v>
      </c>
      <c r="I59" s="615"/>
      <c r="J59" s="614">
        <v>0</v>
      </c>
      <c r="K59" s="615"/>
      <c r="L59" s="614">
        <v>0</v>
      </c>
      <c r="M59" s="615"/>
      <c r="N59" s="614">
        <v>58478577</v>
      </c>
      <c r="O59" s="615"/>
      <c r="P59" s="616">
        <v>403502</v>
      </c>
      <c r="Q59" s="613"/>
      <c r="R59" s="613"/>
      <c r="S59" s="613"/>
      <c r="T59" s="613"/>
      <c r="U59" s="613"/>
      <c r="V59" s="613"/>
      <c r="W59" s="613"/>
      <c r="X59" s="613"/>
    </row>
    <row r="60" spans="1:24" ht="12" customHeight="1">
      <c r="A60" s="520" t="s">
        <v>108</v>
      </c>
      <c r="B60" s="614">
        <v>61524320</v>
      </c>
      <c r="C60" s="623"/>
      <c r="D60" s="614">
        <v>2804735.8</v>
      </c>
      <c r="E60" s="623"/>
      <c r="F60" s="614">
        <v>31432590</v>
      </c>
      <c r="G60" s="623"/>
      <c r="H60" s="614">
        <v>1257303.6000000001</v>
      </c>
      <c r="I60" s="623"/>
      <c r="J60" s="614">
        <v>0</v>
      </c>
      <c r="K60" s="626"/>
      <c r="L60" s="614">
        <v>0</v>
      </c>
      <c r="M60" s="626"/>
      <c r="N60" s="614">
        <v>50039108</v>
      </c>
      <c r="O60" s="623"/>
      <c r="P60" s="616">
        <v>295515.28000000003</v>
      </c>
      <c r="Q60" s="613"/>
      <c r="R60" s="613"/>
      <c r="S60" s="613"/>
      <c r="T60" s="613"/>
      <c r="U60" s="613"/>
      <c r="V60" s="613"/>
      <c r="W60" s="613"/>
      <c r="X60" s="613"/>
    </row>
    <row r="61" spans="1:24" ht="8.25" customHeight="1">
      <c r="B61" s="518"/>
      <c r="D61" s="518"/>
      <c r="F61" s="518"/>
      <c r="H61" s="518"/>
      <c r="J61" s="518"/>
      <c r="L61" s="518"/>
      <c r="N61" s="518"/>
      <c r="P61" s="518"/>
    </row>
    <row r="62" spans="1:24" ht="12" customHeight="1">
      <c r="A62" s="518" t="s">
        <v>521</v>
      </c>
      <c r="B62" s="616">
        <v>236509499</v>
      </c>
      <c r="C62" s="627"/>
      <c r="D62" s="616">
        <v>7646655.0999999996</v>
      </c>
      <c r="E62" s="616"/>
      <c r="F62" s="616">
        <v>107835800</v>
      </c>
      <c r="G62" s="616"/>
      <c r="H62" s="616">
        <v>1358731.08</v>
      </c>
      <c r="I62" s="616"/>
      <c r="J62" s="616">
        <v>0</v>
      </c>
      <c r="K62" s="628"/>
      <c r="L62" s="616">
        <v>0</v>
      </c>
      <c r="M62" s="628"/>
      <c r="N62" s="616">
        <v>968377499</v>
      </c>
      <c r="O62" s="616"/>
      <c r="P62" s="616">
        <v>4402208.8500000006</v>
      </c>
      <c r="Q62" s="613"/>
      <c r="R62" s="613"/>
      <c r="S62" s="613"/>
      <c r="T62" s="613"/>
      <c r="U62" s="613"/>
      <c r="V62" s="613"/>
      <c r="W62" s="613"/>
      <c r="X62" s="613"/>
    </row>
    <row r="63" spans="1:24" ht="12" customHeight="1">
      <c r="A63" s="518" t="s">
        <v>112</v>
      </c>
      <c r="B63" s="614">
        <v>1322299240</v>
      </c>
      <c r="C63" s="623"/>
      <c r="D63" s="614">
        <v>40882291.549999997</v>
      </c>
      <c r="E63" s="623"/>
      <c r="F63" s="614">
        <v>47192385</v>
      </c>
      <c r="G63" s="623"/>
      <c r="H63" s="614">
        <v>1684768.22</v>
      </c>
      <c r="I63" s="623"/>
      <c r="J63" s="614">
        <v>49762310</v>
      </c>
      <c r="K63" s="623"/>
      <c r="L63" s="614">
        <v>945485.97</v>
      </c>
      <c r="M63" s="623"/>
      <c r="N63" s="614">
        <v>590781672</v>
      </c>
      <c r="O63" s="623"/>
      <c r="P63" s="616">
        <v>4359967.92</v>
      </c>
      <c r="Q63" s="613"/>
      <c r="R63" s="613"/>
      <c r="S63" s="613"/>
      <c r="T63" s="613"/>
      <c r="U63" s="613"/>
      <c r="V63" s="613"/>
      <c r="W63" s="613"/>
      <c r="X63" s="613"/>
    </row>
    <row r="64" spans="1:24" ht="12" customHeight="1">
      <c r="A64" s="518" t="s">
        <v>114</v>
      </c>
      <c r="B64" s="614">
        <v>3574618796</v>
      </c>
      <c r="C64" s="623"/>
      <c r="D64" s="614">
        <v>109719390</v>
      </c>
      <c r="E64" s="623"/>
      <c r="F64" s="614">
        <v>179369890</v>
      </c>
      <c r="G64" s="623"/>
      <c r="H64" s="614">
        <v>1793699</v>
      </c>
      <c r="I64" s="623"/>
      <c r="J64" s="614">
        <v>0</v>
      </c>
      <c r="K64" s="626"/>
      <c r="L64" s="614">
        <v>0</v>
      </c>
      <c r="M64" s="626"/>
      <c r="N64" s="614">
        <v>983905069</v>
      </c>
      <c r="O64" s="623"/>
      <c r="P64" s="616">
        <v>8650264</v>
      </c>
      <c r="Q64" s="613"/>
      <c r="R64" s="613"/>
      <c r="S64" s="613"/>
      <c r="T64" s="613"/>
      <c r="U64" s="613"/>
      <c r="V64" s="613"/>
      <c r="W64" s="613"/>
      <c r="X64" s="613"/>
    </row>
    <row r="65" spans="1:24" ht="12" customHeight="1">
      <c r="A65" s="518" t="s">
        <v>116</v>
      </c>
      <c r="B65" s="614">
        <v>394913186</v>
      </c>
      <c r="C65" s="623"/>
      <c r="D65" s="614">
        <v>5560716.7400000002</v>
      </c>
      <c r="E65" s="623"/>
      <c r="F65" s="614">
        <v>262429199</v>
      </c>
      <c r="G65" s="623"/>
      <c r="H65" s="614">
        <v>3883952.14</v>
      </c>
      <c r="I65" s="623"/>
      <c r="J65" s="614">
        <v>0</v>
      </c>
      <c r="K65" s="626"/>
      <c r="L65" s="614">
        <v>0</v>
      </c>
      <c r="M65" s="626"/>
      <c r="N65" s="614">
        <v>149475654</v>
      </c>
      <c r="O65" s="623"/>
      <c r="P65" s="616">
        <v>689694.5</v>
      </c>
      <c r="Q65" s="613"/>
      <c r="R65" s="613"/>
      <c r="S65" s="613"/>
      <c r="T65" s="613"/>
      <c r="U65" s="613"/>
      <c r="V65" s="613"/>
      <c r="W65" s="613"/>
      <c r="X65" s="613"/>
    </row>
    <row r="66" spans="1:24" ht="12" customHeight="1">
      <c r="A66" s="518" t="s">
        <v>118</v>
      </c>
      <c r="B66" s="614">
        <v>22775248</v>
      </c>
      <c r="C66" s="615"/>
      <c r="D66" s="614">
        <v>336063.29</v>
      </c>
      <c r="E66" s="615"/>
      <c r="F66" s="614">
        <v>15202</v>
      </c>
      <c r="G66" s="615"/>
      <c r="H66" s="614">
        <v>152.02000000000001</v>
      </c>
      <c r="I66" s="615"/>
      <c r="J66" s="614">
        <v>280847</v>
      </c>
      <c r="K66" s="615"/>
      <c r="L66" s="614">
        <v>2808.47</v>
      </c>
      <c r="M66" s="615"/>
      <c r="N66" s="614">
        <v>15444431</v>
      </c>
      <c r="O66" s="615"/>
      <c r="P66" s="616">
        <v>58097.009999999995</v>
      </c>
      <c r="Q66" s="613"/>
      <c r="R66" s="613"/>
      <c r="S66" s="613"/>
      <c r="T66" s="613"/>
      <c r="U66" s="613"/>
      <c r="V66" s="613"/>
      <c r="W66" s="613"/>
      <c r="X66" s="613"/>
    </row>
    <row r="67" spans="1:24" ht="8.25" customHeight="1">
      <c r="B67" s="614"/>
      <c r="C67" s="615"/>
      <c r="D67" s="614"/>
      <c r="E67" s="615"/>
      <c r="F67" s="614"/>
      <c r="G67" s="615"/>
      <c r="H67" s="614"/>
      <c r="I67" s="615"/>
      <c r="J67" s="614"/>
      <c r="K67" s="615"/>
      <c r="L67" s="614"/>
      <c r="M67" s="615"/>
      <c r="N67" s="614"/>
      <c r="O67" s="615"/>
      <c r="P67" s="616"/>
      <c r="Q67" s="613"/>
      <c r="R67" s="613"/>
      <c r="S67" s="613"/>
      <c r="T67" s="613"/>
      <c r="U67" s="613"/>
      <c r="V67" s="613"/>
      <c r="W67" s="613"/>
      <c r="X67" s="613"/>
    </row>
    <row r="68" spans="1:24" ht="12" customHeight="1">
      <c r="A68" s="518" t="s">
        <v>120</v>
      </c>
      <c r="B68" s="614">
        <v>376393098</v>
      </c>
      <c r="C68" s="615"/>
      <c r="D68" s="614">
        <v>13849023.609999999</v>
      </c>
      <c r="E68" s="615"/>
      <c r="F68" s="614">
        <v>379939955</v>
      </c>
      <c r="G68" s="615"/>
      <c r="H68" s="614">
        <v>2659579.73</v>
      </c>
      <c r="I68" s="615"/>
      <c r="J68" s="614">
        <v>0</v>
      </c>
      <c r="K68" s="615"/>
      <c r="L68" s="614">
        <v>0</v>
      </c>
      <c r="M68" s="615"/>
      <c r="N68" s="614">
        <v>141610307</v>
      </c>
      <c r="O68" s="615"/>
      <c r="P68" s="616">
        <v>946965.75</v>
      </c>
      <c r="Q68" s="613"/>
      <c r="R68" s="613"/>
      <c r="S68" s="613"/>
      <c r="T68" s="613"/>
      <c r="U68" s="613"/>
      <c r="V68" s="613"/>
      <c r="W68" s="613"/>
      <c r="X68" s="613"/>
    </row>
    <row r="69" spans="1:24" ht="12" customHeight="1">
      <c r="A69" s="518" t="s">
        <v>122</v>
      </c>
      <c r="B69" s="614">
        <v>681360165</v>
      </c>
      <c r="C69" s="615"/>
      <c r="D69" s="614">
        <v>26821603</v>
      </c>
      <c r="E69" s="615"/>
      <c r="F69" s="614">
        <v>140297758</v>
      </c>
      <c r="G69" s="615"/>
      <c r="H69" s="614">
        <v>5611910</v>
      </c>
      <c r="I69" s="615"/>
      <c r="J69" s="614">
        <v>0</v>
      </c>
      <c r="K69" s="615"/>
      <c r="L69" s="614">
        <v>0</v>
      </c>
      <c r="M69" s="615"/>
      <c r="N69" s="614">
        <v>232558225</v>
      </c>
      <c r="O69" s="615"/>
      <c r="P69" s="616">
        <v>1792966</v>
      </c>
      <c r="Q69" s="613"/>
      <c r="R69" s="613"/>
      <c r="S69" s="613"/>
      <c r="T69" s="613"/>
      <c r="U69" s="613"/>
      <c r="V69" s="613"/>
      <c r="W69" s="613"/>
      <c r="X69" s="613"/>
    </row>
    <row r="70" spans="1:24" ht="12" customHeight="1">
      <c r="A70" s="518" t="s">
        <v>124</v>
      </c>
      <c r="B70" s="614">
        <v>74374321</v>
      </c>
      <c r="C70" s="615"/>
      <c r="D70" s="614">
        <v>2492309.4700000002</v>
      </c>
      <c r="E70" s="615"/>
      <c r="F70" s="614">
        <v>16121740</v>
      </c>
      <c r="G70" s="615"/>
      <c r="H70" s="614">
        <v>177339.45</v>
      </c>
      <c r="I70" s="615"/>
      <c r="J70" s="614">
        <v>4729556</v>
      </c>
      <c r="K70" s="615"/>
      <c r="L70" s="614">
        <v>30742.13</v>
      </c>
      <c r="M70" s="615"/>
      <c r="N70" s="614">
        <v>27120435</v>
      </c>
      <c r="O70" s="615"/>
      <c r="P70" s="616">
        <v>141026.25</v>
      </c>
      <c r="Q70" s="613"/>
      <c r="R70" s="613"/>
      <c r="S70" s="613"/>
      <c r="T70" s="613"/>
      <c r="U70" s="613"/>
      <c r="V70" s="613"/>
      <c r="W70" s="613"/>
      <c r="X70" s="613"/>
    </row>
    <row r="71" spans="1:24" ht="12" customHeight="1">
      <c r="A71" s="518" t="s">
        <v>126</v>
      </c>
      <c r="B71" s="614">
        <v>203558745</v>
      </c>
      <c r="C71" s="623"/>
      <c r="D71" s="614">
        <v>6381494.2999999998</v>
      </c>
      <c r="E71" s="623"/>
      <c r="F71" s="614">
        <v>5776405</v>
      </c>
      <c r="G71" s="623"/>
      <c r="H71" s="614">
        <v>144410.13</v>
      </c>
      <c r="I71" s="623"/>
      <c r="J71" s="614">
        <v>0</v>
      </c>
      <c r="K71" s="626"/>
      <c r="L71" s="614">
        <v>0</v>
      </c>
      <c r="M71" s="626"/>
      <c r="N71" s="614">
        <v>257549642</v>
      </c>
      <c r="O71" s="623"/>
      <c r="P71" s="616">
        <v>1367827.28</v>
      </c>
      <c r="Q71" s="613"/>
      <c r="R71" s="613"/>
      <c r="S71" s="613"/>
      <c r="T71" s="613"/>
      <c r="U71" s="613"/>
      <c r="V71" s="613"/>
      <c r="W71" s="613"/>
      <c r="X71" s="613"/>
    </row>
    <row r="72" spans="1:24" ht="12" customHeight="1">
      <c r="A72" s="518" t="s">
        <v>128</v>
      </c>
      <c r="B72" s="614">
        <v>129981045</v>
      </c>
      <c r="C72" s="623"/>
      <c r="D72" s="614">
        <v>3788056.34</v>
      </c>
      <c r="E72" s="623"/>
      <c r="F72" s="614">
        <v>110507861</v>
      </c>
      <c r="G72" s="623"/>
      <c r="H72" s="614">
        <v>1188633.2</v>
      </c>
      <c r="I72" s="623"/>
      <c r="J72" s="614">
        <v>0</v>
      </c>
      <c r="K72" s="623"/>
      <c r="L72" s="614">
        <v>0</v>
      </c>
      <c r="M72" s="623"/>
      <c r="N72" s="614">
        <v>49423166</v>
      </c>
      <c r="O72" s="623"/>
      <c r="P72" s="616">
        <v>332059.34999999998</v>
      </c>
      <c r="Q72" s="613"/>
      <c r="R72" s="613"/>
      <c r="S72" s="613"/>
      <c r="T72" s="613"/>
      <c r="U72" s="613"/>
      <c r="V72" s="613"/>
      <c r="W72" s="613"/>
      <c r="X72" s="613"/>
    </row>
    <row r="73" spans="1:24" ht="8.25" customHeight="1">
      <c r="B73" s="614"/>
      <c r="C73" s="617"/>
      <c r="D73" s="614"/>
      <c r="E73" s="617"/>
      <c r="F73" s="614"/>
      <c r="G73" s="617"/>
      <c r="H73" s="614"/>
      <c r="I73" s="617"/>
      <c r="J73" s="614"/>
      <c r="K73" s="617"/>
      <c r="L73" s="614"/>
      <c r="M73" s="617"/>
      <c r="N73" s="614"/>
      <c r="O73" s="617"/>
      <c r="P73" s="616"/>
      <c r="Q73" s="613"/>
      <c r="R73" s="613"/>
      <c r="S73" s="613"/>
      <c r="T73" s="613"/>
      <c r="U73" s="613"/>
      <c r="V73" s="613"/>
      <c r="W73" s="613"/>
      <c r="X73" s="613"/>
    </row>
    <row r="74" spans="1:24" ht="12" customHeight="1">
      <c r="A74" s="518" t="s">
        <v>130</v>
      </c>
      <c r="B74" s="614">
        <v>142663388</v>
      </c>
      <c r="C74" s="623"/>
      <c r="D74" s="614">
        <v>2551492.36</v>
      </c>
      <c r="E74" s="623"/>
      <c r="F74" s="614">
        <v>742450</v>
      </c>
      <c r="G74" s="623"/>
      <c r="H74" s="614">
        <v>11285.24</v>
      </c>
      <c r="I74" s="623"/>
      <c r="J74" s="614">
        <v>9884665</v>
      </c>
      <c r="K74" s="623"/>
      <c r="L74" s="614">
        <v>98846.65</v>
      </c>
      <c r="M74" s="623"/>
      <c r="N74" s="614">
        <v>44821003</v>
      </c>
      <c r="O74" s="623"/>
      <c r="P74" s="616">
        <v>175412.36000000002</v>
      </c>
      <c r="Q74" s="613"/>
      <c r="R74" s="613"/>
      <c r="S74" s="613"/>
      <c r="T74" s="613"/>
      <c r="U74" s="613"/>
      <c r="V74" s="613"/>
      <c r="W74" s="613"/>
      <c r="X74" s="613"/>
    </row>
    <row r="75" spans="1:24" ht="12" customHeight="1">
      <c r="A75" s="518" t="s">
        <v>132</v>
      </c>
      <c r="B75" s="614">
        <v>150930178</v>
      </c>
      <c r="C75" s="623"/>
      <c r="D75" s="614">
        <v>2816580.8699999996</v>
      </c>
      <c r="E75" s="623"/>
      <c r="F75" s="614">
        <v>39381465</v>
      </c>
      <c r="G75" s="623"/>
      <c r="H75" s="614">
        <v>787629.3</v>
      </c>
      <c r="I75" s="626"/>
      <c r="J75" s="614">
        <v>5506494</v>
      </c>
      <c r="K75" s="623"/>
      <c r="L75" s="614">
        <v>77641.59</v>
      </c>
      <c r="M75" s="623"/>
      <c r="N75" s="614">
        <v>69780906</v>
      </c>
      <c r="O75" s="623"/>
      <c r="P75" s="616">
        <v>460999.07</v>
      </c>
      <c r="Q75" s="613"/>
      <c r="R75" s="613"/>
      <c r="S75" s="613"/>
      <c r="T75" s="613"/>
      <c r="U75" s="613"/>
      <c r="V75" s="613"/>
      <c r="W75" s="613"/>
      <c r="X75" s="613"/>
    </row>
    <row r="76" spans="1:24" ht="12" customHeight="1">
      <c r="A76" s="518" t="s">
        <v>134</v>
      </c>
      <c r="B76" s="614">
        <v>4704358153</v>
      </c>
      <c r="C76" s="623"/>
      <c r="D76" s="614">
        <v>178311913.00999999</v>
      </c>
      <c r="E76" s="623"/>
      <c r="F76" s="614">
        <v>63671642</v>
      </c>
      <c r="G76" s="623"/>
      <c r="H76" s="614">
        <v>2083917.47</v>
      </c>
      <c r="I76" s="623"/>
      <c r="J76" s="614">
        <v>0</v>
      </c>
      <c r="K76" s="626"/>
      <c r="L76" s="614">
        <v>0</v>
      </c>
      <c r="M76" s="626"/>
      <c r="N76" s="614">
        <v>1583232514</v>
      </c>
      <c r="O76" s="623"/>
      <c r="P76" s="616">
        <v>19676957.77</v>
      </c>
      <c r="Q76" s="613"/>
      <c r="R76" s="613"/>
      <c r="S76" s="613"/>
      <c r="T76" s="613"/>
      <c r="U76" s="613"/>
      <c r="V76" s="613"/>
      <c r="W76" s="613"/>
      <c r="X76" s="613"/>
    </row>
    <row r="77" spans="1:24" ht="12" customHeight="1">
      <c r="A77" s="518" t="s">
        <v>136</v>
      </c>
      <c r="B77" s="614">
        <v>328392040</v>
      </c>
      <c r="C77" s="623"/>
      <c r="D77" s="614">
        <v>6073679.0100000007</v>
      </c>
      <c r="E77" s="623"/>
      <c r="F77" s="614">
        <v>18177300</v>
      </c>
      <c r="G77" s="623"/>
      <c r="H77" s="614">
        <v>344228.7</v>
      </c>
      <c r="I77" s="623"/>
      <c r="J77" s="614">
        <v>74296025</v>
      </c>
      <c r="K77" s="623"/>
      <c r="L77" s="614">
        <v>482924.42</v>
      </c>
      <c r="M77" s="623"/>
      <c r="N77" s="614">
        <v>2563851550</v>
      </c>
      <c r="O77" s="623"/>
      <c r="P77" s="616">
        <v>16674183.83</v>
      </c>
      <c r="Q77" s="613"/>
      <c r="R77" s="613"/>
      <c r="S77" s="613"/>
      <c r="T77" s="613"/>
      <c r="U77" s="613"/>
      <c r="V77" s="613"/>
      <c r="W77" s="613"/>
      <c r="X77" s="613"/>
    </row>
    <row r="78" spans="1:24" ht="12" customHeight="1">
      <c r="A78" s="518" t="s">
        <v>138</v>
      </c>
      <c r="B78" s="614">
        <v>67645101</v>
      </c>
      <c r="C78" s="623"/>
      <c r="D78" s="614">
        <v>2240164.3699999996</v>
      </c>
      <c r="E78" s="623"/>
      <c r="F78" s="614">
        <v>18325355</v>
      </c>
      <c r="G78" s="623"/>
      <c r="H78" s="614">
        <v>223423.83</v>
      </c>
      <c r="I78" s="623"/>
      <c r="J78" s="614">
        <v>808597</v>
      </c>
      <c r="K78" s="623"/>
      <c r="L78" s="614">
        <v>9703.16</v>
      </c>
      <c r="M78" s="623"/>
      <c r="N78" s="614">
        <v>38776346</v>
      </c>
      <c r="O78" s="623"/>
      <c r="P78" s="616">
        <v>147350.12</v>
      </c>
      <c r="Q78" s="613"/>
      <c r="R78" s="613"/>
      <c r="S78" s="613"/>
      <c r="T78" s="613"/>
      <c r="U78" s="613"/>
      <c r="V78" s="613"/>
      <c r="W78" s="613"/>
      <c r="X78" s="613"/>
    </row>
    <row r="79" spans="1:24" ht="8.25" customHeight="1">
      <c r="B79" s="614"/>
      <c r="C79" s="623"/>
      <c r="D79" s="614"/>
      <c r="E79" s="623"/>
      <c r="F79" s="614"/>
      <c r="G79" s="623"/>
      <c r="H79" s="614"/>
      <c r="I79" s="623"/>
      <c r="J79" s="614"/>
      <c r="K79" s="623"/>
      <c r="L79" s="614"/>
      <c r="M79" s="623"/>
      <c r="N79" s="614"/>
      <c r="O79" s="623"/>
      <c r="P79" s="616"/>
      <c r="Q79" s="613"/>
      <c r="R79" s="613"/>
      <c r="S79" s="613"/>
      <c r="T79" s="613"/>
      <c r="U79" s="613"/>
      <c r="V79" s="613"/>
      <c r="W79" s="613"/>
      <c r="X79" s="613"/>
    </row>
    <row r="80" spans="1:24" ht="12" customHeight="1">
      <c r="A80" s="518" t="s">
        <v>140</v>
      </c>
      <c r="B80" s="614">
        <v>118553888</v>
      </c>
      <c r="C80" s="623"/>
      <c r="D80" s="614">
        <v>3997069.5900000003</v>
      </c>
      <c r="E80" s="623"/>
      <c r="F80" s="614">
        <v>3801840</v>
      </c>
      <c r="G80" s="623"/>
      <c r="H80" s="614">
        <v>63490.81</v>
      </c>
      <c r="I80" s="623"/>
      <c r="J80" s="614">
        <v>22921593</v>
      </c>
      <c r="K80" s="623"/>
      <c r="L80" s="614">
        <v>197125.69</v>
      </c>
      <c r="M80" s="623"/>
      <c r="N80" s="614">
        <v>46116154</v>
      </c>
      <c r="O80" s="623"/>
      <c r="P80" s="616">
        <v>244516.38</v>
      </c>
      <c r="Q80" s="613"/>
      <c r="R80" s="613"/>
      <c r="S80" s="613"/>
      <c r="T80" s="613"/>
      <c r="U80" s="613"/>
      <c r="V80" s="613"/>
      <c r="W80" s="613"/>
      <c r="X80" s="613"/>
    </row>
    <row r="81" spans="1:24" ht="12" customHeight="1">
      <c r="A81" s="518" t="s">
        <v>1079</v>
      </c>
      <c r="B81" s="621">
        <v>121392265</v>
      </c>
      <c r="C81" s="615"/>
      <c r="D81" s="621">
        <v>3184859</v>
      </c>
      <c r="E81" s="615"/>
      <c r="F81" s="621">
        <v>0</v>
      </c>
      <c r="G81" s="615"/>
      <c r="H81" s="621">
        <v>0</v>
      </c>
      <c r="I81" s="615"/>
      <c r="J81" s="621">
        <v>0</v>
      </c>
      <c r="K81" s="615"/>
      <c r="L81" s="621">
        <v>0</v>
      </c>
      <c r="M81" s="615"/>
      <c r="N81" s="621">
        <v>19445694</v>
      </c>
      <c r="O81" s="615"/>
      <c r="P81" s="621">
        <v>91838</v>
      </c>
      <c r="Q81" s="613"/>
      <c r="R81" s="613"/>
      <c r="S81" s="613"/>
      <c r="T81" s="613"/>
      <c r="U81" s="613"/>
      <c r="V81" s="613"/>
      <c r="W81" s="613"/>
      <c r="X81" s="613"/>
    </row>
    <row r="82" spans="1:24" ht="12" customHeight="1">
      <c r="A82" s="518" t="s">
        <v>144</v>
      </c>
      <c r="B82" s="614">
        <v>375586474</v>
      </c>
      <c r="C82" s="623"/>
      <c r="D82" s="614">
        <v>11681326.26</v>
      </c>
      <c r="E82" s="623"/>
      <c r="F82" s="614">
        <v>104726207</v>
      </c>
      <c r="G82" s="623"/>
      <c r="H82" s="614">
        <v>691196.5199999999</v>
      </c>
      <c r="I82" s="623"/>
      <c r="J82" s="614">
        <v>57021928</v>
      </c>
      <c r="K82" s="623"/>
      <c r="L82" s="614">
        <v>410559.36</v>
      </c>
      <c r="M82" s="623"/>
      <c r="N82" s="614">
        <v>768510985</v>
      </c>
      <c r="O82" s="623"/>
      <c r="P82" s="616">
        <v>1061430.6399999999</v>
      </c>
      <c r="Q82" s="613"/>
      <c r="R82" s="613"/>
      <c r="S82" s="613"/>
      <c r="T82" s="613"/>
      <c r="U82" s="613"/>
      <c r="V82" s="613"/>
      <c r="W82" s="613"/>
      <c r="X82" s="613"/>
    </row>
    <row r="83" spans="1:24" ht="12" customHeight="1">
      <c r="A83" s="518" t="s">
        <v>146</v>
      </c>
      <c r="B83" s="614">
        <v>102560620</v>
      </c>
      <c r="C83" s="623"/>
      <c r="D83" s="614">
        <v>3296899</v>
      </c>
      <c r="E83" s="623"/>
      <c r="F83" s="614">
        <v>170336</v>
      </c>
      <c r="G83" s="623"/>
      <c r="H83" s="614">
        <v>2981</v>
      </c>
      <c r="I83" s="623"/>
      <c r="J83" s="614">
        <v>0</v>
      </c>
      <c r="K83" s="623"/>
      <c r="L83" s="614">
        <v>0</v>
      </c>
      <c r="M83" s="623"/>
      <c r="N83" s="614">
        <v>43195070</v>
      </c>
      <c r="O83" s="623"/>
      <c r="P83" s="616">
        <v>3769</v>
      </c>
      <c r="Q83" s="613"/>
      <c r="R83" s="613"/>
      <c r="S83" s="613"/>
      <c r="T83" s="613"/>
      <c r="U83" s="613"/>
      <c r="V83" s="613"/>
      <c r="W83" s="613"/>
      <c r="X83" s="613"/>
    </row>
    <row r="84" spans="1:24" ht="12" customHeight="1">
      <c r="A84" s="518" t="s">
        <v>148</v>
      </c>
      <c r="B84" s="614">
        <v>597697604</v>
      </c>
      <c r="C84" s="615"/>
      <c r="D84" s="614">
        <v>14183851.949999999</v>
      </c>
      <c r="E84" s="615"/>
      <c r="F84" s="614">
        <v>121643809</v>
      </c>
      <c r="G84" s="615"/>
      <c r="H84" s="614">
        <v>2213917.3199999998</v>
      </c>
      <c r="I84" s="615"/>
      <c r="J84" s="614">
        <v>31231378</v>
      </c>
      <c r="K84" s="615"/>
      <c r="L84" s="614">
        <v>952557.21</v>
      </c>
      <c r="M84" s="615"/>
      <c r="N84" s="614">
        <v>213624053</v>
      </c>
      <c r="O84" s="615"/>
      <c r="P84" s="616">
        <v>1867085.53</v>
      </c>
      <c r="Q84" s="613"/>
      <c r="R84" s="613"/>
      <c r="S84" s="613"/>
      <c r="T84" s="613"/>
      <c r="U84" s="613"/>
      <c r="V84" s="613"/>
      <c r="W84" s="613"/>
      <c r="X84" s="613"/>
    </row>
    <row r="85" spans="1:24" ht="13.8">
      <c r="A85" s="600" t="s">
        <v>997</v>
      </c>
      <c r="B85" s="601"/>
      <c r="C85" s="568"/>
      <c r="D85" s="601"/>
      <c r="E85" s="568"/>
      <c r="F85" s="601"/>
      <c r="G85" s="568"/>
      <c r="H85" s="601"/>
      <c r="I85" s="568"/>
      <c r="J85" s="601"/>
      <c r="K85" s="568"/>
      <c r="L85" s="601"/>
      <c r="M85" s="568"/>
      <c r="N85" s="601"/>
      <c r="O85" s="568"/>
      <c r="P85" s="601"/>
      <c r="Q85" s="577"/>
      <c r="R85" s="577"/>
      <c r="S85" s="577"/>
      <c r="T85" s="577"/>
      <c r="U85" s="577"/>
      <c r="V85" s="577"/>
      <c r="W85" s="577"/>
      <c r="X85" s="577"/>
    </row>
    <row r="86" spans="1:24" ht="13.2">
      <c r="A86" s="602" t="s">
        <v>965</v>
      </c>
      <c r="B86" s="603"/>
      <c r="C86" s="603"/>
      <c r="D86" s="603"/>
      <c r="E86" s="603"/>
      <c r="F86" s="603"/>
      <c r="G86" s="603"/>
      <c r="H86" s="603"/>
      <c r="I86" s="603"/>
      <c r="J86" s="603"/>
      <c r="K86" s="603"/>
      <c r="L86" s="603"/>
      <c r="M86" s="603"/>
      <c r="N86" s="603"/>
      <c r="O86" s="603"/>
      <c r="P86" s="603"/>
      <c r="Q86" s="604"/>
      <c r="R86" s="604"/>
      <c r="S86" s="604"/>
      <c r="T86" s="604"/>
      <c r="U86" s="604"/>
      <c r="V86" s="604"/>
      <c r="W86" s="604"/>
      <c r="X86" s="604"/>
    </row>
    <row r="87" spans="1:24" ht="13.2">
      <c r="A87" s="940" t="s">
        <v>1105</v>
      </c>
      <c r="B87" s="523"/>
      <c r="C87" s="523"/>
      <c r="D87" s="523"/>
      <c r="E87" s="523"/>
      <c r="F87" s="523"/>
      <c r="G87" s="523"/>
      <c r="H87" s="523"/>
      <c r="I87" s="523"/>
      <c r="J87" s="523"/>
      <c r="K87" s="523"/>
      <c r="L87" s="523"/>
      <c r="M87" s="523"/>
      <c r="N87" s="523"/>
      <c r="O87" s="523"/>
      <c r="P87" s="523"/>
      <c r="Q87" s="605"/>
      <c r="R87" s="605"/>
      <c r="S87" s="605"/>
      <c r="T87" s="605"/>
      <c r="U87" s="605"/>
      <c r="V87" s="605"/>
      <c r="W87" s="605"/>
      <c r="X87" s="605"/>
    </row>
    <row r="88" spans="1:24" ht="11.25" customHeight="1" thickBot="1">
      <c r="A88" s="524"/>
      <c r="B88" s="524"/>
      <c r="C88" s="524"/>
      <c r="D88" s="524"/>
      <c r="E88" s="524"/>
      <c r="F88" s="524"/>
      <c r="G88" s="524"/>
      <c r="H88" s="524"/>
      <c r="I88" s="524"/>
      <c r="J88" s="524"/>
      <c r="K88" s="524"/>
      <c r="L88" s="524"/>
      <c r="M88" s="524"/>
      <c r="N88" s="524"/>
      <c r="O88" s="524"/>
      <c r="P88" s="524"/>
      <c r="Q88" s="605"/>
      <c r="R88" s="605"/>
      <c r="S88" s="605"/>
      <c r="T88" s="605"/>
      <c r="U88" s="605"/>
      <c r="V88" s="605"/>
      <c r="W88" s="605"/>
      <c r="X88" s="605"/>
    </row>
    <row r="89" spans="1:24" ht="14.25" customHeight="1">
      <c r="A89" s="568"/>
      <c r="B89" s="1157" t="s">
        <v>966</v>
      </c>
      <c r="C89" s="1157"/>
      <c r="D89" s="1157"/>
      <c r="E89" s="568"/>
      <c r="F89" s="1157" t="s">
        <v>967</v>
      </c>
      <c r="G89" s="1157"/>
      <c r="H89" s="1157"/>
      <c r="I89" s="568"/>
      <c r="J89" s="1157" t="s">
        <v>968</v>
      </c>
      <c r="K89" s="1157"/>
      <c r="L89" s="1157"/>
      <c r="M89" s="568"/>
      <c r="N89" s="1157" t="s">
        <v>969</v>
      </c>
      <c r="O89" s="1157"/>
      <c r="P89" s="1157"/>
      <c r="Q89" s="606"/>
      <c r="R89" s="606"/>
      <c r="S89" s="606"/>
      <c r="T89" s="606"/>
      <c r="U89" s="606"/>
      <c r="V89" s="606"/>
      <c r="W89" s="606"/>
      <c r="X89" s="606"/>
    </row>
    <row r="90" spans="1:24" ht="12" customHeight="1">
      <c r="A90" s="607" t="s">
        <v>33</v>
      </c>
      <c r="B90" s="608" t="s">
        <v>970</v>
      </c>
      <c r="C90" s="525"/>
      <c r="D90" s="608" t="s">
        <v>971</v>
      </c>
      <c r="E90" s="525"/>
      <c r="F90" s="608" t="s">
        <v>970</v>
      </c>
      <c r="G90" s="525"/>
      <c r="H90" s="608" t="s">
        <v>971</v>
      </c>
      <c r="I90" s="525"/>
      <c r="J90" s="608" t="s">
        <v>970</v>
      </c>
      <c r="K90" s="525"/>
      <c r="L90" s="608" t="s">
        <v>971</v>
      </c>
      <c r="M90" s="525"/>
      <c r="N90" s="608" t="s">
        <v>970</v>
      </c>
      <c r="O90" s="525"/>
      <c r="P90" s="608" t="s">
        <v>971</v>
      </c>
      <c r="Q90" s="609"/>
      <c r="R90" s="609"/>
      <c r="S90" s="609"/>
      <c r="T90" s="609"/>
      <c r="U90" s="609"/>
      <c r="V90" s="609"/>
      <c r="W90" s="609"/>
      <c r="X90" s="609"/>
    </row>
    <row r="91" spans="1:24" ht="8.25" customHeight="1">
      <c r="B91" s="614"/>
      <c r="C91" s="617"/>
      <c r="D91" s="614"/>
      <c r="E91" s="617"/>
      <c r="F91" s="614"/>
      <c r="G91" s="617"/>
      <c r="H91" s="614"/>
      <c r="I91" s="617"/>
      <c r="J91" s="614"/>
      <c r="K91" s="617"/>
      <c r="L91" s="614"/>
      <c r="M91" s="617"/>
      <c r="N91" s="614"/>
      <c r="O91" s="617"/>
      <c r="P91" s="616"/>
      <c r="Q91" s="613"/>
      <c r="R91" s="613"/>
      <c r="S91" s="613"/>
      <c r="T91" s="613"/>
      <c r="U91" s="613"/>
      <c r="V91" s="613"/>
      <c r="W91" s="613"/>
      <c r="X91" s="613"/>
    </row>
    <row r="92" spans="1:24" ht="12" customHeight="1">
      <c r="A92" s="518" t="s">
        <v>150</v>
      </c>
      <c r="B92" s="610">
        <v>150986884</v>
      </c>
      <c r="C92" s="611"/>
      <c r="D92" s="610">
        <v>4229081.4400000004</v>
      </c>
      <c r="E92" s="611"/>
      <c r="F92" s="610">
        <v>803040</v>
      </c>
      <c r="G92" s="611"/>
      <c r="H92" s="610">
        <v>10038.02</v>
      </c>
      <c r="I92" s="611"/>
      <c r="J92" s="610">
        <v>0</v>
      </c>
      <c r="K92" s="611"/>
      <c r="L92" s="610">
        <v>0</v>
      </c>
      <c r="M92" s="611"/>
      <c r="N92" s="610">
        <v>103605195</v>
      </c>
      <c r="O92" s="611"/>
      <c r="P92" s="612">
        <v>662086.83000000007</v>
      </c>
      <c r="Q92" s="613"/>
      <c r="R92" s="613"/>
      <c r="S92" s="613"/>
      <c r="T92" s="613"/>
      <c r="U92" s="613"/>
      <c r="V92" s="613"/>
      <c r="W92" s="613"/>
      <c r="X92" s="613"/>
    </row>
    <row r="93" spans="1:24" ht="12" customHeight="1">
      <c r="A93" s="518" t="s">
        <v>152</v>
      </c>
      <c r="B93" s="615">
        <v>178627448</v>
      </c>
      <c r="C93" s="615"/>
      <c r="D93" s="615">
        <v>6524899.8900000006</v>
      </c>
      <c r="E93" s="615"/>
      <c r="F93" s="615">
        <v>407528</v>
      </c>
      <c r="G93" s="615"/>
      <c r="H93" s="615">
        <v>6112.93</v>
      </c>
      <c r="I93" s="615"/>
      <c r="J93" s="615">
        <v>0</v>
      </c>
      <c r="K93" s="615"/>
      <c r="L93" s="615">
        <v>0</v>
      </c>
      <c r="M93" s="615"/>
      <c r="N93" s="615">
        <v>110051084</v>
      </c>
      <c r="O93" s="615"/>
      <c r="P93" s="615">
        <v>891833.06</v>
      </c>
      <c r="Q93" s="613"/>
      <c r="R93" s="613"/>
      <c r="S93" s="613"/>
      <c r="T93" s="613"/>
      <c r="U93" s="613"/>
      <c r="V93" s="613"/>
      <c r="W93" s="613"/>
      <c r="X93" s="613"/>
    </row>
    <row r="94" spans="1:24" ht="12" customHeight="1">
      <c r="A94" s="518" t="s">
        <v>154</v>
      </c>
      <c r="B94" s="615">
        <v>98534100</v>
      </c>
      <c r="C94" s="623"/>
      <c r="D94" s="615">
        <v>3112359.77</v>
      </c>
      <c r="E94" s="623"/>
      <c r="F94" s="615">
        <v>4387300</v>
      </c>
      <c r="G94" s="623"/>
      <c r="H94" s="615">
        <v>87746</v>
      </c>
      <c r="I94" s="623"/>
      <c r="J94" s="615">
        <v>0</v>
      </c>
      <c r="K94" s="623"/>
      <c r="L94" s="615">
        <v>0</v>
      </c>
      <c r="M94" s="623"/>
      <c r="N94" s="615">
        <v>49708100</v>
      </c>
      <c r="O94" s="623"/>
      <c r="P94" s="615">
        <v>281187.09999999998</v>
      </c>
      <c r="Q94" s="613"/>
      <c r="R94" s="613"/>
      <c r="S94" s="613"/>
      <c r="T94" s="613"/>
      <c r="U94" s="613"/>
      <c r="V94" s="613"/>
      <c r="W94" s="613"/>
      <c r="X94" s="613"/>
    </row>
    <row r="95" spans="1:24" ht="12" customHeight="1">
      <c r="A95" s="518" t="s">
        <v>156</v>
      </c>
      <c r="B95" s="615">
        <v>107527867</v>
      </c>
      <c r="C95" s="623"/>
      <c r="D95" s="615">
        <v>3661856</v>
      </c>
      <c r="E95" s="623"/>
      <c r="F95" s="615">
        <v>4893424</v>
      </c>
      <c r="G95" s="623"/>
      <c r="H95" s="615">
        <v>176163</v>
      </c>
      <c r="I95" s="623"/>
      <c r="J95" s="615">
        <v>4645252</v>
      </c>
      <c r="K95" s="623"/>
      <c r="L95" s="615">
        <v>46452</v>
      </c>
      <c r="M95" s="623"/>
      <c r="N95" s="615">
        <v>41926278</v>
      </c>
      <c r="O95" s="623"/>
      <c r="P95" s="615">
        <v>176090</v>
      </c>
      <c r="Q95" s="613"/>
      <c r="R95" s="613"/>
      <c r="S95" s="613"/>
      <c r="T95" s="613"/>
      <c r="U95" s="613"/>
      <c r="V95" s="613"/>
      <c r="W95" s="613"/>
      <c r="X95" s="613"/>
    </row>
    <row r="96" spans="1:24" ht="12" customHeight="1">
      <c r="A96" s="518" t="s">
        <v>158</v>
      </c>
      <c r="B96" s="615">
        <v>81177975</v>
      </c>
      <c r="C96" s="623"/>
      <c r="D96" s="615">
        <v>2717476.26</v>
      </c>
      <c r="E96" s="623"/>
      <c r="F96" s="615">
        <v>11206743</v>
      </c>
      <c r="G96" s="623"/>
      <c r="H96" s="615">
        <v>151291.04999999999</v>
      </c>
      <c r="I96" s="623"/>
      <c r="J96" s="615">
        <v>0</v>
      </c>
      <c r="K96" s="626"/>
      <c r="L96" s="615">
        <v>0</v>
      </c>
      <c r="M96" s="626"/>
      <c r="N96" s="615">
        <v>77364396</v>
      </c>
      <c r="O96" s="623"/>
      <c r="P96" s="615">
        <v>352867.16</v>
      </c>
      <c r="Q96" s="613"/>
      <c r="R96" s="613"/>
      <c r="S96" s="613"/>
      <c r="T96" s="613"/>
      <c r="U96" s="613"/>
      <c r="V96" s="613"/>
      <c r="W96" s="613"/>
      <c r="X96" s="613"/>
    </row>
    <row r="97" spans="1:24" ht="8.25" customHeight="1">
      <c r="B97" s="615"/>
      <c r="C97" s="623"/>
      <c r="D97" s="615"/>
      <c r="E97" s="623"/>
      <c r="F97" s="615"/>
      <c r="G97" s="623"/>
      <c r="H97" s="615"/>
      <c r="I97" s="623"/>
      <c r="J97" s="615"/>
      <c r="K97" s="626"/>
      <c r="L97" s="615"/>
      <c r="M97" s="626"/>
      <c r="N97" s="615"/>
      <c r="O97" s="623"/>
      <c r="P97" s="615"/>
      <c r="Q97" s="629"/>
      <c r="R97" s="629"/>
      <c r="S97" s="629"/>
      <c r="T97" s="629"/>
      <c r="U97" s="629"/>
      <c r="V97" s="629"/>
      <c r="W97" s="629"/>
      <c r="X97" s="629"/>
    </row>
    <row r="98" spans="1:24" ht="12" customHeight="1">
      <c r="A98" s="518" t="s">
        <v>160</v>
      </c>
      <c r="B98" s="615">
        <v>297222093</v>
      </c>
      <c r="C98" s="623"/>
      <c r="D98" s="615">
        <v>10191192.82</v>
      </c>
      <c r="E98" s="623"/>
      <c r="F98" s="615">
        <v>27486445</v>
      </c>
      <c r="G98" s="623"/>
      <c r="H98" s="615">
        <v>503276.81</v>
      </c>
      <c r="I98" s="623"/>
      <c r="J98" s="615">
        <v>37390682</v>
      </c>
      <c r="K98" s="623"/>
      <c r="L98" s="615">
        <v>149562.72</v>
      </c>
      <c r="M98" s="623"/>
      <c r="N98" s="615">
        <v>151135236</v>
      </c>
      <c r="O98" s="623"/>
      <c r="P98" s="615">
        <v>1095251.6600000001</v>
      </c>
      <c r="Q98" s="613"/>
      <c r="R98" s="613"/>
      <c r="S98" s="613"/>
      <c r="T98" s="613"/>
      <c r="U98" s="613"/>
      <c r="V98" s="613"/>
      <c r="W98" s="613"/>
      <c r="X98" s="613"/>
    </row>
    <row r="99" spans="1:24" ht="12" customHeight="1">
      <c r="A99" s="518" t="s">
        <v>162</v>
      </c>
      <c r="B99" s="615">
        <v>203698920</v>
      </c>
      <c r="C99" s="623"/>
      <c r="D99" s="615">
        <v>7690944.0499999998</v>
      </c>
      <c r="E99" s="623"/>
      <c r="F99" s="615">
        <v>24092960</v>
      </c>
      <c r="G99" s="623"/>
      <c r="H99" s="615">
        <v>481859.2</v>
      </c>
      <c r="I99" s="623"/>
      <c r="J99" s="615">
        <v>0</v>
      </c>
      <c r="K99" s="626"/>
      <c r="L99" s="615">
        <v>0</v>
      </c>
      <c r="M99" s="626"/>
      <c r="N99" s="615">
        <v>68183500</v>
      </c>
      <c r="O99" s="623"/>
      <c r="P99" s="615">
        <v>455694.47</v>
      </c>
      <c r="Q99" s="613"/>
      <c r="R99" s="613"/>
      <c r="S99" s="613"/>
      <c r="T99" s="613"/>
      <c r="U99" s="613"/>
      <c r="V99" s="613"/>
      <c r="W99" s="613"/>
      <c r="X99" s="613"/>
    </row>
    <row r="100" spans="1:24" ht="12" customHeight="1">
      <c r="A100" s="518" t="s">
        <v>163</v>
      </c>
      <c r="B100" s="615">
        <v>163831979</v>
      </c>
      <c r="C100" s="623"/>
      <c r="D100" s="615">
        <v>2598578</v>
      </c>
      <c r="E100" s="623"/>
      <c r="F100" s="615">
        <v>34548797</v>
      </c>
      <c r="G100" s="623"/>
      <c r="H100" s="615">
        <v>590784</v>
      </c>
      <c r="I100" s="623"/>
      <c r="J100" s="614">
        <v>0</v>
      </c>
      <c r="K100" s="626"/>
      <c r="L100" s="615">
        <v>0</v>
      </c>
      <c r="M100" s="626"/>
      <c r="N100" s="615">
        <v>52520654</v>
      </c>
      <c r="O100" s="623"/>
      <c r="P100" s="615">
        <v>252245.94999999998</v>
      </c>
      <c r="Q100" s="613"/>
      <c r="R100" s="613"/>
      <c r="S100" s="613"/>
      <c r="T100" s="613"/>
      <c r="U100" s="613"/>
      <c r="V100" s="613"/>
      <c r="W100" s="613"/>
      <c r="X100" s="613"/>
    </row>
    <row r="101" spans="1:24" ht="12" customHeight="1">
      <c r="A101" s="518" t="s">
        <v>165</v>
      </c>
      <c r="B101" s="615">
        <v>167855660</v>
      </c>
      <c r="C101" s="623"/>
      <c r="D101" s="615">
        <v>10738999.639999999</v>
      </c>
      <c r="E101" s="623"/>
      <c r="F101" s="615">
        <v>33788290</v>
      </c>
      <c r="G101" s="623"/>
      <c r="H101" s="615">
        <v>1520473.05</v>
      </c>
      <c r="I101" s="623"/>
      <c r="J101" s="615">
        <v>9026590</v>
      </c>
      <c r="K101" s="623"/>
      <c r="L101" s="615">
        <v>248233.91</v>
      </c>
      <c r="M101" s="623"/>
      <c r="N101" s="615">
        <v>345417447</v>
      </c>
      <c r="O101" s="623"/>
      <c r="P101" s="615">
        <v>2053293.21</v>
      </c>
      <c r="Q101" s="613"/>
      <c r="R101" s="613"/>
      <c r="S101" s="613"/>
      <c r="T101" s="613"/>
      <c r="U101" s="613"/>
      <c r="V101" s="613"/>
      <c r="W101" s="613"/>
      <c r="X101" s="613"/>
    </row>
    <row r="102" spans="1:24" ht="12" customHeight="1">
      <c r="A102" s="518" t="s">
        <v>167</v>
      </c>
      <c r="B102" s="615">
        <v>222854938</v>
      </c>
      <c r="C102" s="623"/>
      <c r="D102" s="615">
        <v>7975783.8899999997</v>
      </c>
      <c r="E102" s="623"/>
      <c r="F102" s="615">
        <v>9330975</v>
      </c>
      <c r="G102" s="623"/>
      <c r="H102" s="615">
        <v>335915.1</v>
      </c>
      <c r="I102" s="623"/>
      <c r="J102" s="615">
        <v>0</v>
      </c>
      <c r="K102" s="623"/>
      <c r="L102" s="615">
        <v>0</v>
      </c>
      <c r="M102" s="623"/>
      <c r="N102" s="615">
        <v>87019206</v>
      </c>
      <c r="O102" s="623"/>
      <c r="P102" s="615">
        <v>786078.05999999994</v>
      </c>
      <c r="Q102" s="613"/>
      <c r="R102" s="613"/>
      <c r="S102" s="613"/>
      <c r="T102" s="613"/>
      <c r="U102" s="613"/>
      <c r="V102" s="613"/>
      <c r="W102" s="613"/>
      <c r="X102" s="613"/>
    </row>
    <row r="103" spans="1:24" ht="8.25" customHeight="1">
      <c r="B103" s="621"/>
      <c r="C103" s="617"/>
      <c r="D103" s="621"/>
      <c r="E103" s="617"/>
      <c r="F103" s="621"/>
      <c r="G103" s="617"/>
      <c r="H103" s="621"/>
      <c r="I103" s="617"/>
      <c r="J103" s="621"/>
      <c r="K103" s="617"/>
      <c r="L103" s="621"/>
      <c r="M103" s="617"/>
      <c r="N103" s="621"/>
      <c r="O103" s="617"/>
      <c r="P103" s="628"/>
      <c r="Q103" s="613"/>
      <c r="R103" s="613"/>
      <c r="S103" s="613"/>
      <c r="T103" s="613"/>
      <c r="U103" s="613"/>
      <c r="V103" s="613"/>
      <c r="W103" s="613"/>
      <c r="X103" s="613"/>
    </row>
    <row r="104" spans="1:24" ht="12" customHeight="1">
      <c r="A104" s="518" t="s">
        <v>168</v>
      </c>
      <c r="B104" s="615">
        <v>115289213</v>
      </c>
      <c r="C104" s="615"/>
      <c r="D104" s="615">
        <v>4791991.71</v>
      </c>
      <c r="E104" s="615"/>
      <c r="F104" s="615">
        <v>623875</v>
      </c>
      <c r="G104" s="615"/>
      <c r="H104" s="615">
        <v>26202.75</v>
      </c>
      <c r="I104" s="615"/>
      <c r="J104" s="615">
        <v>54516900</v>
      </c>
      <c r="K104" s="615"/>
      <c r="L104" s="615">
        <v>381618.3</v>
      </c>
      <c r="M104" s="615"/>
      <c r="N104" s="615">
        <v>83433739</v>
      </c>
      <c r="O104" s="615"/>
      <c r="P104" s="615">
        <v>362341.56</v>
      </c>
      <c r="Q104" s="613"/>
      <c r="R104" s="613"/>
      <c r="S104" s="613"/>
      <c r="T104" s="613"/>
      <c r="U104" s="613"/>
      <c r="V104" s="613"/>
      <c r="W104" s="613"/>
      <c r="X104" s="613"/>
    </row>
    <row r="105" spans="1:24" ht="12" customHeight="1">
      <c r="A105" s="518" t="s">
        <v>170</v>
      </c>
      <c r="B105" s="615">
        <v>252563957</v>
      </c>
      <c r="C105" s="623"/>
      <c r="D105" s="615">
        <v>10314814.57</v>
      </c>
      <c r="E105" s="623"/>
      <c r="F105" s="615">
        <v>28644294</v>
      </c>
      <c r="G105" s="623"/>
      <c r="H105" s="615">
        <v>429665.29</v>
      </c>
      <c r="I105" s="623"/>
      <c r="J105" s="615">
        <v>0</v>
      </c>
      <c r="K105" s="626"/>
      <c r="L105" s="615">
        <v>0</v>
      </c>
      <c r="M105" s="626"/>
      <c r="N105" s="615">
        <v>118764823</v>
      </c>
      <c r="O105" s="623"/>
      <c r="P105" s="615">
        <v>950118.58</v>
      </c>
      <c r="Q105" s="613"/>
      <c r="R105" s="613"/>
      <c r="S105" s="613"/>
      <c r="T105" s="613"/>
      <c r="U105" s="613"/>
      <c r="V105" s="613"/>
      <c r="W105" s="613"/>
      <c r="X105" s="613"/>
    </row>
    <row r="106" spans="1:24" ht="12" customHeight="1">
      <c r="A106" s="518" t="s">
        <v>172</v>
      </c>
      <c r="B106" s="615">
        <v>4063486030</v>
      </c>
      <c r="C106" s="623"/>
      <c r="D106" s="615">
        <v>143401605.65000001</v>
      </c>
      <c r="E106" s="623"/>
      <c r="F106" s="615">
        <v>22424525</v>
      </c>
      <c r="G106" s="623"/>
      <c r="H106" s="615">
        <v>448490.5</v>
      </c>
      <c r="I106" s="623"/>
      <c r="J106" s="615">
        <v>0</v>
      </c>
      <c r="K106" s="626"/>
      <c r="L106" s="615">
        <v>0</v>
      </c>
      <c r="M106" s="626"/>
      <c r="N106" s="615">
        <v>1526497123</v>
      </c>
      <c r="O106" s="623"/>
      <c r="P106" s="615">
        <v>18567958.040240001</v>
      </c>
      <c r="Q106" s="613"/>
      <c r="R106" s="613"/>
      <c r="S106" s="613"/>
      <c r="T106" s="613"/>
      <c r="U106" s="613"/>
      <c r="V106" s="613"/>
      <c r="W106" s="613"/>
      <c r="X106" s="613"/>
    </row>
    <row r="107" spans="1:24" ht="12" customHeight="1">
      <c r="A107" s="518" t="s">
        <v>174</v>
      </c>
      <c r="B107" s="615">
        <v>489247321</v>
      </c>
      <c r="C107" s="623"/>
      <c r="D107" s="615">
        <v>6479378.6399999997</v>
      </c>
      <c r="E107" s="623"/>
      <c r="F107" s="615">
        <v>187946761</v>
      </c>
      <c r="G107" s="623"/>
      <c r="H107" s="615">
        <v>2819201.55</v>
      </c>
      <c r="I107" s="623"/>
      <c r="J107" s="615">
        <v>0</v>
      </c>
      <c r="K107" s="623"/>
      <c r="L107" s="615">
        <v>0</v>
      </c>
      <c r="M107" s="623"/>
      <c r="N107" s="615">
        <v>135832128</v>
      </c>
      <c r="O107" s="623"/>
      <c r="P107" s="615">
        <v>738414.53</v>
      </c>
      <c r="Q107" s="613"/>
      <c r="R107" s="613"/>
      <c r="S107" s="613"/>
      <c r="T107" s="613"/>
      <c r="U107" s="613"/>
      <c r="V107" s="613"/>
      <c r="W107" s="613"/>
      <c r="X107" s="613"/>
    </row>
    <row r="108" spans="1:24" ht="12" customHeight="1">
      <c r="A108" s="518" t="s">
        <v>176</v>
      </c>
      <c r="B108" s="615">
        <v>59270935</v>
      </c>
      <c r="C108" s="623"/>
      <c r="D108" s="615">
        <v>2366695.8400000003</v>
      </c>
      <c r="E108" s="623"/>
      <c r="F108" s="615">
        <v>0</v>
      </c>
      <c r="G108" s="626"/>
      <c r="H108" s="615">
        <v>0</v>
      </c>
      <c r="I108" s="626"/>
      <c r="J108" s="615">
        <v>0</v>
      </c>
      <c r="K108" s="626"/>
      <c r="L108" s="615">
        <v>0</v>
      </c>
      <c r="M108" s="626"/>
      <c r="N108" s="615">
        <v>51441940</v>
      </c>
      <c r="O108" s="623"/>
      <c r="P108" s="615">
        <v>313795.83</v>
      </c>
      <c r="Q108" s="613"/>
      <c r="R108" s="613"/>
      <c r="S108" s="613"/>
      <c r="T108" s="613"/>
      <c r="U108" s="613"/>
      <c r="V108" s="613"/>
      <c r="W108" s="613"/>
      <c r="X108" s="613"/>
    </row>
    <row r="109" spans="1:24" ht="8.25" customHeight="1">
      <c r="B109" s="615"/>
      <c r="C109" s="623"/>
      <c r="D109" s="615"/>
      <c r="E109" s="623"/>
      <c r="F109" s="615"/>
      <c r="G109" s="626"/>
      <c r="H109" s="615"/>
      <c r="I109" s="626"/>
      <c r="J109" s="615"/>
      <c r="K109" s="626"/>
      <c r="L109" s="615"/>
      <c r="M109" s="626"/>
      <c r="N109" s="615"/>
      <c r="O109" s="623"/>
      <c r="P109" s="615"/>
      <c r="Q109" s="629"/>
      <c r="R109" s="629"/>
      <c r="S109" s="629"/>
      <c r="T109" s="629"/>
      <c r="U109" s="629"/>
      <c r="V109" s="629"/>
      <c r="W109" s="629"/>
      <c r="X109" s="629"/>
    </row>
    <row r="110" spans="1:24" ht="12" customHeight="1">
      <c r="A110" s="518" t="s">
        <v>178</v>
      </c>
      <c r="B110" s="615">
        <v>57731710</v>
      </c>
      <c r="C110" s="623"/>
      <c r="D110" s="615">
        <v>1962567.6799999999</v>
      </c>
      <c r="E110" s="623"/>
      <c r="F110" s="615">
        <v>3316309</v>
      </c>
      <c r="G110" s="623"/>
      <c r="H110" s="615">
        <v>331.63</v>
      </c>
      <c r="I110" s="623"/>
      <c r="J110" s="615">
        <v>1626543</v>
      </c>
      <c r="K110" s="623"/>
      <c r="L110" s="615">
        <v>56929.01</v>
      </c>
      <c r="M110" s="623"/>
      <c r="N110" s="615">
        <v>56382463</v>
      </c>
      <c r="O110" s="623"/>
      <c r="P110" s="615">
        <v>419599.61</v>
      </c>
      <c r="Q110" s="613"/>
      <c r="R110" s="613"/>
      <c r="S110" s="613"/>
      <c r="T110" s="613"/>
      <c r="U110" s="613"/>
      <c r="V110" s="613"/>
      <c r="W110" s="613"/>
      <c r="X110" s="613"/>
    </row>
    <row r="111" spans="1:24" ht="12" customHeight="1">
      <c r="A111" s="518" t="s">
        <v>37</v>
      </c>
      <c r="B111" s="615">
        <v>748882460</v>
      </c>
      <c r="C111" s="615"/>
      <c r="D111" s="615">
        <v>25574741.259999998</v>
      </c>
      <c r="E111" s="615"/>
      <c r="F111" s="615">
        <v>65273940</v>
      </c>
      <c r="G111" s="615"/>
      <c r="H111" s="615">
        <v>1958218.2</v>
      </c>
      <c r="I111" s="615"/>
      <c r="J111" s="615">
        <v>0</v>
      </c>
      <c r="K111" s="615"/>
      <c r="L111" s="615">
        <v>0</v>
      </c>
      <c r="M111" s="615"/>
      <c r="N111" s="615">
        <v>264707966</v>
      </c>
      <c r="O111" s="615"/>
      <c r="P111" s="615">
        <v>2944297.41</v>
      </c>
      <c r="Q111" s="613"/>
      <c r="R111" s="613"/>
      <c r="S111" s="613"/>
      <c r="T111" s="613"/>
      <c r="U111" s="613"/>
      <c r="V111" s="613"/>
      <c r="W111" s="613"/>
      <c r="X111" s="613"/>
    </row>
    <row r="112" spans="1:24" ht="12" customHeight="1">
      <c r="A112" s="518" t="s">
        <v>180</v>
      </c>
      <c r="B112" s="615">
        <v>188157534</v>
      </c>
      <c r="C112" s="615"/>
      <c r="D112" s="615">
        <v>7759012.1500000004</v>
      </c>
      <c r="E112" s="615"/>
      <c r="F112" s="615">
        <v>14352182</v>
      </c>
      <c r="G112" s="615"/>
      <c r="H112" s="615">
        <v>365980.64</v>
      </c>
      <c r="I112" s="615"/>
      <c r="J112" s="615">
        <v>0</v>
      </c>
      <c r="K112" s="615"/>
      <c r="L112" s="615">
        <v>0</v>
      </c>
      <c r="M112" s="615"/>
      <c r="N112" s="615">
        <v>130966279</v>
      </c>
      <c r="O112" s="615"/>
      <c r="P112" s="615">
        <v>838184.18</v>
      </c>
      <c r="Q112" s="613"/>
      <c r="R112" s="613"/>
      <c r="S112" s="613"/>
      <c r="T112" s="613"/>
      <c r="U112" s="613"/>
      <c r="V112" s="613"/>
      <c r="W112" s="613"/>
      <c r="X112" s="613"/>
    </row>
    <row r="113" spans="1:24" ht="12" customHeight="1">
      <c r="A113" s="518" t="s">
        <v>181</v>
      </c>
      <c r="B113" s="615">
        <v>709348205</v>
      </c>
      <c r="C113" s="615"/>
      <c r="D113" s="615">
        <v>17667374</v>
      </c>
      <c r="E113" s="615"/>
      <c r="F113" s="615">
        <v>406759560</v>
      </c>
      <c r="G113" s="615"/>
      <c r="H113" s="615">
        <v>10372369</v>
      </c>
      <c r="I113" s="615"/>
      <c r="J113" s="615">
        <v>133236500</v>
      </c>
      <c r="K113" s="615"/>
      <c r="L113" s="615">
        <v>1159158</v>
      </c>
      <c r="M113" s="615"/>
      <c r="N113" s="615">
        <v>229884448</v>
      </c>
      <c r="O113" s="615"/>
      <c r="P113" s="615">
        <v>1492452</v>
      </c>
      <c r="Q113" s="613"/>
      <c r="R113" s="613"/>
      <c r="S113" s="613"/>
      <c r="T113" s="613"/>
      <c r="U113" s="613"/>
      <c r="V113" s="613"/>
      <c r="W113" s="613"/>
      <c r="X113" s="613"/>
    </row>
    <row r="114" spans="1:24" ht="12" customHeight="1">
      <c r="A114" s="520" t="s">
        <v>183</v>
      </c>
      <c r="B114" s="615">
        <v>316295869</v>
      </c>
      <c r="C114" s="623"/>
      <c r="D114" s="615">
        <v>5247844.3299999991</v>
      </c>
      <c r="E114" s="623"/>
      <c r="F114" s="615">
        <v>86317454</v>
      </c>
      <c r="G114" s="623"/>
      <c r="H114" s="615">
        <v>1424240.21</v>
      </c>
      <c r="I114" s="623"/>
      <c r="J114" s="615">
        <v>5631601</v>
      </c>
      <c r="K114" s="623"/>
      <c r="L114" s="615">
        <v>36605.730000000003</v>
      </c>
      <c r="M114" s="623"/>
      <c r="N114" s="615">
        <v>213658711</v>
      </c>
      <c r="O114" s="623"/>
      <c r="P114" s="615">
        <v>1506753.6099999999</v>
      </c>
      <c r="Q114" s="613"/>
      <c r="R114" s="613"/>
      <c r="S114" s="613"/>
      <c r="T114" s="613"/>
      <c r="U114" s="613"/>
      <c r="V114" s="613"/>
      <c r="W114" s="613"/>
      <c r="X114" s="613"/>
    </row>
    <row r="115" spans="1:24" ht="8.25" customHeight="1"/>
    <row r="116" spans="1:24" ht="12" customHeight="1">
      <c r="A116" s="518" t="s">
        <v>185</v>
      </c>
      <c r="B116" s="616">
        <v>148301385</v>
      </c>
      <c r="C116" s="627"/>
      <c r="D116" s="616">
        <v>1877008.22</v>
      </c>
      <c r="E116" s="616"/>
      <c r="F116" s="616">
        <v>24890831</v>
      </c>
      <c r="G116" s="616"/>
      <c r="H116" s="616">
        <v>179213.98</v>
      </c>
      <c r="I116" s="616"/>
      <c r="J116" s="616">
        <v>16949448</v>
      </c>
      <c r="K116" s="628"/>
      <c r="L116" s="616">
        <v>122036.08</v>
      </c>
      <c r="M116" s="628"/>
      <c r="N116" s="616">
        <v>102199598</v>
      </c>
      <c r="O116" s="616"/>
      <c r="P116" s="616">
        <v>708781.96</v>
      </c>
      <c r="Q116" s="613"/>
      <c r="R116" s="613"/>
      <c r="S116" s="613"/>
      <c r="T116" s="613"/>
      <c r="U116" s="613"/>
      <c r="V116" s="613"/>
      <c r="W116" s="613"/>
      <c r="X116" s="613"/>
    </row>
    <row r="117" spans="1:24" ht="12" customHeight="1">
      <c r="A117" s="518" t="s">
        <v>187</v>
      </c>
      <c r="B117" s="615">
        <v>365250152</v>
      </c>
      <c r="C117" s="615"/>
      <c r="D117" s="615">
        <v>15528116.720000001</v>
      </c>
      <c r="E117" s="615"/>
      <c r="F117" s="615">
        <v>75605601</v>
      </c>
      <c r="G117" s="615"/>
      <c r="H117" s="615">
        <v>2381576.4300000002</v>
      </c>
      <c r="I117" s="615"/>
      <c r="J117" s="615">
        <v>45561496</v>
      </c>
      <c r="K117" s="615"/>
      <c r="L117" s="615">
        <v>273368.98</v>
      </c>
      <c r="M117" s="615"/>
      <c r="N117" s="615">
        <v>195008710</v>
      </c>
      <c r="O117" s="615"/>
      <c r="P117" s="615">
        <v>1006582.1599999999</v>
      </c>
      <c r="Q117" s="613"/>
      <c r="R117" s="613"/>
      <c r="S117" s="613"/>
      <c r="T117" s="613"/>
      <c r="U117" s="613"/>
      <c r="V117" s="613"/>
      <c r="W117" s="613"/>
      <c r="X117" s="613"/>
    </row>
    <row r="118" spans="1:24" ht="12" customHeight="1">
      <c r="A118" s="518" t="s">
        <v>189</v>
      </c>
      <c r="B118" s="615">
        <v>205758512</v>
      </c>
      <c r="C118" s="615"/>
      <c r="D118" s="615">
        <v>4572938.58</v>
      </c>
      <c r="E118" s="615"/>
      <c r="F118" s="615">
        <v>104146851</v>
      </c>
      <c r="G118" s="615"/>
      <c r="H118" s="615">
        <v>1614276.24</v>
      </c>
      <c r="I118" s="615"/>
      <c r="J118" s="615">
        <v>50338286</v>
      </c>
      <c r="K118" s="615"/>
      <c r="L118" s="615">
        <v>201353.16</v>
      </c>
      <c r="M118" s="615"/>
      <c r="N118" s="615">
        <v>129288119</v>
      </c>
      <c r="O118" s="615"/>
      <c r="P118" s="615">
        <v>956732.1</v>
      </c>
      <c r="Q118" s="613"/>
      <c r="R118" s="613"/>
      <c r="S118" s="613"/>
      <c r="T118" s="613"/>
      <c r="U118" s="613"/>
      <c r="V118" s="613"/>
      <c r="W118" s="613"/>
      <c r="X118" s="613"/>
    </row>
    <row r="119" spans="1:24" ht="12" customHeight="1">
      <c r="A119" s="518" t="s">
        <v>191</v>
      </c>
      <c r="B119" s="615">
        <v>183928462</v>
      </c>
      <c r="C119" s="615"/>
      <c r="D119" s="615">
        <v>6886511.080000001</v>
      </c>
      <c r="E119" s="615"/>
      <c r="F119" s="615">
        <v>14486598</v>
      </c>
      <c r="G119" s="615"/>
      <c r="H119" s="615">
        <v>347678.35</v>
      </c>
      <c r="I119" s="615"/>
      <c r="J119" s="615">
        <v>10234997</v>
      </c>
      <c r="K119" s="615"/>
      <c r="L119" s="615">
        <v>51175.13</v>
      </c>
      <c r="M119" s="615"/>
      <c r="N119" s="615">
        <v>134451296</v>
      </c>
      <c r="O119" s="615"/>
      <c r="P119" s="615">
        <v>1012087.74</v>
      </c>
      <c r="Q119" s="613"/>
      <c r="R119" s="613"/>
      <c r="S119" s="613"/>
      <c r="T119" s="613"/>
      <c r="U119" s="613"/>
      <c r="V119" s="613"/>
      <c r="W119" s="613"/>
      <c r="X119" s="613"/>
    </row>
    <row r="120" spans="1:24" ht="12" customHeight="1">
      <c r="A120" s="518" t="s">
        <v>193</v>
      </c>
      <c r="B120" s="615">
        <v>857648651.69000006</v>
      </c>
      <c r="C120" s="623"/>
      <c r="D120" s="615">
        <v>52836004.987199999</v>
      </c>
      <c r="E120" s="623"/>
      <c r="F120" s="615">
        <v>32320744.640000001</v>
      </c>
      <c r="G120" s="623"/>
      <c r="H120" s="615">
        <v>802392.99100000004</v>
      </c>
      <c r="I120" s="623"/>
      <c r="J120" s="615">
        <v>0</v>
      </c>
      <c r="K120" s="626"/>
      <c r="L120" s="615">
        <v>0</v>
      </c>
      <c r="M120" s="626"/>
      <c r="N120" s="615">
        <v>300789478</v>
      </c>
      <c r="O120" s="623"/>
      <c r="P120" s="615">
        <v>2734055.2</v>
      </c>
      <c r="Q120" s="613"/>
      <c r="R120" s="613"/>
      <c r="S120" s="613"/>
      <c r="T120" s="613"/>
      <c r="U120" s="613"/>
      <c r="V120" s="613"/>
      <c r="W120" s="613"/>
      <c r="X120" s="613"/>
    </row>
    <row r="121" spans="1:24" ht="8.25" customHeight="1">
      <c r="B121" s="615"/>
      <c r="C121" s="623"/>
      <c r="D121" s="615"/>
      <c r="E121" s="623"/>
      <c r="F121" s="615"/>
      <c r="G121" s="623"/>
      <c r="H121" s="615"/>
      <c r="I121" s="623"/>
      <c r="J121" s="615"/>
      <c r="K121" s="626"/>
      <c r="L121" s="615"/>
      <c r="M121" s="626"/>
      <c r="N121" s="615"/>
      <c r="O121" s="623"/>
      <c r="P121" s="615"/>
      <c r="Q121" s="629"/>
      <c r="R121" s="629"/>
      <c r="S121" s="629"/>
      <c r="T121" s="629"/>
      <c r="U121" s="629"/>
      <c r="V121" s="629"/>
      <c r="W121" s="629"/>
      <c r="X121" s="629"/>
    </row>
    <row r="122" spans="1:24" ht="12" customHeight="1">
      <c r="A122" s="518" t="s">
        <v>195</v>
      </c>
      <c r="B122" s="615">
        <v>804458890</v>
      </c>
      <c r="C122" s="615"/>
      <c r="D122" s="615">
        <v>45678076.489999995</v>
      </c>
      <c r="E122" s="615"/>
      <c r="F122" s="615">
        <v>31047688</v>
      </c>
      <c r="G122" s="615"/>
      <c r="H122" s="615">
        <v>232983.63999999998</v>
      </c>
      <c r="I122" s="615"/>
      <c r="J122" s="615">
        <v>177798130</v>
      </c>
      <c r="K122" s="615"/>
      <c r="L122" s="615">
        <v>896373.43</v>
      </c>
      <c r="M122" s="615"/>
      <c r="N122" s="615">
        <v>380017778</v>
      </c>
      <c r="O122" s="615"/>
      <c r="P122" s="615">
        <v>4089887.59</v>
      </c>
      <c r="Q122" s="613"/>
      <c r="R122" s="613"/>
      <c r="S122" s="613"/>
      <c r="T122" s="613"/>
      <c r="U122" s="613"/>
      <c r="V122" s="613"/>
      <c r="W122" s="613"/>
      <c r="X122" s="613"/>
    </row>
    <row r="123" spans="1:24" ht="12" customHeight="1">
      <c r="A123" s="518" t="s">
        <v>197</v>
      </c>
      <c r="B123" s="615">
        <v>49854668</v>
      </c>
      <c r="C123" s="623"/>
      <c r="D123" s="615">
        <v>1899558.9</v>
      </c>
      <c r="E123" s="623"/>
      <c r="F123" s="615">
        <v>1733938</v>
      </c>
      <c r="G123" s="623"/>
      <c r="H123" s="615">
        <v>17339.38</v>
      </c>
      <c r="I123" s="623"/>
      <c r="J123" s="615">
        <v>0</v>
      </c>
      <c r="K123" s="626"/>
      <c r="L123" s="615">
        <v>0</v>
      </c>
      <c r="M123" s="626"/>
      <c r="N123" s="615">
        <v>1784211161</v>
      </c>
      <c r="O123" s="623"/>
      <c r="P123" s="615">
        <v>13043667.581299998</v>
      </c>
      <c r="Q123" s="613"/>
      <c r="R123" s="613"/>
      <c r="S123" s="613"/>
      <c r="T123" s="613"/>
      <c r="U123" s="613"/>
      <c r="V123" s="613"/>
      <c r="W123" s="613"/>
      <c r="X123" s="613"/>
    </row>
    <row r="124" spans="1:24" ht="12" customHeight="1">
      <c r="A124" s="518" t="s">
        <v>199</v>
      </c>
      <c r="B124" s="615">
        <v>68535563</v>
      </c>
      <c r="C124" s="615"/>
      <c r="D124" s="615">
        <v>3161793.13</v>
      </c>
      <c r="E124" s="615"/>
      <c r="F124" s="615">
        <v>47377210</v>
      </c>
      <c r="G124" s="615"/>
      <c r="H124" s="615">
        <v>1151266.19</v>
      </c>
      <c r="I124" s="615"/>
      <c r="J124" s="615">
        <v>13728234</v>
      </c>
      <c r="K124" s="615"/>
      <c r="L124" s="615">
        <v>137282.34</v>
      </c>
      <c r="M124" s="615"/>
      <c r="N124" s="615">
        <v>100096863</v>
      </c>
      <c r="O124" s="615"/>
      <c r="P124" s="615">
        <v>572019.94999999995</v>
      </c>
      <c r="Q124" s="613"/>
      <c r="R124" s="613"/>
      <c r="S124" s="613"/>
      <c r="T124" s="613"/>
      <c r="U124" s="613"/>
      <c r="V124" s="613"/>
      <c r="W124" s="613"/>
      <c r="X124" s="613"/>
    </row>
    <row r="125" spans="1:24" ht="12" customHeight="1">
      <c r="A125" s="518" t="s">
        <v>201</v>
      </c>
      <c r="B125" s="615">
        <v>431193109</v>
      </c>
      <c r="C125" s="623"/>
      <c r="D125" s="615">
        <v>8157519.7999999998</v>
      </c>
      <c r="E125" s="623"/>
      <c r="F125" s="615">
        <v>85826200</v>
      </c>
      <c r="G125" s="623"/>
      <c r="H125" s="615">
        <v>1716524</v>
      </c>
      <c r="I125" s="623"/>
      <c r="J125" s="615">
        <v>25299900</v>
      </c>
      <c r="K125" s="623"/>
      <c r="L125" s="615">
        <v>1087895.7</v>
      </c>
      <c r="M125" s="623"/>
      <c r="N125" s="615">
        <v>173166368</v>
      </c>
      <c r="O125" s="623"/>
      <c r="P125" s="615">
        <v>1006339.36</v>
      </c>
      <c r="Q125" s="613"/>
      <c r="R125" s="613"/>
      <c r="S125" s="613"/>
      <c r="T125" s="613"/>
      <c r="U125" s="613"/>
      <c r="V125" s="613"/>
      <c r="W125" s="613"/>
      <c r="X125" s="613"/>
    </row>
    <row r="126" spans="1:24" ht="12" customHeight="1">
      <c r="A126" s="518" t="s">
        <v>203</v>
      </c>
      <c r="B126" s="615">
        <v>391232219</v>
      </c>
      <c r="C126" s="623"/>
      <c r="D126" s="615">
        <v>14159217.140000001</v>
      </c>
      <c r="E126" s="623"/>
      <c r="F126" s="615">
        <v>56553845</v>
      </c>
      <c r="G126" s="623"/>
      <c r="H126" s="615">
        <v>729178.72</v>
      </c>
      <c r="I126" s="623"/>
      <c r="J126" s="615">
        <v>0</v>
      </c>
      <c r="K126" s="623"/>
      <c r="L126" s="615">
        <v>0</v>
      </c>
      <c r="M126" s="623"/>
      <c r="N126" s="615">
        <v>93483110</v>
      </c>
      <c r="O126" s="623"/>
      <c r="P126" s="615">
        <v>558090.41</v>
      </c>
      <c r="Q126" s="613"/>
      <c r="R126" s="613"/>
      <c r="S126" s="613"/>
      <c r="T126" s="613"/>
      <c r="U126" s="613"/>
      <c r="V126" s="613"/>
      <c r="W126" s="613"/>
      <c r="X126" s="613"/>
    </row>
    <row r="127" spans="1:24" ht="13.8">
      <c r="A127" s="600" t="s">
        <v>997</v>
      </c>
      <c r="B127" s="601"/>
      <c r="C127" s="568"/>
      <c r="D127" s="601"/>
      <c r="E127" s="568"/>
      <c r="F127" s="601"/>
      <c r="G127" s="568"/>
      <c r="H127" s="601"/>
      <c r="I127" s="568"/>
      <c r="J127" s="601"/>
      <c r="K127" s="568"/>
      <c r="L127" s="601"/>
      <c r="M127" s="568"/>
      <c r="N127" s="601"/>
      <c r="O127" s="568"/>
      <c r="P127" s="601"/>
      <c r="Q127" s="577"/>
      <c r="R127" s="577"/>
      <c r="S127" s="577"/>
      <c r="T127" s="577"/>
      <c r="U127" s="577"/>
      <c r="V127" s="577"/>
      <c r="W127" s="577"/>
      <c r="X127" s="577"/>
    </row>
    <row r="128" spans="1:24" s="586" customFormat="1" ht="13.2">
      <c r="A128" s="602" t="s">
        <v>965</v>
      </c>
      <c r="B128" s="602"/>
      <c r="C128" s="602"/>
      <c r="D128" s="602"/>
      <c r="E128" s="602"/>
      <c r="F128" s="602"/>
      <c r="G128" s="602"/>
      <c r="H128" s="602"/>
      <c r="I128" s="602"/>
      <c r="J128" s="602"/>
      <c r="K128" s="602"/>
      <c r="L128" s="602"/>
      <c r="M128" s="602"/>
      <c r="N128" s="602"/>
      <c r="O128" s="602"/>
      <c r="P128" s="602"/>
      <c r="Q128" s="630"/>
      <c r="R128" s="630"/>
      <c r="S128" s="630"/>
      <c r="T128" s="630"/>
      <c r="U128" s="630"/>
      <c r="V128" s="630"/>
      <c r="W128" s="630"/>
      <c r="X128" s="630"/>
    </row>
    <row r="129" spans="1:24" s="586" customFormat="1" ht="13.2">
      <c r="A129" s="940" t="s">
        <v>1105</v>
      </c>
      <c r="B129" s="522"/>
      <c r="C129" s="522"/>
      <c r="D129" s="522"/>
      <c r="E129" s="522"/>
      <c r="F129" s="522"/>
      <c r="G129" s="522"/>
      <c r="H129" s="522"/>
      <c r="I129" s="522"/>
      <c r="J129" s="522"/>
      <c r="K129" s="522"/>
      <c r="L129" s="522"/>
      <c r="M129" s="522"/>
      <c r="N129" s="522"/>
      <c r="O129" s="522"/>
      <c r="P129" s="522"/>
      <c r="Q129" s="631"/>
      <c r="R129" s="631"/>
      <c r="S129" s="631"/>
      <c r="T129" s="631"/>
      <c r="U129" s="631"/>
      <c r="V129" s="631"/>
      <c r="W129" s="631"/>
      <c r="X129" s="631"/>
    </row>
    <row r="130" spans="1:24" ht="11.25" customHeight="1" thickBot="1">
      <c r="A130" s="524"/>
      <c r="B130" s="524"/>
      <c r="C130" s="524"/>
      <c r="D130" s="524"/>
      <c r="E130" s="524"/>
      <c r="F130" s="524"/>
      <c r="G130" s="524"/>
      <c r="H130" s="524"/>
      <c r="I130" s="524"/>
      <c r="J130" s="524"/>
      <c r="K130" s="524"/>
      <c r="L130" s="524"/>
      <c r="M130" s="524"/>
      <c r="N130" s="524"/>
      <c r="O130" s="524"/>
      <c r="P130" s="524"/>
      <c r="Q130" s="605"/>
      <c r="R130" s="605"/>
      <c r="S130" s="605"/>
      <c r="T130" s="605"/>
      <c r="U130" s="605"/>
      <c r="V130" s="605"/>
      <c r="W130" s="605"/>
      <c r="X130" s="605"/>
    </row>
    <row r="131" spans="1:24" ht="14.25" customHeight="1">
      <c r="A131" s="568"/>
      <c r="B131" s="1157" t="s">
        <v>966</v>
      </c>
      <c r="C131" s="1157"/>
      <c r="D131" s="1157"/>
      <c r="E131" s="568"/>
      <c r="F131" s="1157" t="s">
        <v>967</v>
      </c>
      <c r="G131" s="1157"/>
      <c r="H131" s="1157"/>
      <c r="I131" s="568"/>
      <c r="J131" s="1157" t="s">
        <v>968</v>
      </c>
      <c r="K131" s="1157"/>
      <c r="L131" s="1157"/>
      <c r="M131" s="568"/>
      <c r="N131" s="1157" t="s">
        <v>969</v>
      </c>
      <c r="O131" s="1157"/>
      <c r="P131" s="1157"/>
      <c r="Q131" s="606"/>
      <c r="R131" s="606"/>
      <c r="S131" s="606"/>
      <c r="T131" s="606"/>
      <c r="U131" s="606"/>
      <c r="V131" s="606"/>
      <c r="W131" s="606"/>
      <c r="X131" s="606"/>
    </row>
    <row r="132" spans="1:24" ht="12" customHeight="1">
      <c r="A132" s="607" t="s">
        <v>33</v>
      </c>
      <c r="B132" s="608" t="s">
        <v>970</v>
      </c>
      <c r="C132" s="525"/>
      <c r="D132" s="608" t="s">
        <v>971</v>
      </c>
      <c r="E132" s="525"/>
      <c r="F132" s="608" t="s">
        <v>970</v>
      </c>
      <c r="G132" s="525"/>
      <c r="H132" s="608" t="s">
        <v>971</v>
      </c>
      <c r="I132" s="525"/>
      <c r="J132" s="608" t="s">
        <v>970</v>
      </c>
      <c r="K132" s="525"/>
      <c r="L132" s="608" t="s">
        <v>971</v>
      </c>
      <c r="M132" s="525"/>
      <c r="N132" s="608" t="s">
        <v>970</v>
      </c>
      <c r="O132" s="525"/>
      <c r="P132" s="608" t="s">
        <v>971</v>
      </c>
      <c r="Q132" s="609"/>
      <c r="R132" s="609"/>
      <c r="S132" s="609"/>
      <c r="T132" s="609"/>
      <c r="U132" s="609"/>
      <c r="V132" s="609"/>
      <c r="W132" s="609"/>
      <c r="X132" s="609"/>
    </row>
    <row r="133" spans="1:24" ht="8.25" customHeight="1">
      <c r="B133" s="615"/>
      <c r="C133" s="617"/>
      <c r="D133" s="615"/>
      <c r="E133" s="617"/>
      <c r="F133" s="615"/>
      <c r="G133" s="617"/>
      <c r="H133" s="615"/>
      <c r="I133" s="617"/>
      <c r="J133" s="615"/>
      <c r="K133" s="617"/>
      <c r="L133" s="615"/>
      <c r="M133" s="617"/>
      <c r="N133" s="615"/>
      <c r="O133" s="617"/>
      <c r="P133" s="615"/>
      <c r="Q133" s="629"/>
      <c r="R133" s="629"/>
      <c r="S133" s="629"/>
      <c r="T133" s="629"/>
      <c r="U133" s="629"/>
      <c r="V133" s="629"/>
      <c r="W133" s="629"/>
      <c r="X133" s="629"/>
    </row>
    <row r="134" spans="1:24" ht="12" customHeight="1">
      <c r="A134" s="518" t="s">
        <v>205</v>
      </c>
      <c r="B134" s="610">
        <v>547898123</v>
      </c>
      <c r="C134" s="611"/>
      <c r="D134" s="610">
        <v>8270119.4499999993</v>
      </c>
      <c r="E134" s="611"/>
      <c r="F134" s="610">
        <v>176763685</v>
      </c>
      <c r="G134" s="611"/>
      <c r="H134" s="610">
        <v>2739837.12</v>
      </c>
      <c r="I134" s="611"/>
      <c r="J134" s="610">
        <v>0</v>
      </c>
      <c r="K134" s="611"/>
      <c r="L134" s="610">
        <v>0</v>
      </c>
      <c r="M134" s="611"/>
      <c r="N134" s="610">
        <v>184121895</v>
      </c>
      <c r="O134" s="611"/>
      <c r="P134" s="612">
        <v>1165137</v>
      </c>
      <c r="Q134" s="613"/>
      <c r="R134" s="613"/>
      <c r="S134" s="613"/>
      <c r="T134" s="613"/>
      <c r="U134" s="613"/>
      <c r="V134" s="613"/>
      <c r="W134" s="613"/>
      <c r="X134" s="613"/>
    </row>
    <row r="135" spans="1:24" ht="12" customHeight="1">
      <c r="A135" s="518" t="s">
        <v>207</v>
      </c>
      <c r="B135" s="615">
        <v>163066210</v>
      </c>
      <c r="C135" s="623"/>
      <c r="D135" s="615">
        <v>90739.91</v>
      </c>
      <c r="E135" s="623"/>
      <c r="F135" s="615">
        <v>6901620</v>
      </c>
      <c r="G135" s="623"/>
      <c r="H135" s="615">
        <v>103524.3</v>
      </c>
      <c r="I135" s="623"/>
      <c r="J135" s="615">
        <v>9391850</v>
      </c>
      <c r="K135" s="623"/>
      <c r="L135" s="615">
        <v>36336.9</v>
      </c>
      <c r="M135" s="623"/>
      <c r="N135" s="615">
        <v>55376268</v>
      </c>
      <c r="O135" s="623"/>
      <c r="P135" s="615">
        <v>244101.25</v>
      </c>
      <c r="Q135" s="613"/>
      <c r="R135" s="613"/>
      <c r="S135" s="613"/>
      <c r="T135" s="613"/>
      <c r="U135" s="613"/>
      <c r="V135" s="613"/>
      <c r="W135" s="613"/>
      <c r="X135" s="613"/>
    </row>
    <row r="136" spans="1:24" ht="12" customHeight="1">
      <c r="A136" s="518" t="s">
        <v>209</v>
      </c>
      <c r="B136" s="615">
        <v>458962105</v>
      </c>
      <c r="C136" s="623"/>
      <c r="D136" s="615">
        <v>6465517.0900000008</v>
      </c>
      <c r="E136" s="623"/>
      <c r="F136" s="615">
        <v>280345360</v>
      </c>
      <c r="G136" s="623"/>
      <c r="H136" s="615">
        <v>3952869.58</v>
      </c>
      <c r="I136" s="623"/>
      <c r="J136" s="615">
        <v>36306426</v>
      </c>
      <c r="K136" s="623"/>
      <c r="L136" s="615">
        <v>1034733.14</v>
      </c>
      <c r="M136" s="623"/>
      <c r="N136" s="615">
        <v>614904700</v>
      </c>
      <c r="O136" s="623"/>
      <c r="P136" s="615">
        <v>3846827.43</v>
      </c>
      <c r="Q136" s="613"/>
      <c r="R136" s="613"/>
      <c r="S136" s="613"/>
      <c r="T136" s="613"/>
      <c r="U136" s="613"/>
      <c r="V136" s="613"/>
      <c r="W136" s="613"/>
      <c r="X136" s="613"/>
    </row>
    <row r="137" spans="1:24" ht="12" customHeight="1">
      <c r="A137" s="518" t="s">
        <v>211</v>
      </c>
      <c r="B137" s="615">
        <v>258285651</v>
      </c>
      <c r="C137" s="623"/>
      <c r="D137" s="615">
        <v>4993566.42</v>
      </c>
      <c r="E137" s="623"/>
      <c r="F137" s="615">
        <v>181396615</v>
      </c>
      <c r="G137" s="623"/>
      <c r="H137" s="615">
        <v>2720949</v>
      </c>
      <c r="I137" s="623"/>
      <c r="J137" s="615">
        <v>62223347</v>
      </c>
      <c r="K137" s="623"/>
      <c r="L137" s="615">
        <v>348450</v>
      </c>
      <c r="M137" s="623"/>
      <c r="N137" s="615">
        <v>186998307</v>
      </c>
      <c r="O137" s="623"/>
      <c r="P137" s="615">
        <v>826071.09</v>
      </c>
      <c r="Q137" s="613"/>
      <c r="R137" s="613"/>
      <c r="S137" s="613"/>
      <c r="T137" s="613"/>
      <c r="U137" s="613"/>
      <c r="V137" s="613"/>
      <c r="W137" s="613"/>
      <c r="X137" s="613"/>
    </row>
    <row r="138" spans="1:24" ht="12" customHeight="1">
      <c r="A138" s="518" t="s">
        <v>213</v>
      </c>
      <c r="B138" s="615">
        <v>627101245</v>
      </c>
      <c r="C138" s="623"/>
      <c r="D138" s="615">
        <v>22484780.870000001</v>
      </c>
      <c r="E138" s="623"/>
      <c r="F138" s="615">
        <v>9253420</v>
      </c>
      <c r="G138" s="623"/>
      <c r="H138" s="615">
        <v>370136.8</v>
      </c>
      <c r="I138" s="623"/>
      <c r="J138" s="615">
        <v>0</v>
      </c>
      <c r="K138" s="626"/>
      <c r="L138" s="615">
        <v>0</v>
      </c>
      <c r="M138" s="626"/>
      <c r="N138" s="615">
        <v>421180422</v>
      </c>
      <c r="O138" s="623"/>
      <c r="P138" s="615">
        <v>3129114.26</v>
      </c>
      <c r="Q138" s="613"/>
      <c r="R138" s="613"/>
      <c r="S138" s="613"/>
      <c r="T138" s="613"/>
      <c r="U138" s="613"/>
      <c r="V138" s="613"/>
      <c r="W138" s="613"/>
      <c r="X138" s="613"/>
    </row>
    <row r="139" spans="1:24" ht="12" customHeight="1"/>
    <row r="140" spans="1:24" ht="12.75" customHeight="1">
      <c r="A140" s="557" t="s">
        <v>34</v>
      </c>
      <c r="B140" s="557">
        <f>SUM(B8:B60,B62:B114,B116:B138)</f>
        <v>56268027196.425842</v>
      </c>
      <c r="C140" s="557"/>
      <c r="D140" s="557">
        <f>SUM(D8:D60,D62:D114,D116:D138)</f>
        <v>1972392602.7182999</v>
      </c>
      <c r="E140" s="557"/>
      <c r="F140" s="557">
        <f>SUM(F8:F60,F62:F114,F116:F138)</f>
        <v>6279695713.499814</v>
      </c>
      <c r="G140" s="557"/>
      <c r="H140" s="557">
        <f>SUM(H8:H60,H62:H114,H116:H138)</f>
        <v>118546882.73099998</v>
      </c>
      <c r="I140" s="557"/>
      <c r="J140" s="557">
        <f>SUM(J8:J60,J62:J114,J116:J138)</f>
        <v>1127437244</v>
      </c>
      <c r="K140" s="557"/>
      <c r="L140" s="557">
        <f>SUM(L8:L60,L62:L114,L116:L138)</f>
        <v>12053117.250000002</v>
      </c>
      <c r="M140" s="557"/>
      <c r="N140" s="557">
        <f>SUM(N8:N60,N62:N114,N116:N138)</f>
        <v>31012067131.439865</v>
      </c>
      <c r="O140" s="557"/>
      <c r="P140" s="557">
        <f>SUM(P8:P60,P62:P114,P116:P138)</f>
        <v>237432281.20044905</v>
      </c>
      <c r="Q140" s="599"/>
      <c r="R140" s="599"/>
      <c r="S140" s="599"/>
      <c r="T140" s="599"/>
      <c r="U140" s="599"/>
      <c r="V140" s="599"/>
      <c r="W140" s="599"/>
      <c r="X140" s="599"/>
    </row>
    <row r="141" spans="1:24" ht="12" customHeight="1">
      <c r="A141" s="562"/>
      <c r="B141" s="562"/>
      <c r="C141" s="562"/>
      <c r="D141" s="562"/>
      <c r="E141" s="562"/>
      <c r="F141" s="562"/>
      <c r="G141" s="562"/>
      <c r="H141" s="562"/>
      <c r="I141" s="562"/>
      <c r="J141" s="562"/>
      <c r="K141" s="562"/>
      <c r="L141" s="562"/>
      <c r="M141" s="562"/>
      <c r="N141" s="562"/>
      <c r="O141" s="562"/>
      <c r="P141" s="562"/>
      <c r="Q141" s="599"/>
      <c r="R141" s="599"/>
      <c r="S141" s="599"/>
      <c r="T141" s="599"/>
      <c r="U141" s="599"/>
      <c r="V141" s="599"/>
      <c r="W141" s="599"/>
      <c r="X141" s="599"/>
    </row>
    <row r="142" spans="1:24" ht="12.75" customHeight="1" thickBot="1">
      <c r="A142" s="596"/>
      <c r="B142" s="632"/>
      <c r="C142" s="596"/>
      <c r="D142" s="632"/>
      <c r="E142" s="596"/>
      <c r="F142" s="632"/>
      <c r="G142" s="596"/>
      <c r="H142" s="632"/>
      <c r="I142" s="596"/>
      <c r="J142" s="632"/>
      <c r="K142" s="596"/>
      <c r="L142" s="632"/>
      <c r="M142" s="596"/>
      <c r="N142" s="632"/>
      <c r="O142" s="596"/>
      <c r="P142" s="632"/>
      <c r="Q142" s="633"/>
      <c r="R142" s="633"/>
      <c r="S142" s="633"/>
      <c r="T142" s="633"/>
      <c r="U142" s="633"/>
      <c r="V142" s="633"/>
      <c r="W142" s="633"/>
      <c r="X142" s="633"/>
    </row>
    <row r="143" spans="1:24" ht="14.25" customHeight="1">
      <c r="A143" s="568"/>
      <c r="B143" s="1157" t="s">
        <v>966</v>
      </c>
      <c r="C143" s="1157"/>
      <c r="D143" s="1157"/>
      <c r="E143" s="568"/>
      <c r="F143" s="1157" t="s">
        <v>967</v>
      </c>
      <c r="G143" s="1157"/>
      <c r="H143" s="1157"/>
      <c r="I143" s="568"/>
      <c r="J143" s="1157" t="s">
        <v>968</v>
      </c>
      <c r="K143" s="1157"/>
      <c r="L143" s="1157"/>
      <c r="M143" s="568"/>
      <c r="N143" s="1157" t="s">
        <v>969</v>
      </c>
      <c r="O143" s="1157"/>
      <c r="P143" s="1157"/>
      <c r="Q143" s="606"/>
      <c r="R143" s="606"/>
      <c r="S143" s="606"/>
      <c r="T143" s="606"/>
      <c r="U143" s="606"/>
      <c r="V143" s="606"/>
      <c r="W143" s="606"/>
      <c r="X143" s="606"/>
    </row>
    <row r="144" spans="1:24" ht="12" customHeight="1">
      <c r="A144" s="607" t="s">
        <v>35</v>
      </c>
      <c r="B144" s="608" t="s">
        <v>970</v>
      </c>
      <c r="C144" s="525"/>
      <c r="D144" s="608" t="s">
        <v>971</v>
      </c>
      <c r="E144" s="525"/>
      <c r="F144" s="608" t="s">
        <v>970</v>
      </c>
      <c r="G144" s="525"/>
      <c r="H144" s="608" t="s">
        <v>971</v>
      </c>
      <c r="I144" s="525"/>
      <c r="J144" s="608" t="s">
        <v>970</v>
      </c>
      <c r="K144" s="525"/>
      <c r="L144" s="608" t="s">
        <v>971</v>
      </c>
      <c r="M144" s="525"/>
      <c r="N144" s="608" t="s">
        <v>970</v>
      </c>
      <c r="O144" s="525"/>
      <c r="P144" s="608" t="s">
        <v>971</v>
      </c>
      <c r="Q144" s="609"/>
      <c r="R144" s="609"/>
      <c r="S144" s="609"/>
      <c r="T144" s="609"/>
      <c r="U144" s="609"/>
      <c r="V144" s="609"/>
      <c r="W144" s="609"/>
      <c r="X144" s="609"/>
    </row>
    <row r="145" spans="1:24" ht="8.25" customHeight="1"/>
    <row r="146" spans="1:24" ht="12" customHeight="1">
      <c r="A146" s="518" t="s">
        <v>218</v>
      </c>
      <c r="B146" s="634">
        <v>1569558141.3299999</v>
      </c>
      <c r="C146" s="623"/>
      <c r="D146" s="610">
        <v>63589744.789999999</v>
      </c>
      <c r="E146" s="614"/>
      <c r="F146" s="634">
        <v>12948943.619999999</v>
      </c>
      <c r="G146" s="610"/>
      <c r="H146" s="634">
        <v>582702.46</v>
      </c>
      <c r="I146" s="610"/>
      <c r="J146" s="634">
        <v>0</v>
      </c>
      <c r="K146" s="610"/>
      <c r="L146" s="634">
        <v>0</v>
      </c>
      <c r="M146" s="610"/>
      <c r="N146" s="634">
        <v>782993916</v>
      </c>
      <c r="O146" s="610"/>
      <c r="P146" s="612">
        <v>7838923.7400000002</v>
      </c>
      <c r="Q146" s="613"/>
      <c r="R146" s="613"/>
      <c r="S146" s="613"/>
      <c r="T146" s="613"/>
      <c r="U146" s="613"/>
      <c r="V146" s="613"/>
      <c r="W146" s="613"/>
      <c r="X146" s="613"/>
    </row>
    <row r="147" spans="1:24" ht="12" customHeight="1">
      <c r="A147" s="518" t="s">
        <v>117</v>
      </c>
      <c r="B147" s="614">
        <v>49093600</v>
      </c>
      <c r="C147" s="623"/>
      <c r="D147" s="614">
        <v>1037107.47</v>
      </c>
      <c r="E147" s="623"/>
      <c r="F147" s="614">
        <v>35753980</v>
      </c>
      <c r="G147" s="623"/>
      <c r="H147" s="614">
        <v>464801.74</v>
      </c>
      <c r="I147" s="623"/>
      <c r="J147" s="621">
        <v>0</v>
      </c>
      <c r="K147" s="626"/>
      <c r="L147" s="626">
        <v>0</v>
      </c>
      <c r="M147" s="626"/>
      <c r="N147" s="614">
        <v>9270300</v>
      </c>
      <c r="O147" s="623"/>
      <c r="P147" s="616">
        <v>84123.72</v>
      </c>
      <c r="Q147" s="613"/>
      <c r="R147" s="613"/>
      <c r="S147" s="613"/>
      <c r="T147" s="613"/>
      <c r="U147" s="613"/>
      <c r="V147" s="613"/>
      <c r="W147" s="613"/>
      <c r="X147" s="613"/>
    </row>
    <row r="148" spans="1:24" ht="12" customHeight="1">
      <c r="A148" s="518" t="s">
        <v>220</v>
      </c>
      <c r="B148" s="614">
        <v>44986664</v>
      </c>
      <c r="C148" s="615"/>
      <c r="D148" s="614">
        <v>3066581</v>
      </c>
      <c r="E148" s="615"/>
      <c r="F148" s="614">
        <v>12067951</v>
      </c>
      <c r="G148" s="615"/>
      <c r="H148" s="614">
        <v>844757</v>
      </c>
      <c r="I148" s="615"/>
      <c r="J148" s="621">
        <v>0</v>
      </c>
      <c r="K148" s="626"/>
      <c r="L148" s="626">
        <v>0</v>
      </c>
      <c r="M148" s="626"/>
      <c r="N148" s="614">
        <v>19026098</v>
      </c>
      <c r="O148" s="623"/>
      <c r="P148" s="616">
        <v>17884532</v>
      </c>
      <c r="Q148" s="613"/>
      <c r="R148" s="613"/>
      <c r="S148" s="613"/>
      <c r="T148" s="613"/>
      <c r="U148" s="613"/>
      <c r="V148" s="613"/>
      <c r="W148" s="613"/>
      <c r="X148" s="613"/>
    </row>
    <row r="149" spans="1:24" ht="12" customHeight="1">
      <c r="A149" s="518" t="s">
        <v>222</v>
      </c>
      <c r="B149" s="614">
        <v>31295394</v>
      </c>
      <c r="C149" s="623"/>
      <c r="D149" s="614">
        <v>1803893</v>
      </c>
      <c r="E149" s="623"/>
      <c r="F149" s="614">
        <v>7186930</v>
      </c>
      <c r="G149" s="615"/>
      <c r="H149" s="614">
        <v>305445</v>
      </c>
      <c r="I149" s="615"/>
      <c r="J149" s="621">
        <v>0</v>
      </c>
      <c r="K149" s="626"/>
      <c r="L149" s="626">
        <v>0</v>
      </c>
      <c r="M149" s="626"/>
      <c r="N149" s="614">
        <v>14828835</v>
      </c>
      <c r="O149" s="623"/>
      <c r="P149" s="616">
        <v>140962</v>
      </c>
      <c r="Q149" s="613"/>
      <c r="R149" s="613"/>
      <c r="S149" s="613"/>
      <c r="T149" s="613"/>
      <c r="U149" s="613"/>
      <c r="V149" s="613"/>
      <c r="W149" s="613"/>
      <c r="X149" s="613"/>
    </row>
    <row r="150" spans="1:24" ht="12" customHeight="1">
      <c r="A150" s="518" t="s">
        <v>224</v>
      </c>
      <c r="B150" s="614">
        <v>247152065</v>
      </c>
      <c r="C150" s="623"/>
      <c r="D150" s="614">
        <v>10343876.280000001</v>
      </c>
      <c r="E150" s="623"/>
      <c r="F150" s="614">
        <v>7736564</v>
      </c>
      <c r="G150" s="615"/>
      <c r="H150" s="614">
        <v>324935.76</v>
      </c>
      <c r="I150" s="615"/>
      <c r="J150" s="621">
        <v>0</v>
      </c>
      <c r="K150" s="626"/>
      <c r="L150" s="626">
        <v>0</v>
      </c>
      <c r="M150" s="626"/>
      <c r="N150" s="614">
        <v>138444925</v>
      </c>
      <c r="O150" s="623"/>
      <c r="P150" s="616">
        <v>1321853.1900000002</v>
      </c>
      <c r="Q150" s="613"/>
      <c r="R150" s="613"/>
      <c r="S150" s="613"/>
      <c r="T150" s="613"/>
      <c r="U150" s="613"/>
      <c r="V150" s="613"/>
      <c r="W150" s="613"/>
      <c r="X150" s="613"/>
    </row>
    <row r="151" spans="1:24" ht="8.25" customHeight="1">
      <c r="B151" s="614"/>
      <c r="C151" s="623"/>
      <c r="D151" s="614"/>
      <c r="E151" s="623"/>
      <c r="F151" s="614"/>
      <c r="G151" s="615"/>
      <c r="H151" s="614"/>
      <c r="I151" s="615"/>
      <c r="J151" s="621"/>
      <c r="K151" s="626"/>
      <c r="L151" s="626"/>
      <c r="M151" s="626"/>
      <c r="N151" s="614"/>
      <c r="O151" s="623"/>
      <c r="P151" s="616"/>
      <c r="Q151" s="613"/>
      <c r="R151" s="613"/>
      <c r="S151" s="613"/>
      <c r="T151" s="613"/>
      <c r="U151" s="613"/>
      <c r="V151" s="613"/>
      <c r="W151" s="613"/>
      <c r="X151" s="613"/>
    </row>
    <row r="152" spans="1:24" ht="12" customHeight="1">
      <c r="A152" s="518" t="s">
        <v>169</v>
      </c>
      <c r="B152" s="614">
        <v>1845972629</v>
      </c>
      <c r="C152" s="626"/>
      <c r="D152" s="614">
        <v>72794676</v>
      </c>
      <c r="E152" s="621"/>
      <c r="F152" s="614">
        <v>80813960</v>
      </c>
      <c r="G152" s="615"/>
      <c r="H152" s="614">
        <v>2586047</v>
      </c>
      <c r="I152" s="615"/>
      <c r="J152" s="621">
        <v>0</v>
      </c>
      <c r="K152" s="626"/>
      <c r="L152" s="626">
        <v>0</v>
      </c>
      <c r="M152" s="626"/>
      <c r="N152" s="614">
        <v>1033670917</v>
      </c>
      <c r="O152" s="621"/>
      <c r="P152" s="616">
        <v>10878169.4991</v>
      </c>
      <c r="Q152" s="613"/>
      <c r="R152" s="613"/>
      <c r="S152" s="613"/>
      <c r="T152" s="613"/>
      <c r="U152" s="613"/>
      <c r="V152" s="613"/>
      <c r="W152" s="613"/>
      <c r="X152" s="613"/>
    </row>
    <row r="153" spans="1:24" ht="12" customHeight="1">
      <c r="A153" s="518" t="s">
        <v>171</v>
      </c>
      <c r="B153" s="614">
        <v>128840170</v>
      </c>
      <c r="C153" s="623"/>
      <c r="D153" s="614">
        <v>4509406</v>
      </c>
      <c r="E153" s="614"/>
      <c r="F153" s="614">
        <v>6131417</v>
      </c>
      <c r="G153" s="615"/>
      <c r="H153" s="614">
        <v>122667</v>
      </c>
      <c r="I153" s="615"/>
      <c r="J153" s="621">
        <v>0</v>
      </c>
      <c r="K153" s="626"/>
      <c r="L153" s="626">
        <v>0</v>
      </c>
      <c r="M153" s="626"/>
      <c r="N153" s="614">
        <v>34516165</v>
      </c>
      <c r="O153" s="614"/>
      <c r="P153" s="616">
        <v>394606</v>
      </c>
      <c r="Q153" s="613"/>
      <c r="R153" s="613"/>
      <c r="S153" s="613"/>
      <c r="T153" s="613"/>
      <c r="U153" s="613"/>
      <c r="V153" s="613"/>
      <c r="W153" s="613"/>
      <c r="X153" s="613"/>
    </row>
    <row r="154" spans="1:24" ht="12" customHeight="1">
      <c r="A154" s="518" t="s">
        <v>173</v>
      </c>
      <c r="B154" s="614">
        <v>27146220</v>
      </c>
      <c r="C154" s="623"/>
      <c r="D154" s="614">
        <v>1466138.6099999999</v>
      </c>
      <c r="E154" s="614"/>
      <c r="F154" s="614">
        <v>77433800</v>
      </c>
      <c r="G154" s="615"/>
      <c r="H154" s="614">
        <v>4274345.76</v>
      </c>
      <c r="I154" s="615"/>
      <c r="J154" s="621">
        <v>0</v>
      </c>
      <c r="K154" s="626"/>
      <c r="L154" s="626">
        <v>0</v>
      </c>
      <c r="M154" s="626"/>
      <c r="N154" s="614">
        <v>25182743</v>
      </c>
      <c r="O154" s="614"/>
      <c r="P154" s="616">
        <v>179172.13999999998</v>
      </c>
      <c r="Q154" s="613"/>
      <c r="R154" s="613"/>
      <c r="S154" s="613"/>
      <c r="T154" s="613"/>
      <c r="U154" s="613"/>
      <c r="V154" s="613"/>
      <c r="W154" s="613"/>
      <c r="X154" s="613"/>
    </row>
    <row r="155" spans="1:24" ht="12" customHeight="1">
      <c r="A155" s="518" t="s">
        <v>175</v>
      </c>
      <c r="B155" s="614">
        <v>320639883.09000003</v>
      </c>
      <c r="C155" s="623"/>
      <c r="D155" s="614">
        <v>9411629.4100660011</v>
      </c>
      <c r="E155" s="614"/>
      <c r="F155" s="614">
        <v>91384114.670000002</v>
      </c>
      <c r="G155" s="615"/>
      <c r="H155" s="614">
        <v>1370761.7200499999</v>
      </c>
      <c r="I155" s="615"/>
      <c r="J155" s="621">
        <v>0</v>
      </c>
      <c r="K155" s="626"/>
      <c r="L155" s="626">
        <v>0</v>
      </c>
      <c r="M155" s="626"/>
      <c r="N155" s="614">
        <v>98499144</v>
      </c>
      <c r="O155" s="614"/>
      <c r="P155" s="616">
        <v>738226.74939999997</v>
      </c>
      <c r="Q155" s="613"/>
      <c r="R155" s="613"/>
      <c r="S155" s="613"/>
      <c r="T155" s="613"/>
      <c r="U155" s="613"/>
      <c r="V155" s="613"/>
      <c r="W155" s="613"/>
      <c r="X155" s="613"/>
    </row>
    <row r="156" spans="1:24" ht="12" customHeight="1">
      <c r="A156" s="518" t="s">
        <v>177</v>
      </c>
      <c r="B156" s="614">
        <v>36839018</v>
      </c>
      <c r="C156" s="615"/>
      <c r="D156" s="614">
        <v>1752689.46</v>
      </c>
      <c r="E156" s="615"/>
      <c r="F156" s="614">
        <v>3754703</v>
      </c>
      <c r="G156" s="615"/>
      <c r="H156" s="614">
        <v>187735.15</v>
      </c>
      <c r="I156" s="615"/>
      <c r="J156" s="614">
        <v>0</v>
      </c>
      <c r="K156" s="615"/>
      <c r="L156" s="614">
        <v>0</v>
      </c>
      <c r="M156" s="615"/>
      <c r="N156" s="614">
        <v>19864532</v>
      </c>
      <c r="O156" s="615"/>
      <c r="P156" s="616">
        <v>173064.34</v>
      </c>
      <c r="Q156" s="613"/>
      <c r="R156" s="613"/>
      <c r="S156" s="613"/>
      <c r="T156" s="613"/>
      <c r="U156" s="613"/>
      <c r="V156" s="613"/>
      <c r="W156" s="613"/>
      <c r="X156" s="613"/>
    </row>
    <row r="157" spans="1:24" ht="8.25" customHeight="1">
      <c r="B157" s="614"/>
      <c r="C157" s="615"/>
      <c r="D157" s="614"/>
      <c r="E157" s="615"/>
      <c r="F157" s="614"/>
      <c r="G157" s="615"/>
      <c r="H157" s="614"/>
      <c r="I157" s="615"/>
      <c r="J157" s="614"/>
      <c r="K157" s="615"/>
      <c r="L157" s="614"/>
      <c r="M157" s="615"/>
      <c r="N157" s="614"/>
      <c r="O157" s="615"/>
      <c r="P157" s="616"/>
      <c r="Q157" s="613"/>
      <c r="R157" s="613"/>
      <c r="S157" s="613"/>
      <c r="T157" s="613"/>
      <c r="U157" s="613"/>
      <c r="V157" s="613"/>
      <c r="W157" s="613"/>
      <c r="X157" s="613"/>
    </row>
    <row r="158" spans="1:24" ht="12" customHeight="1">
      <c r="A158" s="518" t="s">
        <v>155</v>
      </c>
      <c r="B158" s="614">
        <v>237777099.00999999</v>
      </c>
      <c r="C158" s="615"/>
      <c r="D158" s="614">
        <v>8228452.5199999996</v>
      </c>
      <c r="E158" s="615"/>
      <c r="F158" s="614">
        <v>1141191</v>
      </c>
      <c r="G158" s="615"/>
      <c r="H158" s="614">
        <v>47131.18</v>
      </c>
      <c r="I158" s="615"/>
      <c r="J158" s="614">
        <v>0</v>
      </c>
      <c r="K158" s="615"/>
      <c r="L158" s="614">
        <v>0</v>
      </c>
      <c r="M158" s="615"/>
      <c r="N158" s="614">
        <v>109190716</v>
      </c>
      <c r="O158" s="615"/>
      <c r="P158" s="616">
        <v>1249251.01</v>
      </c>
      <c r="Q158" s="613"/>
      <c r="R158" s="613"/>
      <c r="S158" s="613"/>
      <c r="T158" s="613"/>
      <c r="U158" s="613"/>
      <c r="V158" s="613"/>
      <c r="W158" s="613"/>
      <c r="X158" s="613"/>
    </row>
    <row r="159" spans="1:24" ht="12" customHeight="1">
      <c r="A159" s="518" t="s">
        <v>179</v>
      </c>
      <c r="B159" s="614">
        <v>142325249</v>
      </c>
      <c r="C159" s="615"/>
      <c r="D159" s="614">
        <v>6441027.8099999996</v>
      </c>
      <c r="E159" s="615"/>
      <c r="F159" s="614">
        <v>0</v>
      </c>
      <c r="G159" s="615"/>
      <c r="H159" s="614">
        <v>0</v>
      </c>
      <c r="I159" s="615"/>
      <c r="J159" s="614">
        <v>0</v>
      </c>
      <c r="K159" s="615"/>
      <c r="L159" s="614">
        <v>0</v>
      </c>
      <c r="M159" s="615"/>
      <c r="N159" s="614">
        <v>23623875</v>
      </c>
      <c r="O159" s="615"/>
      <c r="P159" s="616">
        <v>308291.56874999998</v>
      </c>
      <c r="Q159" s="613"/>
      <c r="R159" s="613"/>
      <c r="S159" s="613"/>
      <c r="T159" s="613"/>
      <c r="U159" s="613"/>
      <c r="V159" s="613"/>
      <c r="W159" s="613"/>
      <c r="X159" s="613"/>
    </row>
    <row r="160" spans="1:24" ht="12" customHeight="1">
      <c r="A160" s="518" t="s">
        <v>36</v>
      </c>
      <c r="B160" s="614">
        <v>63397495</v>
      </c>
      <c r="C160" s="615"/>
      <c r="D160" s="614">
        <v>2471819.19</v>
      </c>
      <c r="E160" s="615"/>
      <c r="F160" s="614">
        <v>2993303</v>
      </c>
      <c r="G160" s="615"/>
      <c r="H160" s="614">
        <v>59866.06</v>
      </c>
      <c r="I160" s="615"/>
      <c r="J160" s="614">
        <v>0</v>
      </c>
      <c r="K160" s="615"/>
      <c r="L160" s="614">
        <v>0</v>
      </c>
      <c r="M160" s="615"/>
      <c r="N160" s="614">
        <v>6941309</v>
      </c>
      <c r="O160" s="615"/>
      <c r="P160" s="616">
        <v>62972.71</v>
      </c>
      <c r="Q160" s="613"/>
      <c r="R160" s="613"/>
      <c r="S160" s="613"/>
      <c r="T160" s="613"/>
      <c r="U160" s="613"/>
      <c r="V160" s="613"/>
      <c r="W160" s="613"/>
      <c r="X160" s="613"/>
    </row>
    <row r="161" spans="1:24" ht="12" customHeight="1">
      <c r="A161" s="518" t="s">
        <v>182</v>
      </c>
      <c r="B161" s="614">
        <v>333944966</v>
      </c>
      <c r="C161" s="623"/>
      <c r="D161" s="614">
        <v>10188563.5</v>
      </c>
      <c r="E161" s="614"/>
      <c r="F161" s="614">
        <v>31290968</v>
      </c>
      <c r="G161" s="614"/>
      <c r="H161" s="614">
        <v>246768.85</v>
      </c>
      <c r="I161" s="614"/>
      <c r="J161" s="614">
        <v>0</v>
      </c>
      <c r="K161" s="614"/>
      <c r="L161" s="614">
        <v>0</v>
      </c>
      <c r="M161" s="614"/>
      <c r="N161" s="614">
        <v>112250088</v>
      </c>
      <c r="O161" s="614"/>
      <c r="P161" s="616">
        <v>845861.7</v>
      </c>
      <c r="Q161" s="613"/>
      <c r="R161" s="613"/>
      <c r="S161" s="613"/>
      <c r="T161" s="613"/>
      <c r="U161" s="613"/>
      <c r="V161" s="613"/>
      <c r="W161" s="613"/>
      <c r="X161" s="613"/>
    </row>
    <row r="162" spans="1:24" ht="12" customHeight="1">
      <c r="A162" s="518" t="s">
        <v>184</v>
      </c>
      <c r="B162" s="614">
        <v>36123040</v>
      </c>
      <c r="C162" s="615"/>
      <c r="D162" s="614">
        <v>795642.86</v>
      </c>
      <c r="E162" s="615"/>
      <c r="F162" s="614">
        <v>66745260</v>
      </c>
      <c r="G162" s="615"/>
      <c r="H162" s="614">
        <v>1001178.99</v>
      </c>
      <c r="I162" s="615"/>
      <c r="J162" s="614">
        <v>0</v>
      </c>
      <c r="K162" s="615"/>
      <c r="L162" s="614">
        <v>0</v>
      </c>
      <c r="M162" s="615"/>
      <c r="N162" s="614">
        <v>14387981</v>
      </c>
      <c r="O162" s="615"/>
      <c r="P162" s="616">
        <v>97396.26999999999</v>
      </c>
      <c r="Q162" s="613"/>
      <c r="R162" s="613"/>
      <c r="S162" s="613"/>
      <c r="T162" s="613"/>
      <c r="U162" s="613"/>
      <c r="V162" s="613"/>
      <c r="W162" s="613"/>
      <c r="X162" s="613"/>
    </row>
    <row r="163" spans="1:24" ht="8.25" customHeight="1">
      <c r="B163" s="614"/>
      <c r="C163" s="615"/>
      <c r="D163" s="614"/>
      <c r="E163" s="615"/>
      <c r="F163" s="614"/>
      <c r="G163" s="615"/>
      <c r="H163" s="614"/>
      <c r="I163" s="615"/>
      <c r="J163" s="614"/>
      <c r="K163" s="615"/>
      <c r="L163" s="614"/>
      <c r="M163" s="615"/>
      <c r="N163" s="614"/>
      <c r="O163" s="615"/>
      <c r="P163" s="616"/>
      <c r="Q163" s="613"/>
      <c r="R163" s="613"/>
      <c r="S163" s="613"/>
      <c r="T163" s="613"/>
      <c r="U163" s="613"/>
      <c r="V163" s="613"/>
      <c r="W163" s="613"/>
      <c r="X163" s="613"/>
    </row>
    <row r="164" spans="1:24" ht="12" customHeight="1">
      <c r="A164" s="518" t="s">
        <v>186</v>
      </c>
      <c r="B164" s="614">
        <v>1048890720</v>
      </c>
      <c r="C164" s="623"/>
      <c r="D164" s="614">
        <v>38670842.119999997</v>
      </c>
      <c r="E164" s="614"/>
      <c r="F164" s="614">
        <v>63945906</v>
      </c>
      <c r="G164" s="614"/>
      <c r="H164" s="614">
        <v>2129518.4699999997</v>
      </c>
      <c r="I164" s="614"/>
      <c r="J164" s="614">
        <v>0</v>
      </c>
      <c r="K164" s="621"/>
      <c r="L164" s="614">
        <v>0</v>
      </c>
      <c r="M164" s="621"/>
      <c r="N164" s="614">
        <v>312040197</v>
      </c>
      <c r="O164" s="614"/>
      <c r="P164" s="616">
        <v>3285412.75</v>
      </c>
      <c r="Q164" s="613"/>
      <c r="R164" s="613"/>
      <c r="S164" s="613"/>
      <c r="T164" s="613"/>
      <c r="U164" s="613"/>
      <c r="V164" s="613"/>
      <c r="W164" s="613"/>
      <c r="X164" s="613"/>
    </row>
    <row r="165" spans="1:24" ht="12" customHeight="1">
      <c r="A165" s="518" t="s">
        <v>939</v>
      </c>
      <c r="B165" s="614">
        <v>348616250</v>
      </c>
      <c r="C165" s="623"/>
      <c r="D165" s="614">
        <v>8831261.129999999</v>
      </c>
      <c r="E165" s="614"/>
      <c r="F165" s="614">
        <v>89963300</v>
      </c>
      <c r="G165" s="614"/>
      <c r="H165" s="614">
        <v>1799266</v>
      </c>
      <c r="I165" s="614"/>
      <c r="J165" s="614">
        <v>0</v>
      </c>
      <c r="K165" s="614"/>
      <c r="L165" s="614">
        <v>0</v>
      </c>
      <c r="M165" s="614"/>
      <c r="N165" s="614">
        <v>52845207</v>
      </c>
      <c r="O165" s="614"/>
      <c r="P165" s="616">
        <v>384311.58</v>
      </c>
      <c r="Q165" s="613"/>
      <c r="R165" s="613"/>
      <c r="S165" s="613"/>
      <c r="T165" s="613"/>
      <c r="U165" s="613"/>
      <c r="V165" s="613"/>
      <c r="W165" s="613"/>
      <c r="X165" s="613"/>
    </row>
    <row r="166" spans="1:24" ht="12" customHeight="1">
      <c r="A166" s="518" t="s">
        <v>190</v>
      </c>
      <c r="B166" s="614">
        <v>133007110.89</v>
      </c>
      <c r="C166" s="623"/>
      <c r="D166" s="614">
        <v>4661681.13</v>
      </c>
      <c r="E166" s="614"/>
      <c r="F166" s="614">
        <v>146983084</v>
      </c>
      <c r="G166" s="614"/>
      <c r="H166" s="614">
        <v>4482984.12</v>
      </c>
      <c r="I166" s="614"/>
      <c r="J166" s="614">
        <v>0</v>
      </c>
      <c r="K166" s="614"/>
      <c r="L166" s="614">
        <v>0</v>
      </c>
      <c r="M166" s="614"/>
      <c r="N166" s="614">
        <v>331805550</v>
      </c>
      <c r="O166" s="614"/>
      <c r="P166" s="616">
        <v>3387218.61</v>
      </c>
      <c r="Q166" s="613"/>
      <c r="R166" s="613"/>
      <c r="S166" s="613"/>
      <c r="T166" s="613"/>
      <c r="U166" s="613"/>
      <c r="V166" s="613"/>
      <c r="W166" s="613"/>
      <c r="X166" s="613"/>
    </row>
    <row r="167" spans="1:24" ht="12" customHeight="1">
      <c r="A167" s="520" t="s">
        <v>940</v>
      </c>
      <c r="B167" s="616">
        <v>32760920.949999999</v>
      </c>
      <c r="C167" s="627"/>
      <c r="D167" s="616">
        <v>1233784.1199999999</v>
      </c>
      <c r="E167" s="616"/>
      <c r="F167" s="616">
        <v>60560.9</v>
      </c>
      <c r="G167" s="616"/>
      <c r="H167" s="616">
        <v>2573.84</v>
      </c>
      <c r="I167" s="616"/>
      <c r="J167" s="616">
        <v>0</v>
      </c>
      <c r="K167" s="628"/>
      <c r="L167" s="616">
        <v>0</v>
      </c>
      <c r="M167" s="628"/>
      <c r="N167" s="616">
        <v>17485325</v>
      </c>
      <c r="O167" s="616"/>
      <c r="P167" s="616">
        <v>132042.79</v>
      </c>
      <c r="Q167" s="613"/>
      <c r="R167" s="613"/>
      <c r="S167" s="613"/>
      <c r="T167" s="613"/>
      <c r="U167" s="613"/>
      <c r="V167" s="613"/>
      <c r="W167" s="613"/>
      <c r="X167" s="613"/>
    </row>
    <row r="168" spans="1:24" s="520" customFormat="1" ht="12" customHeight="1">
      <c r="A168" s="520" t="s">
        <v>194</v>
      </c>
      <c r="B168" s="616">
        <v>577588854</v>
      </c>
      <c r="C168" s="627"/>
      <c r="D168" s="616">
        <v>18659616.75</v>
      </c>
      <c r="E168" s="616"/>
      <c r="F168" s="616">
        <v>158999951</v>
      </c>
      <c r="G168" s="616"/>
      <c r="H168" s="616">
        <v>4810551.87</v>
      </c>
      <c r="I168" s="616"/>
      <c r="J168" s="616">
        <v>0</v>
      </c>
      <c r="K168" s="628"/>
      <c r="L168" s="616">
        <v>0</v>
      </c>
      <c r="M168" s="628"/>
      <c r="N168" s="616">
        <v>185156295</v>
      </c>
      <c r="O168" s="616"/>
      <c r="P168" s="616">
        <v>2077706.8900000001</v>
      </c>
      <c r="Q168" s="613"/>
      <c r="R168" s="613"/>
      <c r="S168" s="613"/>
      <c r="T168" s="613"/>
      <c r="U168" s="613"/>
      <c r="V168" s="613"/>
      <c r="W168" s="613"/>
      <c r="X168" s="613"/>
    </row>
    <row r="169" spans="1:24" ht="15" customHeight="1">
      <c r="A169" s="517" t="s">
        <v>997</v>
      </c>
      <c r="B169" s="601"/>
      <c r="C169" s="568"/>
      <c r="D169" s="601"/>
      <c r="E169" s="568"/>
      <c r="F169" s="601"/>
      <c r="G169" s="568"/>
      <c r="H169" s="601"/>
      <c r="I169" s="568"/>
      <c r="J169" s="601"/>
      <c r="K169" s="568"/>
      <c r="L169" s="601"/>
      <c r="M169" s="568"/>
      <c r="N169" s="601"/>
      <c r="O169" s="568"/>
      <c r="P169" s="601"/>
      <c r="Q169" s="577"/>
      <c r="R169" s="577"/>
      <c r="S169" s="577"/>
      <c r="T169" s="577"/>
      <c r="U169" s="577"/>
      <c r="V169" s="577"/>
      <c r="W169" s="577"/>
      <c r="X169" s="577"/>
    </row>
    <row r="170" spans="1:24" s="586" customFormat="1" ht="13.2">
      <c r="A170" s="602" t="s">
        <v>965</v>
      </c>
      <c r="B170" s="602"/>
      <c r="C170" s="602"/>
      <c r="D170" s="602"/>
      <c r="E170" s="602"/>
      <c r="F170" s="602"/>
      <c r="G170" s="602"/>
      <c r="H170" s="602"/>
      <c r="I170" s="602"/>
      <c r="J170" s="602"/>
      <c r="K170" s="602"/>
      <c r="L170" s="602"/>
      <c r="M170" s="602"/>
      <c r="N170" s="602"/>
      <c r="O170" s="602"/>
      <c r="P170" s="602"/>
      <c r="Q170" s="630"/>
      <c r="R170" s="630"/>
      <c r="S170" s="630"/>
      <c r="T170" s="630"/>
      <c r="U170" s="630"/>
      <c r="V170" s="630"/>
      <c r="W170" s="630"/>
      <c r="X170" s="630"/>
    </row>
    <row r="171" spans="1:24" ht="13.2">
      <c r="A171" s="940" t="s">
        <v>1105</v>
      </c>
      <c r="B171" s="522"/>
      <c r="C171" s="523"/>
      <c r="D171" s="523"/>
      <c r="E171" s="523"/>
      <c r="F171" s="523"/>
      <c r="G171" s="523"/>
      <c r="H171" s="523"/>
      <c r="I171" s="523"/>
      <c r="J171" s="523"/>
      <c r="K171" s="523"/>
      <c r="L171" s="523"/>
      <c r="M171" s="523"/>
      <c r="N171" s="523"/>
      <c r="O171" s="523"/>
      <c r="P171" s="523"/>
      <c r="Q171" s="605"/>
      <c r="R171" s="605"/>
      <c r="S171" s="605"/>
      <c r="T171" s="605"/>
      <c r="U171" s="605"/>
      <c r="V171" s="605"/>
      <c r="W171" s="605"/>
      <c r="X171" s="605"/>
    </row>
    <row r="172" spans="1:24" ht="11.25" customHeight="1" thickBot="1">
      <c r="A172" s="524"/>
      <c r="B172" s="524"/>
      <c r="C172" s="524"/>
      <c r="D172" s="524"/>
      <c r="E172" s="524"/>
      <c r="F172" s="524"/>
      <c r="G172" s="524"/>
      <c r="H172" s="524"/>
      <c r="I172" s="524"/>
      <c r="J172" s="524"/>
      <c r="K172" s="524"/>
      <c r="L172" s="524"/>
      <c r="M172" s="524"/>
      <c r="N172" s="524"/>
      <c r="O172" s="524"/>
      <c r="P172" s="524"/>
      <c r="Q172" s="605"/>
      <c r="R172" s="605"/>
      <c r="S172" s="605"/>
      <c r="T172" s="605"/>
      <c r="U172" s="605"/>
      <c r="V172" s="605"/>
      <c r="W172" s="605"/>
      <c r="X172" s="605"/>
    </row>
    <row r="173" spans="1:24" ht="14.25" customHeight="1">
      <c r="A173" s="568"/>
      <c r="B173" s="1157" t="s">
        <v>966</v>
      </c>
      <c r="C173" s="1157"/>
      <c r="D173" s="1157"/>
      <c r="E173" s="568"/>
      <c r="F173" s="1157" t="s">
        <v>967</v>
      </c>
      <c r="G173" s="1157"/>
      <c r="H173" s="1157"/>
      <c r="I173" s="568"/>
      <c r="J173" s="1157" t="s">
        <v>968</v>
      </c>
      <c r="K173" s="1157"/>
      <c r="L173" s="1157"/>
      <c r="M173" s="568"/>
      <c r="N173" s="1157" t="s">
        <v>969</v>
      </c>
      <c r="O173" s="1157"/>
      <c r="P173" s="1157"/>
      <c r="Q173" s="606"/>
      <c r="R173" s="606"/>
      <c r="S173" s="606"/>
      <c r="T173" s="606"/>
      <c r="U173" s="606"/>
      <c r="V173" s="606"/>
      <c r="W173" s="606"/>
      <c r="X173" s="606"/>
    </row>
    <row r="174" spans="1:24" ht="12" customHeight="1">
      <c r="A174" s="607" t="s">
        <v>35</v>
      </c>
      <c r="B174" s="608" t="s">
        <v>970</v>
      </c>
      <c r="C174" s="525"/>
      <c r="D174" s="608" t="s">
        <v>971</v>
      </c>
      <c r="E174" s="525"/>
      <c r="F174" s="608" t="s">
        <v>970</v>
      </c>
      <c r="G174" s="525"/>
      <c r="H174" s="608" t="s">
        <v>971</v>
      </c>
      <c r="I174" s="525"/>
      <c r="J174" s="608" t="s">
        <v>970</v>
      </c>
      <c r="K174" s="525"/>
      <c r="L174" s="608" t="s">
        <v>971</v>
      </c>
      <c r="M174" s="525"/>
      <c r="N174" s="608" t="s">
        <v>970</v>
      </c>
      <c r="O174" s="525"/>
      <c r="P174" s="608" t="s">
        <v>971</v>
      </c>
      <c r="Q174" s="609"/>
      <c r="R174" s="609"/>
      <c r="S174" s="609"/>
      <c r="T174" s="609"/>
      <c r="U174" s="609"/>
      <c r="V174" s="609"/>
      <c r="W174" s="609"/>
      <c r="X174" s="609"/>
    </row>
    <row r="175" spans="1:24" ht="8.25" customHeight="1"/>
    <row r="176" spans="1:24" ht="12" customHeight="1">
      <c r="A176" s="518" t="s">
        <v>941</v>
      </c>
      <c r="B176" s="610">
        <v>314472263</v>
      </c>
      <c r="C176" s="611"/>
      <c r="D176" s="610">
        <v>9595335.6598000005</v>
      </c>
      <c r="E176" s="611"/>
      <c r="F176" s="610">
        <v>752309575</v>
      </c>
      <c r="G176" s="611"/>
      <c r="H176" s="610">
        <v>4749200.0674999999</v>
      </c>
      <c r="I176" s="611"/>
      <c r="J176" s="610">
        <v>0</v>
      </c>
      <c r="K176" s="611"/>
      <c r="L176" s="610">
        <v>0</v>
      </c>
      <c r="M176" s="611"/>
      <c r="N176" s="610">
        <v>72399245</v>
      </c>
      <c r="O176" s="611"/>
      <c r="P176" s="612">
        <v>877704.04837999993</v>
      </c>
      <c r="Q176" s="613"/>
      <c r="R176" s="613"/>
      <c r="S176" s="613"/>
      <c r="T176" s="613"/>
      <c r="U176" s="613"/>
      <c r="V176" s="613"/>
      <c r="W176" s="613"/>
      <c r="X176" s="613"/>
    </row>
    <row r="177" spans="1:24" ht="12" customHeight="1">
      <c r="A177" s="518" t="s">
        <v>961</v>
      </c>
      <c r="B177" s="614">
        <v>107397549</v>
      </c>
      <c r="C177" s="623"/>
      <c r="D177" s="614">
        <v>3756796.01</v>
      </c>
      <c r="E177" s="623"/>
      <c r="F177" s="614">
        <v>1219048</v>
      </c>
      <c r="G177" s="623"/>
      <c r="H177" s="614">
        <v>42666.74</v>
      </c>
      <c r="I177" s="623"/>
      <c r="J177" s="614">
        <v>0</v>
      </c>
      <c r="K177" s="623"/>
      <c r="L177" s="614">
        <v>0</v>
      </c>
      <c r="M177" s="623"/>
      <c r="N177" s="614">
        <v>27368963</v>
      </c>
      <c r="O177" s="623"/>
      <c r="P177" s="616">
        <v>451587.89</v>
      </c>
      <c r="Q177" s="613"/>
      <c r="R177" s="613"/>
      <c r="S177" s="613"/>
      <c r="T177" s="613"/>
      <c r="U177" s="613"/>
      <c r="V177" s="613"/>
      <c r="W177" s="613"/>
      <c r="X177" s="613"/>
    </row>
    <row r="178" spans="1:24" ht="12" customHeight="1">
      <c r="A178" s="518" t="s">
        <v>200</v>
      </c>
      <c r="B178" s="614">
        <v>94221136</v>
      </c>
      <c r="C178" s="623"/>
      <c r="D178" s="614">
        <v>2161344.8299999996</v>
      </c>
      <c r="E178" s="623"/>
      <c r="F178" s="614">
        <v>7159164</v>
      </c>
      <c r="G178" s="623"/>
      <c r="H178" s="614">
        <v>132444.54</v>
      </c>
      <c r="I178" s="623"/>
      <c r="J178" s="614">
        <v>0</v>
      </c>
      <c r="K178" s="623"/>
      <c r="L178" s="614">
        <v>0</v>
      </c>
      <c r="M178" s="623"/>
      <c r="N178" s="614">
        <v>23000411</v>
      </c>
      <c r="O178" s="623"/>
      <c r="P178" s="616">
        <v>239302.43</v>
      </c>
      <c r="Q178" s="613"/>
      <c r="R178" s="613"/>
      <c r="S178" s="613"/>
      <c r="T178" s="613"/>
      <c r="U178" s="613"/>
      <c r="V178" s="613"/>
      <c r="W178" s="613"/>
      <c r="X178" s="613"/>
    </row>
    <row r="179" spans="1:24" ht="12" customHeight="1">
      <c r="A179" s="518" t="s">
        <v>202</v>
      </c>
      <c r="B179" s="614">
        <v>1236131134</v>
      </c>
      <c r="C179" s="615"/>
      <c r="D179" s="614">
        <v>50315416.920000002</v>
      </c>
      <c r="E179" s="615"/>
      <c r="F179" s="614">
        <v>484194454</v>
      </c>
      <c r="G179" s="615"/>
      <c r="H179" s="614">
        <v>18157292.239999998</v>
      </c>
      <c r="I179" s="615"/>
      <c r="J179" s="614">
        <v>0</v>
      </c>
      <c r="K179" s="615"/>
      <c r="L179" s="614">
        <v>0</v>
      </c>
      <c r="M179" s="615"/>
      <c r="N179" s="614">
        <v>518727044</v>
      </c>
      <c r="O179" s="615"/>
      <c r="P179" s="616">
        <v>5790999.1309999991</v>
      </c>
      <c r="Q179" s="613"/>
      <c r="R179" s="613"/>
      <c r="S179" s="613"/>
      <c r="T179" s="613"/>
      <c r="U179" s="613"/>
      <c r="V179" s="613"/>
      <c r="W179" s="613"/>
      <c r="X179" s="613"/>
    </row>
    <row r="180" spans="1:24" ht="12" customHeight="1">
      <c r="A180" s="518" t="s">
        <v>539</v>
      </c>
      <c r="B180" s="614">
        <v>1718109475</v>
      </c>
      <c r="C180" s="615"/>
      <c r="D180" s="614">
        <v>66911372</v>
      </c>
      <c r="E180" s="615"/>
      <c r="F180" s="614">
        <v>131688653</v>
      </c>
      <c r="G180" s="615"/>
      <c r="H180" s="614">
        <v>5825533</v>
      </c>
      <c r="I180" s="615"/>
      <c r="J180" s="614">
        <v>0</v>
      </c>
      <c r="K180" s="615"/>
      <c r="L180" s="614">
        <v>0</v>
      </c>
      <c r="M180" s="615"/>
      <c r="N180" s="614">
        <v>802943151</v>
      </c>
      <c r="O180" s="615"/>
      <c r="P180" s="616">
        <v>8992400</v>
      </c>
      <c r="Q180" s="613"/>
      <c r="R180" s="613"/>
      <c r="S180" s="613"/>
      <c r="T180" s="613"/>
      <c r="U180" s="613"/>
      <c r="V180" s="613"/>
      <c r="W180" s="613"/>
      <c r="X180" s="613"/>
    </row>
    <row r="181" spans="1:24" ht="8.25" customHeight="1">
      <c r="B181" s="614"/>
      <c r="C181" s="615"/>
      <c r="D181" s="614"/>
      <c r="E181" s="615"/>
      <c r="F181" s="614"/>
      <c r="G181" s="615"/>
      <c r="H181" s="614"/>
      <c r="I181" s="615"/>
      <c r="J181" s="614"/>
      <c r="K181" s="615"/>
      <c r="L181" s="614"/>
      <c r="M181" s="615"/>
      <c r="N181" s="614"/>
      <c r="O181" s="615"/>
      <c r="P181" s="616"/>
      <c r="Q181" s="613"/>
      <c r="R181" s="613"/>
      <c r="S181" s="613"/>
      <c r="T181" s="613"/>
      <c r="U181" s="613"/>
      <c r="V181" s="613"/>
      <c r="W181" s="613"/>
      <c r="X181" s="613"/>
    </row>
    <row r="182" spans="1:24" ht="12" customHeight="1">
      <c r="A182" s="518" t="s">
        <v>942</v>
      </c>
      <c r="B182" s="614">
        <v>28880874</v>
      </c>
      <c r="C182" s="615"/>
      <c r="D182" s="614">
        <v>516843.69</v>
      </c>
      <c r="E182" s="615"/>
      <c r="F182" s="614">
        <v>5140577</v>
      </c>
      <c r="G182" s="615"/>
      <c r="H182" s="614">
        <v>95100.67</v>
      </c>
      <c r="I182" s="615"/>
      <c r="J182" s="614">
        <v>0</v>
      </c>
      <c r="K182" s="615"/>
      <c r="L182" s="614">
        <v>0</v>
      </c>
      <c r="M182" s="615"/>
      <c r="N182" s="614">
        <v>25633731</v>
      </c>
      <c r="O182" s="615"/>
      <c r="P182" s="616">
        <v>206515.9</v>
      </c>
      <c r="Q182" s="613"/>
      <c r="R182" s="613"/>
      <c r="S182" s="613"/>
      <c r="T182" s="613"/>
      <c r="U182" s="613"/>
      <c r="V182" s="613"/>
      <c r="W182" s="613"/>
      <c r="X182" s="613"/>
    </row>
    <row r="183" spans="1:24" ht="12" customHeight="1">
      <c r="A183" s="518" t="s">
        <v>208</v>
      </c>
      <c r="B183" s="614">
        <v>150578155</v>
      </c>
      <c r="C183" s="615"/>
      <c r="D183" s="614">
        <v>6586130</v>
      </c>
      <c r="E183" s="615"/>
      <c r="F183" s="614">
        <v>96204995</v>
      </c>
      <c r="G183" s="615"/>
      <c r="H183" s="614">
        <v>4095229</v>
      </c>
      <c r="I183" s="615"/>
      <c r="J183" s="614">
        <v>0</v>
      </c>
      <c r="K183" s="615"/>
      <c r="L183" s="614">
        <v>0</v>
      </c>
      <c r="M183" s="615"/>
      <c r="N183" s="614">
        <v>102925825</v>
      </c>
      <c r="O183" s="615"/>
      <c r="P183" s="616">
        <v>1391538</v>
      </c>
      <c r="Q183" s="613"/>
      <c r="R183" s="613"/>
      <c r="S183" s="613"/>
      <c r="T183" s="613"/>
      <c r="U183" s="613"/>
      <c r="V183" s="613"/>
      <c r="W183" s="613"/>
      <c r="X183" s="613"/>
    </row>
    <row r="184" spans="1:24" ht="12" customHeight="1">
      <c r="A184" s="518" t="s">
        <v>943</v>
      </c>
      <c r="B184" s="614">
        <v>128575950</v>
      </c>
      <c r="C184" s="615"/>
      <c r="D184" s="614">
        <v>4476734.95</v>
      </c>
      <c r="E184" s="615"/>
      <c r="F184" s="614">
        <v>0</v>
      </c>
      <c r="G184" s="615"/>
      <c r="H184" s="614">
        <v>0</v>
      </c>
      <c r="I184" s="615"/>
      <c r="J184" s="614">
        <v>0</v>
      </c>
      <c r="K184" s="615"/>
      <c r="L184" s="614">
        <v>0</v>
      </c>
      <c r="M184" s="615"/>
      <c r="N184" s="614">
        <v>18488507</v>
      </c>
      <c r="O184" s="615"/>
      <c r="P184" s="616">
        <v>170094.26</v>
      </c>
      <c r="Q184" s="613"/>
      <c r="R184" s="613"/>
      <c r="S184" s="613"/>
      <c r="T184" s="613"/>
      <c r="U184" s="613"/>
      <c r="V184" s="613"/>
      <c r="W184" s="613"/>
      <c r="X184" s="613"/>
    </row>
    <row r="185" spans="1:24" ht="12" customHeight="1">
      <c r="A185" s="518" t="s">
        <v>212</v>
      </c>
      <c r="B185" s="614">
        <v>805097928</v>
      </c>
      <c r="C185" s="623"/>
      <c r="D185" s="614">
        <v>38215646.129999995</v>
      </c>
      <c r="E185" s="623"/>
      <c r="F185" s="614">
        <v>43620524</v>
      </c>
      <c r="G185" s="623"/>
      <c r="H185" s="614">
        <v>1308615.72</v>
      </c>
      <c r="I185" s="623"/>
      <c r="J185" s="618">
        <v>0</v>
      </c>
      <c r="K185" s="1079"/>
      <c r="L185" s="618">
        <v>0</v>
      </c>
      <c r="M185" s="623"/>
      <c r="N185" s="614">
        <v>274422208</v>
      </c>
      <c r="O185" s="623"/>
      <c r="P185" s="616">
        <v>3561540.87</v>
      </c>
      <c r="Q185" s="613"/>
      <c r="R185" s="613"/>
      <c r="S185" s="613"/>
      <c r="T185" s="613"/>
      <c r="U185" s="613"/>
      <c r="V185" s="613"/>
      <c r="W185" s="613"/>
      <c r="X185" s="613"/>
    </row>
    <row r="186" spans="1:24" ht="12" customHeight="1">
      <c r="A186" s="518" t="s">
        <v>214</v>
      </c>
      <c r="B186" s="614">
        <v>53440472</v>
      </c>
      <c r="C186" s="623"/>
      <c r="D186" s="614">
        <v>1296135.0599999998</v>
      </c>
      <c r="E186" s="623"/>
      <c r="F186" s="614">
        <v>16453998</v>
      </c>
      <c r="G186" s="623"/>
      <c r="H186" s="614">
        <v>289590.36</v>
      </c>
      <c r="I186" s="623"/>
      <c r="J186" s="614">
        <v>0</v>
      </c>
      <c r="K186" s="623"/>
      <c r="L186" s="614">
        <v>0</v>
      </c>
      <c r="M186" s="623"/>
      <c r="N186" s="614">
        <v>25900365</v>
      </c>
      <c r="O186" s="623"/>
      <c r="P186" s="616">
        <v>196991.08</v>
      </c>
      <c r="Q186" s="613"/>
      <c r="R186" s="613"/>
      <c r="S186" s="613"/>
      <c r="T186" s="613"/>
      <c r="U186" s="613"/>
      <c r="V186" s="613"/>
      <c r="W186" s="613"/>
      <c r="X186" s="613"/>
    </row>
    <row r="187" spans="1:24" ht="8.25" customHeight="1">
      <c r="B187" s="614"/>
      <c r="C187" s="623"/>
      <c r="D187" s="614"/>
      <c r="E187" s="623"/>
      <c r="F187" s="614"/>
      <c r="G187" s="623"/>
      <c r="H187" s="614"/>
      <c r="I187" s="623"/>
      <c r="J187" s="614"/>
      <c r="K187" s="623"/>
      <c r="L187" s="614"/>
      <c r="M187" s="623"/>
      <c r="N187" s="614"/>
      <c r="O187" s="623"/>
      <c r="P187" s="616"/>
      <c r="Q187" s="613"/>
      <c r="R187" s="613"/>
      <c r="S187" s="613"/>
      <c r="T187" s="613"/>
      <c r="U187" s="613"/>
      <c r="V187" s="613"/>
      <c r="W187" s="613"/>
      <c r="X187" s="613"/>
    </row>
    <row r="188" spans="1:24" ht="12" customHeight="1">
      <c r="A188" s="518" t="s">
        <v>178</v>
      </c>
      <c r="B188" s="614">
        <v>1839177085.7027025</v>
      </c>
      <c r="C188" s="615"/>
      <c r="D188" s="614">
        <v>62938141.530000001</v>
      </c>
      <c r="E188" s="615"/>
      <c r="F188" s="614">
        <v>683102290</v>
      </c>
      <c r="G188" s="615"/>
      <c r="H188" s="614">
        <v>15711352.669999998</v>
      </c>
      <c r="I188" s="615"/>
      <c r="J188" s="614">
        <v>0</v>
      </c>
      <c r="K188" s="615"/>
      <c r="L188" s="614">
        <v>0</v>
      </c>
      <c r="M188" s="615"/>
      <c r="N188" s="614">
        <v>983217187</v>
      </c>
      <c r="O188" s="615"/>
      <c r="P188" s="616">
        <v>11931685.944</v>
      </c>
      <c r="Q188" s="613"/>
      <c r="R188" s="613"/>
      <c r="S188" s="613"/>
      <c r="T188" s="613"/>
      <c r="U188" s="613"/>
      <c r="V188" s="613"/>
      <c r="W188" s="613"/>
      <c r="X188" s="613"/>
    </row>
    <row r="189" spans="1:24" ht="12" customHeight="1">
      <c r="A189" s="518" t="s">
        <v>37</v>
      </c>
      <c r="B189" s="614">
        <v>820379119</v>
      </c>
      <c r="C189" s="615"/>
      <c r="D189" s="614">
        <v>27253283.52</v>
      </c>
      <c r="E189" s="615"/>
      <c r="F189" s="614">
        <v>86130130.754999995</v>
      </c>
      <c r="G189" s="615"/>
      <c r="H189" s="614">
        <v>2791511.04</v>
      </c>
      <c r="I189" s="615"/>
      <c r="J189" s="614">
        <v>0</v>
      </c>
      <c r="K189" s="615"/>
      <c r="L189" s="614">
        <v>0</v>
      </c>
      <c r="M189" s="615"/>
      <c r="N189" s="614">
        <v>385332363</v>
      </c>
      <c r="O189" s="615"/>
      <c r="P189" s="616">
        <v>4614034.99</v>
      </c>
      <c r="Q189" s="613"/>
      <c r="R189" s="613"/>
      <c r="S189" s="613"/>
      <c r="T189" s="613"/>
      <c r="U189" s="613"/>
      <c r="V189" s="613"/>
      <c r="W189" s="613"/>
      <c r="X189" s="613"/>
    </row>
    <row r="190" spans="1:24" ht="12" customHeight="1">
      <c r="A190" s="518" t="s">
        <v>215</v>
      </c>
      <c r="B190" s="614">
        <v>284348179</v>
      </c>
      <c r="C190" s="615"/>
      <c r="D190" s="614">
        <v>8617355.8100000005</v>
      </c>
      <c r="E190" s="615"/>
      <c r="F190" s="614">
        <v>90585895</v>
      </c>
      <c r="G190" s="615"/>
      <c r="H190" s="614">
        <v>2898748.62</v>
      </c>
      <c r="I190" s="615"/>
      <c r="J190" s="614">
        <v>0</v>
      </c>
      <c r="K190" s="615"/>
      <c r="L190" s="614">
        <v>0</v>
      </c>
      <c r="M190" s="615"/>
      <c r="N190" s="614">
        <v>42281759</v>
      </c>
      <c r="O190" s="615"/>
      <c r="P190" s="616">
        <v>498977.9</v>
      </c>
      <c r="Q190" s="613"/>
      <c r="R190" s="613"/>
      <c r="S190" s="613"/>
      <c r="T190" s="613"/>
      <c r="U190" s="613"/>
      <c r="V190" s="613"/>
      <c r="W190" s="613"/>
      <c r="X190" s="613"/>
    </row>
    <row r="191" spans="1:24" ht="12" customHeight="1">
      <c r="A191" s="518" t="s">
        <v>216</v>
      </c>
      <c r="B191" s="614">
        <v>213420956</v>
      </c>
      <c r="C191" s="623"/>
      <c r="D191" s="614">
        <v>5868511.3900000006</v>
      </c>
      <c r="E191" s="623"/>
      <c r="F191" s="614">
        <v>22142608</v>
      </c>
      <c r="G191" s="623"/>
      <c r="H191" s="614">
        <v>274568.43</v>
      </c>
      <c r="I191" s="623"/>
      <c r="J191" s="614">
        <v>0</v>
      </c>
      <c r="K191" s="623"/>
      <c r="L191" s="614">
        <v>0</v>
      </c>
      <c r="M191" s="623"/>
      <c r="N191" s="614">
        <v>61933318</v>
      </c>
      <c r="O191" s="623"/>
      <c r="P191" s="616">
        <v>559688.27999999991</v>
      </c>
      <c r="Q191" s="613"/>
      <c r="R191" s="613"/>
      <c r="S191" s="613"/>
      <c r="T191" s="613"/>
      <c r="U191" s="613"/>
      <c r="V191" s="613"/>
      <c r="W191" s="613"/>
      <c r="X191" s="613"/>
    </row>
    <row r="192" spans="1:24" ht="12" customHeight="1">
      <c r="A192" s="518" t="s">
        <v>217</v>
      </c>
      <c r="B192" s="614">
        <v>758447008</v>
      </c>
      <c r="C192" s="623"/>
      <c r="D192" s="614">
        <v>26655178.800000001</v>
      </c>
      <c r="E192" s="623"/>
      <c r="F192" s="614">
        <v>50651600</v>
      </c>
      <c r="G192" s="623"/>
      <c r="H192" s="614">
        <v>1587444.92</v>
      </c>
      <c r="I192" s="623"/>
      <c r="J192" s="614">
        <v>0</v>
      </c>
      <c r="K192" s="623"/>
      <c r="L192" s="614">
        <v>0</v>
      </c>
      <c r="M192" s="623"/>
      <c r="N192" s="614">
        <v>329184781</v>
      </c>
      <c r="O192" s="623"/>
      <c r="P192" s="616">
        <v>3210358.95</v>
      </c>
      <c r="Q192" s="613"/>
      <c r="R192" s="613"/>
      <c r="S192" s="613"/>
      <c r="T192" s="613"/>
      <c r="U192" s="613"/>
      <c r="V192" s="613"/>
      <c r="W192" s="613"/>
      <c r="X192" s="613"/>
    </row>
    <row r="193" spans="1:24" ht="8.25" customHeight="1">
      <c r="B193" s="614"/>
      <c r="C193" s="623"/>
      <c r="D193" s="614"/>
      <c r="E193" s="623"/>
      <c r="F193" s="614"/>
      <c r="G193" s="623"/>
      <c r="H193" s="614"/>
      <c r="I193" s="623"/>
      <c r="J193" s="614"/>
      <c r="K193" s="623"/>
      <c r="L193" s="614"/>
      <c r="M193" s="623"/>
      <c r="N193" s="614"/>
      <c r="O193" s="623"/>
      <c r="P193" s="616"/>
      <c r="Q193" s="613"/>
      <c r="R193" s="613"/>
      <c r="S193" s="613"/>
      <c r="T193" s="613"/>
      <c r="U193" s="613"/>
      <c r="V193" s="613"/>
      <c r="W193" s="613"/>
      <c r="X193" s="613"/>
    </row>
    <row r="194" spans="1:24" ht="12" customHeight="1">
      <c r="A194" s="518" t="s">
        <v>799</v>
      </c>
      <c r="B194" s="614">
        <v>4032216941</v>
      </c>
      <c r="C194" s="623"/>
      <c r="D194" s="614">
        <v>139198510</v>
      </c>
      <c r="E194" s="623"/>
      <c r="F194" s="614">
        <v>156058741</v>
      </c>
      <c r="G194" s="623"/>
      <c r="H194" s="614">
        <v>67150.64</v>
      </c>
      <c r="I194" s="623"/>
      <c r="J194" s="614">
        <v>0</v>
      </c>
      <c r="K194" s="626"/>
      <c r="L194" s="614">
        <v>0</v>
      </c>
      <c r="M194" s="626"/>
      <c r="N194" s="614">
        <v>1868536569</v>
      </c>
      <c r="O194" s="623"/>
      <c r="P194" s="616">
        <v>8342173</v>
      </c>
      <c r="Q194" s="613"/>
      <c r="R194" s="613"/>
      <c r="S194" s="613"/>
      <c r="T194" s="613"/>
      <c r="U194" s="613"/>
      <c r="V194" s="613"/>
      <c r="W194" s="613"/>
      <c r="X194" s="613"/>
    </row>
    <row r="195" spans="1:24" ht="12" customHeight="1">
      <c r="A195" s="518" t="s">
        <v>219</v>
      </c>
      <c r="B195" s="614">
        <v>102215252</v>
      </c>
      <c r="C195" s="615"/>
      <c r="D195" s="614">
        <v>5052553.9200000009</v>
      </c>
      <c r="E195" s="615"/>
      <c r="F195" s="614">
        <v>36146642</v>
      </c>
      <c r="G195" s="615"/>
      <c r="H195" s="614">
        <v>1084399.26</v>
      </c>
      <c r="I195" s="615"/>
      <c r="J195" s="614">
        <v>0</v>
      </c>
      <c r="K195" s="615"/>
      <c r="L195" s="614">
        <v>0</v>
      </c>
      <c r="M195" s="615"/>
      <c r="N195" s="614">
        <v>93548388</v>
      </c>
      <c r="O195" s="615"/>
      <c r="P195" s="616">
        <v>705574.15</v>
      </c>
      <c r="Q195" s="613"/>
      <c r="R195" s="613"/>
      <c r="S195" s="613"/>
      <c r="T195" s="613"/>
      <c r="U195" s="613"/>
      <c r="V195" s="613"/>
      <c r="W195" s="613"/>
      <c r="X195" s="613"/>
    </row>
    <row r="196" spans="1:24" ht="12" customHeight="1">
      <c r="A196" s="518" t="s">
        <v>944</v>
      </c>
      <c r="B196" s="614">
        <v>77258879</v>
      </c>
      <c r="C196" s="623"/>
      <c r="D196" s="614">
        <v>2688833.29</v>
      </c>
      <c r="E196" s="623"/>
      <c r="F196" s="614">
        <v>83090</v>
      </c>
      <c r="G196" s="623"/>
      <c r="H196" s="614">
        <v>2908.15</v>
      </c>
      <c r="I196" s="623"/>
      <c r="J196" s="614">
        <v>0</v>
      </c>
      <c r="K196" s="626"/>
      <c r="L196" s="614">
        <v>0</v>
      </c>
      <c r="M196" s="626"/>
      <c r="N196" s="614">
        <v>60099919</v>
      </c>
      <c r="O196" s="623"/>
      <c r="P196" s="616">
        <v>342670.62</v>
      </c>
      <c r="Q196" s="613"/>
      <c r="R196" s="613"/>
      <c r="S196" s="613"/>
      <c r="T196" s="613"/>
      <c r="U196" s="613"/>
      <c r="V196" s="613"/>
      <c r="W196" s="613"/>
      <c r="X196" s="613"/>
    </row>
    <row r="197" spans="1:24" ht="12" customHeight="1">
      <c r="A197" s="518" t="s">
        <v>223</v>
      </c>
      <c r="B197" s="614">
        <v>262660899</v>
      </c>
      <c r="C197" s="623"/>
      <c r="D197" s="614">
        <v>11114444</v>
      </c>
      <c r="E197" s="623"/>
      <c r="F197" s="614">
        <v>120805964</v>
      </c>
      <c r="G197" s="623"/>
      <c r="H197" s="614">
        <v>1570477</v>
      </c>
      <c r="I197" s="623"/>
      <c r="J197" s="614">
        <v>0</v>
      </c>
      <c r="K197" s="623"/>
      <c r="L197" s="614">
        <v>0</v>
      </c>
      <c r="M197" s="623"/>
      <c r="N197" s="614">
        <v>72278111</v>
      </c>
      <c r="O197" s="623"/>
      <c r="P197" s="616">
        <v>686837</v>
      </c>
      <c r="Q197" s="613"/>
      <c r="R197" s="613"/>
      <c r="S197" s="613"/>
      <c r="T197" s="613"/>
      <c r="U197" s="613"/>
      <c r="V197" s="613"/>
      <c r="W197" s="613"/>
      <c r="X197" s="613"/>
    </row>
    <row r="198" spans="1:24" ht="12" customHeight="1"/>
    <row r="199" spans="1:24" s="598" customFormat="1" ht="12.75" customHeight="1">
      <c r="A199" s="557" t="s">
        <v>39</v>
      </c>
      <c r="B199" s="557">
        <f>SUM(B146:B167,B168:B197)</f>
        <v>20282984743.972702</v>
      </c>
      <c r="C199" s="557"/>
      <c r="D199" s="557">
        <f>SUM(D146:D167,D168:D197)</f>
        <v>743177000.65986574</v>
      </c>
      <c r="E199" s="557"/>
      <c r="F199" s="557">
        <f>SUM(F146:F167,F168:F197)</f>
        <v>3681033835.9450002</v>
      </c>
      <c r="G199" s="557"/>
      <c r="H199" s="557">
        <f>SUM(H146:H167,H168:H197)</f>
        <v>86328271.037550032</v>
      </c>
      <c r="I199" s="557"/>
      <c r="J199" s="557">
        <f>SUM(J146:J167,J168:J197)</f>
        <v>0</v>
      </c>
      <c r="K199" s="557"/>
      <c r="L199" s="557">
        <f>SUM(L146:L167,L168:L197)</f>
        <v>0</v>
      </c>
      <c r="M199" s="557"/>
      <c r="N199" s="557">
        <f>SUM(N146:N167,N168:N197)</f>
        <v>9130245963</v>
      </c>
      <c r="O199" s="557"/>
      <c r="P199" s="557">
        <f>SUM(P146:P167,P168:P197)</f>
        <v>104234773.70063004</v>
      </c>
      <c r="Q199" s="599"/>
      <c r="R199" s="599"/>
      <c r="S199" s="599"/>
      <c r="T199" s="599"/>
      <c r="U199" s="599"/>
      <c r="V199" s="599"/>
      <c r="W199" s="599"/>
      <c r="X199" s="599"/>
    </row>
    <row r="200" spans="1:24" s="598" customFormat="1" ht="12.75" customHeight="1">
      <c r="A200" s="557" t="s">
        <v>34</v>
      </c>
      <c r="B200" s="557">
        <f>B140</f>
        <v>56268027196.425842</v>
      </c>
      <c r="C200" s="557"/>
      <c r="D200" s="557">
        <f>D140</f>
        <v>1972392602.7182999</v>
      </c>
      <c r="E200" s="557"/>
      <c r="F200" s="557">
        <f>F140</f>
        <v>6279695713.499814</v>
      </c>
      <c r="G200" s="557"/>
      <c r="H200" s="557">
        <f>H140</f>
        <v>118546882.73099998</v>
      </c>
      <c r="I200" s="557"/>
      <c r="J200" s="557">
        <f>J140</f>
        <v>1127437244</v>
      </c>
      <c r="K200" s="557"/>
      <c r="L200" s="557">
        <f>L140</f>
        <v>12053117.250000002</v>
      </c>
      <c r="M200" s="557"/>
      <c r="N200" s="557">
        <f>N140</f>
        <v>31012067131.439865</v>
      </c>
      <c r="O200" s="557"/>
      <c r="P200" s="557">
        <f>P140</f>
        <v>237432281.20044905</v>
      </c>
      <c r="Q200" s="599"/>
      <c r="R200" s="599"/>
      <c r="S200" s="599"/>
      <c r="T200" s="599"/>
      <c r="U200" s="599"/>
      <c r="V200" s="599"/>
      <c r="W200" s="599"/>
      <c r="X200" s="599"/>
    </row>
    <row r="201" spans="1:24" ht="11.25" customHeight="1"/>
    <row r="202" spans="1:24" ht="12.75" customHeight="1">
      <c r="A202" s="591" t="s">
        <v>40</v>
      </c>
      <c r="B202" s="557">
        <f>SUM(B199:B201)</f>
        <v>76551011940.398544</v>
      </c>
      <c r="C202" s="557"/>
      <c r="D202" s="557">
        <f>SUM(D199:D201)</f>
        <v>2715569603.3781657</v>
      </c>
      <c r="E202" s="557"/>
      <c r="F202" s="557">
        <f>SUM(F199:F201)</f>
        <v>9960729549.4448147</v>
      </c>
      <c r="G202" s="557"/>
      <c r="H202" s="557">
        <f>SUM(H199:H201)</f>
        <v>204875153.76855001</v>
      </c>
      <c r="I202" s="557"/>
      <c r="J202" s="557">
        <f>SUM(J199:J201)</f>
        <v>1127437244</v>
      </c>
      <c r="K202" s="557"/>
      <c r="L202" s="557">
        <f>SUM(L199:L201)</f>
        <v>12053117.250000002</v>
      </c>
      <c r="M202" s="557"/>
      <c r="N202" s="557">
        <f>SUM(N199:N201)</f>
        <v>40142313094.439865</v>
      </c>
      <c r="O202" s="557"/>
      <c r="P202" s="557">
        <f>SUM(P199:P201)</f>
        <v>341667054.90107906</v>
      </c>
      <c r="Q202" s="599"/>
      <c r="R202" s="599"/>
      <c r="S202" s="599"/>
      <c r="T202" s="599"/>
      <c r="U202" s="599"/>
      <c r="V202" s="599"/>
      <c r="W202" s="599"/>
      <c r="X202" s="599"/>
    </row>
    <row r="203" spans="1:24" ht="11.25" customHeight="1">
      <c r="A203" s="520"/>
      <c r="B203" s="564"/>
      <c r="C203" s="564"/>
      <c r="D203" s="564"/>
      <c r="E203" s="520"/>
      <c r="F203" s="520"/>
      <c r="G203" s="520"/>
      <c r="H203" s="520"/>
      <c r="I203" s="520"/>
      <c r="J203" s="564"/>
      <c r="K203" s="564"/>
      <c r="L203" s="564"/>
      <c r="M203" s="520"/>
      <c r="N203" s="520"/>
      <c r="O203" s="520"/>
      <c r="P203" s="520"/>
      <c r="Q203" s="633"/>
      <c r="R203" s="633"/>
      <c r="S203" s="633"/>
      <c r="T203" s="633"/>
      <c r="U203" s="633"/>
      <c r="V203" s="633"/>
      <c r="W203" s="633"/>
      <c r="X203" s="633"/>
    </row>
    <row r="204" spans="1:24" ht="11.25" customHeight="1">
      <c r="A204" s="1150"/>
      <c r="B204" s="1150"/>
      <c r="C204" s="1150"/>
      <c r="D204" s="1150"/>
      <c r="E204" s="1150"/>
      <c r="F204" s="1150"/>
      <c r="G204" s="1150"/>
      <c r="H204" s="1150"/>
      <c r="I204" s="1150"/>
      <c r="J204" s="1150"/>
      <c r="K204" s="1150"/>
      <c r="L204" s="1150"/>
      <c r="M204" s="1150"/>
      <c r="N204" s="1150"/>
      <c r="O204" s="1150"/>
      <c r="P204" s="1150"/>
      <c r="Q204" s="635"/>
      <c r="R204" s="635"/>
      <c r="S204" s="635"/>
      <c r="T204" s="635"/>
      <c r="U204" s="635"/>
      <c r="V204" s="635"/>
      <c r="W204" s="635"/>
      <c r="X204" s="635"/>
    </row>
    <row r="205" spans="1:24" ht="12" customHeight="1">
      <c r="A205" s="1150" t="s">
        <v>2</v>
      </c>
      <c r="B205" s="1150"/>
      <c r="C205" s="1150"/>
      <c r="D205" s="1150"/>
      <c r="E205" s="1150"/>
      <c r="F205" s="1150"/>
      <c r="G205" s="1150"/>
      <c r="H205" s="1150"/>
      <c r="I205" s="1150"/>
      <c r="J205" s="1150"/>
      <c r="K205" s="1150"/>
      <c r="L205" s="1150"/>
      <c r="M205" s="1150"/>
      <c r="N205" s="1150"/>
      <c r="O205" s="1150"/>
      <c r="P205" s="1150"/>
      <c r="Q205" s="635"/>
      <c r="R205" s="635"/>
      <c r="S205" s="635"/>
      <c r="T205" s="635"/>
      <c r="U205" s="635"/>
      <c r="V205" s="635"/>
      <c r="W205" s="635"/>
      <c r="X205" s="635"/>
    </row>
    <row r="206" spans="1:24" ht="12" customHeight="1">
      <c r="A206" s="1150" t="s">
        <v>972</v>
      </c>
      <c r="B206" s="1150"/>
      <c r="C206" s="1150"/>
      <c r="D206" s="1150"/>
      <c r="E206" s="1150"/>
      <c r="F206" s="1150"/>
      <c r="G206" s="1150"/>
      <c r="H206" s="1150"/>
      <c r="I206" s="1150"/>
      <c r="J206" s="1150"/>
      <c r="K206" s="1150"/>
      <c r="L206" s="1150"/>
      <c r="M206" s="1150"/>
      <c r="N206" s="1150"/>
      <c r="O206" s="1150"/>
      <c r="P206" s="1150"/>
      <c r="Q206" s="635"/>
      <c r="R206" s="635"/>
      <c r="S206" s="635"/>
      <c r="T206" s="635"/>
      <c r="U206" s="635"/>
      <c r="V206" s="635"/>
      <c r="W206" s="635"/>
      <c r="X206" s="635"/>
    </row>
    <row r="207" spans="1:24" ht="12" customHeight="1">
      <c r="A207" s="1151" t="s">
        <v>973</v>
      </c>
      <c r="B207" s="1151"/>
      <c r="C207" s="1151"/>
      <c r="D207" s="1151"/>
      <c r="E207" s="1151"/>
      <c r="F207" s="1151"/>
      <c r="G207" s="1151"/>
      <c r="H207" s="1151"/>
      <c r="I207" s="1151"/>
      <c r="J207" s="1151"/>
      <c r="K207" s="1151"/>
      <c r="L207" s="1151"/>
      <c r="M207" s="1151"/>
      <c r="N207" s="1151"/>
      <c r="O207" s="1151"/>
      <c r="P207" s="1151"/>
      <c r="Q207" s="636"/>
      <c r="R207" s="636"/>
      <c r="S207" s="636"/>
      <c r="T207" s="636"/>
      <c r="U207" s="636"/>
      <c r="V207" s="636"/>
      <c r="W207" s="636"/>
      <c r="X207" s="636"/>
    </row>
    <row r="208" spans="1:24" ht="12" customHeight="1">
      <c r="A208" s="1151" t="s">
        <v>974</v>
      </c>
      <c r="B208" s="1151"/>
      <c r="C208" s="1151"/>
      <c r="D208" s="1151"/>
      <c r="E208" s="1151"/>
      <c r="F208" s="1151"/>
      <c r="G208" s="1151"/>
      <c r="H208" s="1151"/>
      <c r="I208" s="1151"/>
      <c r="J208" s="1151"/>
      <c r="K208" s="1151"/>
      <c r="L208" s="1151"/>
      <c r="M208" s="1151"/>
      <c r="N208" s="1151"/>
      <c r="O208" s="1151"/>
      <c r="P208" s="1151"/>
      <c r="Q208" s="636"/>
      <c r="R208" s="636"/>
      <c r="S208" s="636"/>
      <c r="T208" s="636"/>
      <c r="U208" s="636"/>
      <c r="V208" s="636"/>
      <c r="W208" s="636"/>
      <c r="X208" s="636"/>
    </row>
    <row r="209" spans="1:24" ht="12" customHeight="1">
      <c r="A209" s="1151" t="s">
        <v>975</v>
      </c>
      <c r="B209" s="1151"/>
      <c r="C209" s="1151"/>
      <c r="D209" s="1151"/>
      <c r="E209" s="1151"/>
      <c r="F209" s="1151"/>
      <c r="G209" s="1151"/>
      <c r="H209" s="1151"/>
      <c r="I209" s="1151"/>
      <c r="J209" s="1151"/>
      <c r="K209" s="1151"/>
      <c r="L209" s="1151"/>
      <c r="M209" s="1151"/>
      <c r="N209" s="1151"/>
      <c r="O209" s="1151"/>
      <c r="P209" s="1151"/>
      <c r="Q209" s="636"/>
      <c r="R209" s="636"/>
      <c r="S209" s="636"/>
      <c r="T209" s="636"/>
      <c r="U209" s="636"/>
      <c r="V209" s="636"/>
      <c r="W209" s="636"/>
      <c r="X209" s="636"/>
    </row>
    <row r="210" spans="1:24" ht="12" customHeight="1">
      <c r="A210" s="1151" t="s">
        <v>976</v>
      </c>
      <c r="B210" s="1151"/>
      <c r="C210" s="1151"/>
      <c r="D210" s="1151"/>
      <c r="E210" s="1151"/>
      <c r="F210" s="1151"/>
      <c r="G210" s="1151"/>
      <c r="H210" s="1151"/>
      <c r="I210" s="1151"/>
      <c r="J210" s="1151"/>
      <c r="K210" s="1151"/>
      <c r="L210" s="1151"/>
      <c r="M210" s="1151"/>
      <c r="N210" s="1151"/>
      <c r="O210" s="1151"/>
      <c r="P210" s="1151"/>
      <c r="Q210" s="636"/>
      <c r="R210" s="636"/>
      <c r="S210" s="636"/>
      <c r="T210" s="636"/>
      <c r="U210" s="636"/>
      <c r="V210" s="636"/>
      <c r="W210" s="636"/>
      <c r="X210" s="636"/>
    </row>
    <row r="211" spans="1:24" ht="12" customHeight="1">
      <c r="A211" s="1151" t="s">
        <v>977</v>
      </c>
      <c r="B211" s="1151"/>
      <c r="C211" s="1151"/>
      <c r="D211" s="1151"/>
      <c r="E211" s="1151"/>
      <c r="F211" s="1151"/>
      <c r="G211" s="1151"/>
      <c r="H211" s="1151"/>
      <c r="I211" s="1151"/>
      <c r="J211" s="1151"/>
      <c r="K211" s="1151"/>
      <c r="L211" s="1151"/>
      <c r="M211" s="1151"/>
      <c r="N211" s="1151"/>
      <c r="O211" s="1151"/>
      <c r="P211" s="1151"/>
      <c r="Q211" s="636"/>
      <c r="R211" s="636"/>
      <c r="S211" s="636"/>
      <c r="T211" s="636"/>
      <c r="U211" s="636"/>
      <c r="V211" s="636"/>
      <c r="W211" s="636"/>
      <c r="X211" s="636"/>
    </row>
    <row r="212" spans="1:24" ht="12" customHeight="1">
      <c r="A212" s="1151" t="s">
        <v>978</v>
      </c>
      <c r="B212" s="1151"/>
      <c r="C212" s="1151"/>
      <c r="D212" s="1151"/>
      <c r="E212" s="1151"/>
      <c r="F212" s="1151"/>
      <c r="G212" s="1151"/>
      <c r="H212" s="1151"/>
      <c r="I212" s="1151"/>
      <c r="J212" s="1151"/>
      <c r="K212" s="1151"/>
      <c r="L212" s="1151"/>
      <c r="M212" s="1151"/>
      <c r="N212" s="1151"/>
      <c r="O212" s="1151"/>
      <c r="P212" s="1151"/>
      <c r="Q212" s="636"/>
      <c r="R212" s="636"/>
      <c r="S212" s="636"/>
      <c r="T212" s="636"/>
      <c r="U212" s="636"/>
      <c r="V212" s="636"/>
      <c r="W212" s="636"/>
      <c r="X212" s="636"/>
    </row>
    <row r="213" spans="1:24">
      <c r="A213" s="518" t="s">
        <v>1106</v>
      </c>
    </row>
    <row r="219" spans="1:24" ht="7.5" customHeight="1"/>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10:P210"/>
    <mergeCell ref="A211:P211"/>
    <mergeCell ref="A212:P212"/>
    <mergeCell ref="A204:P204"/>
    <mergeCell ref="A205:P205"/>
    <mergeCell ref="A206:P206"/>
    <mergeCell ref="A207:P207"/>
    <mergeCell ref="A208:P208"/>
    <mergeCell ref="A209:P209"/>
  </mergeCells>
  <conditionalFormatting sqref="Q1:X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sheetPr codeName="Sheet2">
    <pageSetUpPr fitToPage="1"/>
  </sheetPr>
  <dimension ref="A1:HT111"/>
  <sheetViews>
    <sheetView zoomScaleNormal="100" workbookViewId="0"/>
  </sheetViews>
  <sheetFormatPr defaultColWidth="12.44140625" defaultRowHeight="13.2"/>
  <cols>
    <col min="1" max="1" width="38.44140625" style="15" customWidth="1"/>
    <col min="2" max="3" width="20.109375" style="15" customWidth="1"/>
    <col min="4" max="4" width="6.5546875" style="15" customWidth="1"/>
    <col min="5" max="6" width="12.44140625" style="15" customWidth="1"/>
    <col min="7" max="11" width="13.6640625" style="15" customWidth="1"/>
    <col min="12" max="12" width="7.44140625" style="15" customWidth="1"/>
    <col min="13" max="14" width="13.6640625" style="15" customWidth="1"/>
    <col min="15" max="18" width="17.5546875" style="15" bestFit="1" customWidth="1"/>
    <col min="19" max="19" width="33.6640625" style="15" customWidth="1"/>
    <col min="20" max="20" width="20.88671875" style="15" bestFit="1" customWidth="1"/>
    <col min="21" max="228" width="12.44140625" style="15" customWidth="1"/>
  </cols>
  <sheetData>
    <row r="1" spans="1:226" ht="17.399999999999999">
      <c r="A1" s="12" t="s">
        <v>10</v>
      </c>
      <c r="B1" s="13"/>
      <c r="C1" s="13"/>
      <c r="D1" s="13"/>
      <c r="E1" s="8" t="s">
        <v>1092</v>
      </c>
      <c r="F1" s="1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row>
    <row r="2" spans="1:226" ht="15.6">
      <c r="A2"/>
      <c r="B2"/>
      <c r="C2"/>
      <c r="D2"/>
      <c r="E2" s="16" t="s">
        <v>409</v>
      </c>
      <c r="F2" s="16"/>
      <c r="G2" s="17"/>
      <c r="H2" s="17"/>
      <c r="I2" s="17"/>
      <c r="J2" s="17"/>
      <c r="K2" s="17"/>
      <c r="L2" s="17"/>
      <c r="M2" s="13"/>
      <c r="N2" s="13"/>
      <c r="O2" s="13"/>
      <c r="P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row>
    <row r="3" spans="1:226" ht="14.1" customHeight="1">
      <c r="A3"/>
      <c r="B3" s="18" t="s">
        <v>1058</v>
      </c>
      <c r="C3" s="18" t="s">
        <v>1091</v>
      </c>
      <c r="D3"/>
      <c r="E3" s="16" t="s">
        <v>410</v>
      </c>
      <c r="F3" s="16"/>
      <c r="G3" s="17"/>
      <c r="H3" s="17"/>
      <c r="I3" s="17"/>
      <c r="J3" s="17"/>
      <c r="K3" s="17"/>
      <c r="L3" s="17"/>
      <c r="M3" s="13"/>
      <c r="N3" s="13"/>
      <c r="O3" s="13"/>
      <c r="P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row>
    <row r="4" spans="1:226" ht="9.75" customHeight="1">
      <c r="A4"/>
      <c r="B4"/>
      <c r="C4"/>
      <c r="D4"/>
      <c r="E4" s="19"/>
      <c r="F4" s="19"/>
      <c r="G4" s="17"/>
      <c r="H4" s="17"/>
      <c r="I4" s="17"/>
      <c r="J4" s="17"/>
      <c r="K4" s="17"/>
      <c r="L4" s="1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ht="15.6">
      <c r="A5" s="20" t="s">
        <v>1054</v>
      </c>
      <c r="B5"/>
      <c r="C5"/>
      <c r="D5"/>
      <c r="E5" s="11"/>
      <c r="F5" s="11"/>
      <c r="G5" s="13"/>
      <c r="H5" s="13"/>
      <c r="I5" s="13"/>
      <c r="J5" s="13"/>
      <c r="K5" s="13"/>
      <c r="L5" s="13"/>
      <c r="M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ht="15">
      <c r="A6" t="s">
        <v>11</v>
      </c>
      <c r="B6" s="21">
        <f>ROUND(16181951052.67,-3)</f>
        <v>16181951000</v>
      </c>
      <c r="C6" s="21">
        <f>ROUND(16791968097.99,-3)</f>
        <v>16791968000</v>
      </c>
      <c r="D6" s="21"/>
      <c r="E6" s="22">
        <f>C6/B6-1</f>
        <v>3.7697370360347815E-2</v>
      </c>
      <c r="F6" s="22"/>
      <c r="G6" s="23"/>
      <c r="H6" s="23"/>
      <c r="I6" s="23"/>
      <c r="J6" s="23"/>
      <c r="K6" s="23"/>
      <c r="L6" s="23"/>
      <c r="M6" s="13"/>
      <c r="N6" s="13"/>
      <c r="O6" s="13"/>
      <c r="P6" s="13"/>
      <c r="Q6" s="21"/>
      <c r="S6"/>
      <c r="T6" s="24"/>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row>
    <row r="7" spans="1:226" ht="15">
      <c r="A7" s="25" t="s">
        <v>12</v>
      </c>
      <c r="B7" s="26">
        <f>ROUND(B8-B6,-3)</f>
        <v>22802582000</v>
      </c>
      <c r="C7" s="26">
        <f>ROUND(C8-C6,-3)</f>
        <v>23161975000</v>
      </c>
      <c r="D7" s="26"/>
      <c r="E7" s="27">
        <f>C7/B7-1</f>
        <v>1.5761066005595348E-2</v>
      </c>
      <c r="F7" s="28"/>
      <c r="G7" s="23"/>
      <c r="H7" s="23"/>
      <c r="I7" s="23"/>
      <c r="J7" s="23"/>
      <c r="K7" s="23"/>
      <c r="L7" s="23"/>
      <c r="M7" s="13"/>
      <c r="N7" s="13"/>
      <c r="O7" s="13"/>
      <c r="P7" s="13"/>
      <c r="Q7" s="26"/>
      <c r="S7" s="25"/>
      <c r="T7" s="24"/>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row>
    <row r="8" spans="1:226" ht="18" customHeight="1" thickBot="1">
      <c r="A8" s="29" t="s">
        <v>13</v>
      </c>
      <c r="B8" s="30">
        <f>ROUND(38984532578.99,-3)</f>
        <v>38984533000</v>
      </c>
      <c r="C8" s="30">
        <f>ROUND(39953943191.47,-3)</f>
        <v>39953943000</v>
      </c>
      <c r="D8" s="31"/>
      <c r="E8" s="32">
        <f>C8/B8-1</f>
        <v>2.486652847681925E-2</v>
      </c>
      <c r="F8" s="28"/>
      <c r="G8" s="23"/>
      <c r="H8" s="23"/>
      <c r="I8" s="23"/>
      <c r="J8" s="23"/>
      <c r="K8" s="23"/>
      <c r="L8" s="23"/>
      <c r="M8" s="13"/>
      <c r="N8" s="13"/>
      <c r="O8" s="13"/>
      <c r="P8" s="13"/>
      <c r="Q8" s="13"/>
      <c r="R8" s="13"/>
      <c r="S8"/>
      <c r="T8" s="3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row>
    <row r="9" spans="1:226" ht="15.6" thickTop="1">
      <c r="A9" s="25"/>
      <c r="B9" s="34"/>
      <c r="C9" s="34"/>
      <c r="D9" s="34"/>
      <c r="E9" s="35"/>
      <c r="F9" s="28"/>
      <c r="G9" s="36"/>
      <c r="H9" s="36"/>
      <c r="I9" s="36"/>
      <c r="J9" s="36"/>
      <c r="K9" s="36"/>
      <c r="L9" s="36"/>
      <c r="M9" s="13"/>
      <c r="N9" s="13"/>
      <c r="O9" s="13"/>
      <c r="P9" s="13"/>
      <c r="Q9" s="13"/>
      <c r="R9" s="13"/>
      <c r="S9" s="25"/>
      <c r="T9" s="37"/>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row>
    <row r="10" spans="1:226" ht="15.6">
      <c r="A10" s="20" t="s">
        <v>1055</v>
      </c>
      <c r="B10" s="21"/>
      <c r="C10" s="21"/>
      <c r="D10" s="21"/>
      <c r="E10" s="22"/>
      <c r="F10" s="22"/>
      <c r="G10" s="36"/>
      <c r="H10" s="36"/>
      <c r="I10" s="36"/>
      <c r="J10" s="36"/>
      <c r="K10" s="36"/>
      <c r="L10" s="36"/>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row>
    <row r="11" spans="1:226" ht="15">
      <c r="A11" t="s">
        <v>11</v>
      </c>
      <c r="B11" s="21">
        <f>'By Account'!B17</f>
        <v>14938089000</v>
      </c>
      <c r="C11" s="1030">
        <f>'By Account'!C17</f>
        <v>15755556000</v>
      </c>
      <c r="D11" s="21"/>
      <c r="E11" s="22">
        <f>C11/B11-1</f>
        <v>5.4723666460950948E-2</v>
      </c>
      <c r="F11" s="1066">
        <f>C11/($C$13+$C$18)</f>
        <v>0.39434295633850208</v>
      </c>
      <c r="G11" s="23"/>
      <c r="H11" s="23"/>
      <c r="I11" s="23"/>
      <c r="J11" s="23"/>
      <c r="K11" s="23"/>
      <c r="L11" s="23"/>
      <c r="M11" s="13"/>
      <c r="N11" s="76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row>
    <row r="12" spans="1:226" ht="15">
      <c r="A12" s="25" t="s">
        <v>12</v>
      </c>
      <c r="B12" s="26">
        <f>'By Account'!B38</f>
        <v>786987000</v>
      </c>
      <c r="C12" s="1031">
        <f>'By Account'!C38</f>
        <v>802626000</v>
      </c>
      <c r="D12" s="26"/>
      <c r="E12" s="27">
        <f>C12/B12-1</f>
        <v>1.9871992802930727E-2</v>
      </c>
      <c r="F12" s="1066">
        <f>C12/($C$13+$C$18)</f>
        <v>2.0088780724345529E-2</v>
      </c>
      <c r="G12" s="23"/>
      <c r="H12" s="23"/>
      <c r="I12" s="23"/>
      <c r="J12" s="23"/>
      <c r="K12" s="23"/>
      <c r="L12" s="2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row>
    <row r="13" spans="1:226" ht="18" customHeight="1" thickBot="1">
      <c r="A13" s="29" t="s">
        <v>14</v>
      </c>
      <c r="B13" s="30">
        <f>SUM(B11:B12)</f>
        <v>15725076000</v>
      </c>
      <c r="C13" s="1032">
        <f>SUM(C11:C12)</f>
        <v>16558182000</v>
      </c>
      <c r="D13" s="31"/>
      <c r="E13" s="32">
        <f>C13/B13-1</f>
        <v>5.2979457778137284E-2</v>
      </c>
      <c r="F13" s="1067"/>
      <c r="G13" s="23"/>
      <c r="H13" s="23"/>
      <c r="I13" s="23"/>
      <c r="J13" s="23"/>
      <c r="K13" s="23"/>
      <c r="L13" s="2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row>
    <row r="14" spans="1:226" ht="14.1" customHeight="1" thickTop="1">
      <c r="A14" s="25"/>
      <c r="B14" s="34"/>
      <c r="C14" s="34"/>
      <c r="D14" s="34"/>
      <c r="E14" s="38"/>
      <c r="F14" s="1067"/>
      <c r="G14" s="36"/>
      <c r="H14" s="36"/>
      <c r="I14" s="36"/>
      <c r="J14" s="36"/>
      <c r="K14" s="36"/>
      <c r="L14" s="36"/>
      <c r="M14" s="13"/>
      <c r="O14" s="39"/>
      <c r="P14" s="40"/>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row>
    <row r="15" spans="1:226" ht="15.6">
      <c r="A15" s="20" t="s">
        <v>15</v>
      </c>
      <c r="B15" s="21"/>
      <c r="C15" s="21"/>
      <c r="D15" s="21"/>
      <c r="E15" s="22"/>
      <c r="F15" s="1066"/>
      <c r="G15" s="36"/>
      <c r="H15" s="36"/>
      <c r="I15" s="36"/>
      <c r="J15" s="36"/>
      <c r="K15" s="36"/>
      <c r="L15" s="36"/>
      <c r="M15" s="13"/>
      <c r="N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row>
    <row r="16" spans="1:226" ht="15">
      <c r="A16" t="s">
        <v>11</v>
      </c>
      <c r="B16" s="21">
        <f>B6-B11</f>
        <v>1243862000</v>
      </c>
      <c r="C16" s="1030">
        <f>C6-C11</f>
        <v>1036412000</v>
      </c>
      <c r="D16" s="1030"/>
      <c r="E16" s="1037">
        <f>C16/B16-1</f>
        <v>-0.16677895136277177</v>
      </c>
      <c r="F16" s="1066">
        <f>C16/($C$13+$C$18)</f>
        <v>2.5940168158121463E-2</v>
      </c>
      <c r="G16" s="23"/>
      <c r="H16" s="23"/>
      <c r="I16" s="23"/>
      <c r="J16" s="23"/>
      <c r="K16" s="23"/>
      <c r="L16" s="23"/>
      <c r="M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row>
    <row r="17" spans="1:226" ht="15">
      <c r="A17" s="25" t="s">
        <v>12</v>
      </c>
      <c r="B17" s="26">
        <f>B7-B12</f>
        <v>22015595000</v>
      </c>
      <c r="C17" s="26">
        <f>C7-C12</f>
        <v>22359349000</v>
      </c>
      <c r="D17" s="26"/>
      <c r="E17" s="27">
        <f>C17/B17-1</f>
        <v>1.5614113540878716E-2</v>
      </c>
      <c r="F17" s="1066">
        <f>C17/($C$13+$C$18)</f>
        <v>0.55962809477903097</v>
      </c>
      <c r="G17" s="23"/>
      <c r="H17" s="23"/>
      <c r="I17" s="23"/>
      <c r="J17" s="23"/>
      <c r="K17" s="23"/>
      <c r="L17" s="23"/>
      <c r="M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row>
    <row r="18" spans="1:226" ht="18" customHeight="1" thickBot="1">
      <c r="A18" s="29" t="s">
        <v>16</v>
      </c>
      <c r="B18" s="30">
        <f>SUM(B16:B17)</f>
        <v>23259457000</v>
      </c>
      <c r="C18" s="30">
        <f>SUM(C16:C17)</f>
        <v>23395761000</v>
      </c>
      <c r="D18" s="31"/>
      <c r="E18" s="41">
        <f>C18/B18-1</f>
        <v>5.8601540010156938E-3</v>
      </c>
      <c r="F18" s="1068"/>
      <c r="G18" s="42"/>
      <c r="H18" s="23"/>
      <c r="I18" s="23"/>
      <c r="J18" s="23"/>
      <c r="K18" s="23"/>
      <c r="L18" s="23"/>
      <c r="M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row>
    <row r="19" spans="1:226" ht="14.1" customHeight="1" thickTop="1">
      <c r="A19" s="25"/>
      <c r="B19" s="25"/>
      <c r="C19" s="25"/>
      <c r="D19" s="25"/>
      <c r="E19" s="43"/>
      <c r="F19" s="1069"/>
      <c r="G19" s="23"/>
      <c r="H19" s="23"/>
      <c r="I19" s="23"/>
      <c r="J19" s="23"/>
      <c r="K19" s="23"/>
      <c r="L19" s="23"/>
      <c r="M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row>
    <row r="20" spans="1:226" ht="12" customHeight="1">
      <c r="A20" s="15" t="s">
        <v>2</v>
      </c>
      <c r="B20"/>
      <c r="C20" s="44"/>
      <c r="D20"/>
      <c r="E20" s="19"/>
      <c r="F20" s="19"/>
      <c r="G20" s="23"/>
      <c r="H20" s="23"/>
      <c r="I20" s="23"/>
      <c r="J20" s="23"/>
      <c r="K20" s="23"/>
      <c r="L20" s="23"/>
      <c r="M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26" ht="12" customHeight="1">
      <c r="A21" s="15" t="s">
        <v>17</v>
      </c>
      <c r="B21"/>
      <c r="C21" s="151"/>
      <c r="D21"/>
      <c r="E21" s="19"/>
      <c r="F21" s="19"/>
      <c r="G21" s="23"/>
      <c r="H21" s="23"/>
      <c r="I21" s="23"/>
      <c r="J21" s="23"/>
      <c r="K21" s="23"/>
      <c r="L21" s="23"/>
      <c r="M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row>
    <row r="22" spans="1:226" ht="14.1" customHeight="1">
      <c r="A22" s="765" t="s">
        <v>1057</v>
      </c>
      <c r="B22" s="503"/>
      <c r="C22" s="503"/>
      <c r="D22"/>
      <c r="E22" s="11"/>
      <c r="F22" s="11"/>
      <c r="G22" s="13"/>
      <c r="H22" s="13"/>
      <c r="I22" s="13"/>
      <c r="J22" s="13"/>
      <c r="K22" s="13"/>
      <c r="L22" s="13"/>
      <c r="M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row>
    <row r="23" spans="1:226" ht="14.1" customHeight="1">
      <c r="A23" s="765" t="s">
        <v>1056</v>
      </c>
      <c r="B23" s="503"/>
      <c r="C23" s="503"/>
      <c r="D23" s="2"/>
      <c r="E23" s="11"/>
      <c r="F23" s="11"/>
      <c r="G23" s="13"/>
      <c r="H23" s="13"/>
      <c r="I23" s="13"/>
      <c r="J23" s="13"/>
      <c r="K23" s="13"/>
      <c r="L23" s="13"/>
      <c r="M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row>
    <row r="24" spans="1:226" ht="14.1" customHeight="1">
      <c r="A24" s="2"/>
      <c r="B24" s="503"/>
      <c r="C24" s="503"/>
      <c r="D24" s="2"/>
      <c r="E24" s="11"/>
      <c r="F24" s="11"/>
      <c r="G24" s="13"/>
      <c r="H24" s="13"/>
      <c r="I24" s="13"/>
      <c r="J24" s="13"/>
      <c r="K24" s="13"/>
      <c r="L24" s="13"/>
      <c r="M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row>
    <row r="25" spans="1:226" ht="14.1" customHeight="1">
      <c r="A25" s="2"/>
      <c r="B25" s="503"/>
      <c r="C25" s="503"/>
      <c r="D25" s="2"/>
      <c r="E25" s="11"/>
      <c r="F25" s="11"/>
      <c r="G25" s="942"/>
      <c r="H25" s="942"/>
      <c r="I25" s="942"/>
      <c r="J25" s="942"/>
      <c r="K25" s="942"/>
      <c r="L25" s="13"/>
      <c r="M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row>
    <row r="26" spans="1:226" ht="14.1" customHeight="1">
      <c r="A26" s="2"/>
      <c r="B26" s="2"/>
      <c r="C26" s="2"/>
      <c r="D26" s="2"/>
      <c r="E26" s="11"/>
      <c r="F26" s="11"/>
      <c r="G26" s="942"/>
      <c r="H26" s="942"/>
      <c r="I26" s="942"/>
      <c r="J26" s="942"/>
      <c r="K26" s="942"/>
      <c r="L26" s="13"/>
      <c r="M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row>
    <row r="27" spans="1:226" ht="14.1" customHeight="1">
      <c r="A27" s="2"/>
      <c r="B27" s="2"/>
      <c r="C27" s="2"/>
      <c r="D27" s="2"/>
      <c r="E27" s="11"/>
      <c r="F27" s="11"/>
      <c r="G27" s="942"/>
      <c r="H27" s="942"/>
      <c r="I27" s="942"/>
      <c r="J27" s="942"/>
      <c r="K27" s="942"/>
      <c r="L27" s="13"/>
      <c r="M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row>
    <row r="28" spans="1:226" ht="14.1" customHeight="1">
      <c r="A28" s="45" t="s">
        <v>18</v>
      </c>
      <c r="B28" s="2"/>
      <c r="C28" s="2"/>
      <c r="D28" s="2"/>
      <c r="E28" s="11"/>
      <c r="F28" s="11"/>
      <c r="G28" s="942"/>
      <c r="H28" s="942" t="s">
        <v>44</v>
      </c>
      <c r="I28" s="943" t="s">
        <v>11</v>
      </c>
      <c r="J28" s="943" t="s">
        <v>12</v>
      </c>
      <c r="K28" s="942"/>
      <c r="L28" s="13"/>
      <c r="M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row>
    <row r="29" spans="1:226" ht="14.1" customHeight="1">
      <c r="A29" s="45"/>
      <c r="B29" s="2"/>
      <c r="C29" s="2"/>
      <c r="D29" s="2"/>
      <c r="E29" s="11"/>
      <c r="F29" s="11"/>
      <c r="G29" s="942"/>
      <c r="H29" s="942">
        <v>1995</v>
      </c>
      <c r="I29" s="944">
        <v>6.9</v>
      </c>
      <c r="J29" s="942">
        <v>9.66</v>
      </c>
      <c r="K29" s="942"/>
      <c r="L29" s="13"/>
      <c r="M29" s="942"/>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row>
    <row r="30" spans="1:226" ht="14.1" customHeight="1">
      <c r="A30" s="2"/>
      <c r="B30" s="18" t="s">
        <v>1058</v>
      </c>
      <c r="C30" s="18" t="s">
        <v>1091</v>
      </c>
      <c r="D30" s="3"/>
      <c r="E30" s="11"/>
      <c r="F30" s="11"/>
      <c r="G30" s="942"/>
      <c r="H30" s="942">
        <v>1996</v>
      </c>
      <c r="I30" s="942">
        <v>7.36</v>
      </c>
      <c r="J30" s="942">
        <v>9.82</v>
      </c>
      <c r="K30" s="942"/>
      <c r="L30" s="13"/>
      <c r="M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row>
    <row r="31" spans="1:226" ht="15.75" customHeight="1">
      <c r="A31" s="14" t="s">
        <v>19</v>
      </c>
      <c r="B31" s="3" t="s">
        <v>20</v>
      </c>
      <c r="C31" s="3" t="s">
        <v>20</v>
      </c>
      <c r="D31" s="3"/>
      <c r="E31" s="11"/>
      <c r="F31" s="11"/>
      <c r="G31" s="942"/>
      <c r="H31" s="942">
        <v>1997</v>
      </c>
      <c r="I31" s="942">
        <v>8.15</v>
      </c>
      <c r="J31" s="942">
        <v>10.34</v>
      </c>
      <c r="K31" s="942"/>
      <c r="L31" s="13"/>
      <c r="M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row>
    <row r="32" spans="1:226" ht="12" customHeight="1">
      <c r="A32" s="2"/>
      <c r="B32" s="2"/>
      <c r="C32" s="2"/>
      <c r="D32" s="2"/>
      <c r="E32" s="11"/>
      <c r="F32" s="11"/>
      <c r="G32" s="942"/>
      <c r="H32" s="942">
        <v>1998</v>
      </c>
      <c r="I32" s="942">
        <v>8.81</v>
      </c>
      <c r="J32" s="942">
        <v>10.44</v>
      </c>
      <c r="K32" s="942"/>
      <c r="L32" s="13"/>
      <c r="M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row>
    <row r="33" spans="1:226" ht="15" customHeight="1">
      <c r="A33" s="2" t="s">
        <v>21</v>
      </c>
      <c r="B33" s="46">
        <v>49311979.450000003</v>
      </c>
      <c r="C33" s="46">
        <f>47775654.91</f>
        <v>47775654.909999996</v>
      </c>
      <c r="D33" s="46"/>
      <c r="E33" s="949"/>
      <c r="F33" s="11"/>
      <c r="G33" s="942"/>
      <c r="H33" s="942">
        <v>1999</v>
      </c>
      <c r="I33" s="942">
        <v>9.73</v>
      </c>
      <c r="J33" s="942">
        <v>11.15</v>
      </c>
      <c r="K33" s="942"/>
      <c r="L33" s="13"/>
      <c r="M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row>
    <row r="34" spans="1:226" ht="15" customHeight="1">
      <c r="A34" s="2" t="s">
        <v>22</v>
      </c>
      <c r="B34" s="4">
        <v>3250502.94</v>
      </c>
      <c r="C34" s="4">
        <f>3287091.7</f>
        <v>3287091.7</v>
      </c>
      <c r="D34" s="4"/>
      <c r="E34" s="949"/>
      <c r="F34" s="11"/>
      <c r="G34" s="942"/>
      <c r="H34" s="942">
        <v>2000</v>
      </c>
      <c r="I34" s="942">
        <v>10.82</v>
      </c>
      <c r="J34" s="942">
        <v>11.99</v>
      </c>
      <c r="K34" s="942"/>
      <c r="L34" s="13"/>
      <c r="M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row>
    <row r="35" spans="1:226" ht="15" customHeight="1">
      <c r="A35" s="2" t="s">
        <v>23</v>
      </c>
      <c r="B35" s="976">
        <v>645586.6</v>
      </c>
      <c r="C35" s="976">
        <f>596245.85-104078.46</f>
        <v>492167.38999999996</v>
      </c>
      <c r="D35" s="1038"/>
      <c r="E35" s="1039"/>
      <c r="F35" s="11"/>
      <c r="G35" s="942"/>
      <c r="H35" s="942">
        <v>2001</v>
      </c>
      <c r="I35" s="942">
        <v>11.13</v>
      </c>
      <c r="J35" s="942">
        <v>12.93</v>
      </c>
      <c r="K35" s="942"/>
      <c r="L35" s="13"/>
      <c r="M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26" ht="15" customHeight="1">
      <c r="A36" s="2" t="s">
        <v>24</v>
      </c>
      <c r="B36" s="1">
        <v>30088500.98</v>
      </c>
      <c r="C36" s="1">
        <f>34805094.32</f>
        <v>34805094.32</v>
      </c>
      <c r="D36" s="4"/>
      <c r="E36" s="949"/>
      <c r="F36" s="11"/>
      <c r="G36" s="942"/>
      <c r="H36" s="942">
        <v>2002</v>
      </c>
      <c r="I36" s="942">
        <v>10.71</v>
      </c>
      <c r="J36" s="942">
        <v>15.19</v>
      </c>
      <c r="K36" s="942"/>
      <c r="L36" s="13"/>
      <c r="M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row>
    <row r="37" spans="1:226" ht="13.5" customHeight="1">
      <c r="A37" s="2"/>
      <c r="B37" s="46"/>
      <c r="C37" s="46"/>
      <c r="D37" s="46"/>
      <c r="E37" s="949"/>
      <c r="F37" s="11"/>
      <c r="G37" s="942"/>
      <c r="H37" s="942">
        <v>2003</v>
      </c>
      <c r="I37" s="945">
        <v>10.9237</v>
      </c>
      <c r="J37" s="945">
        <v>15.3003</v>
      </c>
      <c r="K37" s="942"/>
      <c r="L37" s="13"/>
      <c r="M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row>
    <row r="38" spans="1:226" ht="15.75" customHeight="1" thickBot="1">
      <c r="A38" s="47" t="s">
        <v>25</v>
      </c>
      <c r="B38" s="48">
        <f>SUM(B33:B36)</f>
        <v>83296569.969999999</v>
      </c>
      <c r="C38" s="48">
        <f>SUM(C33:C36)</f>
        <v>86360008.319999993</v>
      </c>
      <c r="D38" s="46"/>
      <c r="E38" s="949"/>
      <c r="F38" s="11"/>
      <c r="G38" s="942"/>
      <c r="H38" s="942">
        <v>2004</v>
      </c>
      <c r="I38" s="945">
        <v>11.953799999999999</v>
      </c>
      <c r="J38" s="945">
        <v>16.713699999999999</v>
      </c>
      <c r="K38" s="942"/>
      <c r="L38" s="13"/>
      <c r="M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row>
    <row r="39" spans="1:226" ht="14.1" customHeight="1" thickTop="1">
      <c r="A39" s="49"/>
      <c r="B39" s="50"/>
      <c r="C39" s="50"/>
      <c r="D39" s="46"/>
      <c r="E39" s="11"/>
      <c r="F39" s="11"/>
      <c r="G39" s="942"/>
      <c r="H39" s="942">
        <v>2005</v>
      </c>
      <c r="I39" s="945">
        <v>13.755000000000001</v>
      </c>
      <c r="J39" s="945">
        <v>17.722999999999999</v>
      </c>
      <c r="K39" s="942"/>
      <c r="L39" s="13"/>
      <c r="M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row>
    <row r="40" spans="1:226" ht="15.75" customHeight="1">
      <c r="A40" s="14" t="s">
        <v>26</v>
      </c>
      <c r="B40" s="51">
        <f>B38/B13*100</f>
        <v>0.52970535703611221</v>
      </c>
      <c r="C40" s="51">
        <f>C38/C13*100</f>
        <v>0.52155489243927855</v>
      </c>
      <c r="D40" s="52"/>
      <c r="E40" s="11"/>
      <c r="F40" s="11"/>
      <c r="G40" s="942"/>
      <c r="H40" s="942">
        <v>2006</v>
      </c>
      <c r="I40" s="945">
        <v>14.903528</v>
      </c>
      <c r="J40" s="945">
        <v>18.971191999999999</v>
      </c>
      <c r="K40" s="942"/>
      <c r="L40" s="13"/>
      <c r="M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row>
    <row r="41" spans="1:226" ht="14.1" customHeight="1">
      <c r="A41" s="14"/>
      <c r="B41" s="13"/>
      <c r="C41" s="13"/>
      <c r="D41" s="13"/>
      <c r="E41" s="11"/>
      <c r="F41" s="11"/>
      <c r="G41" s="942"/>
      <c r="H41" s="942">
        <v>2007</v>
      </c>
      <c r="I41" s="945">
        <v>15.632781</v>
      </c>
      <c r="J41" s="945">
        <v>19.617564999999999</v>
      </c>
      <c r="K41" s="942"/>
      <c r="L41" s="13"/>
      <c r="M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row>
    <row r="42" spans="1:226" ht="14.1" customHeight="1">
      <c r="A42" s="13" t="s">
        <v>27</v>
      </c>
      <c r="B42" s="13"/>
      <c r="C42" s="13"/>
      <c r="D42" s="13"/>
      <c r="E42" s="11"/>
      <c r="F42" s="11"/>
      <c r="G42" s="942"/>
      <c r="H42" s="942">
        <v>2008</v>
      </c>
      <c r="I42" s="945">
        <v>15.844583999999999</v>
      </c>
      <c r="J42" s="945">
        <v>18.257210000000001</v>
      </c>
      <c r="K42" s="942"/>
      <c r="L42" s="13"/>
      <c r="M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row>
    <row r="43" spans="1:226" ht="14.1" customHeight="1">
      <c r="A43" s="13" t="s">
        <v>28</v>
      </c>
      <c r="B43" s="13"/>
      <c r="C43" s="13"/>
      <c r="D43" s="13"/>
      <c r="E43" s="11"/>
      <c r="F43" s="11"/>
      <c r="G43" s="942"/>
      <c r="H43" s="942">
        <v>2009</v>
      </c>
      <c r="I43" s="945">
        <v>14.397963000000001</v>
      </c>
      <c r="J43" s="945">
        <v>19.133918000000001</v>
      </c>
      <c r="K43" s="942"/>
      <c r="L43" s="13"/>
      <c r="M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row>
    <row r="44" spans="1:226" ht="14.1" customHeight="1">
      <c r="A44" s="13" t="s">
        <v>29</v>
      </c>
      <c r="B44" s="13"/>
      <c r="C44" s="13"/>
      <c r="D44" s="13"/>
      <c r="E44" s="11"/>
      <c r="F44" s="11"/>
      <c r="G44" s="942"/>
      <c r="H44" s="942">
        <v>2010</v>
      </c>
      <c r="I44" s="946">
        <v>14.310392999999999</v>
      </c>
      <c r="J44" s="946">
        <v>21.508365999999999</v>
      </c>
      <c r="K44" s="942"/>
      <c r="L44" s="13"/>
      <c r="M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row>
    <row r="45" spans="1:226" ht="13.5" customHeight="1">
      <c r="A45" s="13" t="s">
        <v>1108</v>
      </c>
      <c r="B45" s="13"/>
      <c r="C45" s="13"/>
      <c r="D45" s="13"/>
      <c r="E45" s="11"/>
      <c r="F45" s="11"/>
      <c r="G45" s="942"/>
      <c r="H45" s="942">
        <v>2011</v>
      </c>
      <c r="I45" s="944">
        <v>15.378508</v>
      </c>
      <c r="J45" s="944">
        <v>22.960031000000001</v>
      </c>
      <c r="K45" s="942"/>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row>
    <row r="46" spans="1:226" ht="14.1" customHeight="1">
      <c r="E46" s="53"/>
      <c r="F46" s="53"/>
      <c r="G46" s="942"/>
      <c r="H46" s="942">
        <v>2012</v>
      </c>
      <c r="I46" s="947">
        <f>B6/1000000000</f>
        <v>16.181951000000002</v>
      </c>
      <c r="J46" s="947">
        <f>B7/1000000000</f>
        <v>22.802582000000001</v>
      </c>
      <c r="K46" s="942"/>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row>
    <row r="47" spans="1:226">
      <c r="E47" s="53"/>
      <c r="F47" s="53"/>
      <c r="G47" s="942"/>
      <c r="H47" s="942">
        <v>2013</v>
      </c>
      <c r="I47" s="947">
        <f>C6/1000000000</f>
        <v>16.791968000000001</v>
      </c>
      <c r="J47" s="947">
        <f>C7/1000000000</f>
        <v>23.161975000000002</v>
      </c>
      <c r="K47" s="942"/>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row>
    <row r="48" spans="1:226">
      <c r="E48" s="53"/>
      <c r="F48" s="53"/>
      <c r="G48" s="942"/>
      <c r="H48" s="942"/>
      <c r="I48" s="942"/>
      <c r="J48" s="942"/>
      <c r="K48" s="942"/>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row>
    <row r="49" spans="1:226">
      <c r="E49" s="53"/>
      <c r="F49" s="53"/>
      <c r="G49" s="942"/>
      <c r="H49" s="942"/>
      <c r="I49" s="942"/>
      <c r="J49" s="942"/>
      <c r="K49" s="942"/>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row>
    <row r="50" spans="1:226">
      <c r="E50" s="53"/>
      <c r="F50" s="53"/>
      <c r="G50" s="942"/>
      <c r="H50" s="942"/>
      <c r="I50" s="942"/>
      <c r="J50" s="942"/>
      <c r="K50" s="942"/>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26">
      <c r="A51" s="13"/>
      <c r="B51" s="13"/>
      <c r="C51" s="13"/>
      <c r="D51" s="13"/>
      <c r="E51" s="53"/>
      <c r="F51" s="53"/>
      <c r="G51" s="942"/>
      <c r="H51" s="942"/>
      <c r="I51" s="942"/>
      <c r="J51" s="942"/>
      <c r="K51" s="942"/>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row>
    <row r="52" spans="1:226" ht="15.6">
      <c r="A52" s="54"/>
      <c r="B52" s="10"/>
      <c r="C52" s="10"/>
      <c r="D52" s="10"/>
      <c r="E52" s="10"/>
      <c r="F52" s="10"/>
      <c r="G52" s="948"/>
      <c r="H52" s="948"/>
      <c r="I52" s="948"/>
      <c r="J52" s="948"/>
      <c r="K52" s="948"/>
      <c r="L52" s="10"/>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row>
    <row r="53" spans="1:226" ht="14.1" customHeight="1">
      <c r="B53" s="13"/>
      <c r="C53" s="13"/>
      <c r="D53" s="13"/>
      <c r="E53" s="53"/>
      <c r="F53" s="53"/>
      <c r="G53" s="942"/>
      <c r="H53" s="942"/>
      <c r="I53" s="942"/>
      <c r="J53" s="942"/>
      <c r="K53" s="9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row>
    <row r="54" spans="1:226" ht="14.1" customHeight="1">
      <c r="A54" s="13"/>
      <c r="B54" s="13"/>
      <c r="C54" s="13"/>
      <c r="D54" s="13"/>
      <c r="E54" s="53"/>
      <c r="F54" s="5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row>
    <row r="55" spans="1:226" ht="14.1" customHeight="1">
      <c r="A55" s="13"/>
      <c r="B55" s="13"/>
      <c r="C55" s="13"/>
      <c r="D55" s="13"/>
      <c r="E55" s="53"/>
      <c r="F55" s="5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row>
    <row r="56" spans="1:226" ht="14.1" customHeight="1">
      <c r="A56" s="13"/>
      <c r="B56" s="13"/>
      <c r="C56" s="13"/>
      <c r="D56" s="13"/>
      <c r="E56" s="53"/>
      <c r="F56" s="5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row>
    <row r="57" spans="1:226" ht="14.1" customHeight="1">
      <c r="A57" s="13"/>
      <c r="B57" s="13"/>
      <c r="C57" s="13"/>
      <c r="D57" s="13"/>
      <c r="E57" s="53"/>
      <c r="F57" s="5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row>
    <row r="58" spans="1:226" ht="14.1" customHeight="1">
      <c r="A58" s="13"/>
      <c r="B58" s="13"/>
      <c r="C58" s="13"/>
      <c r="D58" s="13"/>
      <c r="E58" s="53"/>
      <c r="F58" s="5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row>
    <row r="59" spans="1:226" ht="14.1" customHeight="1">
      <c r="A59" s="13"/>
      <c r="B59" s="13"/>
      <c r="C59" s="13"/>
      <c r="D59" s="13"/>
      <c r="E59" s="53"/>
      <c r="F59" s="5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row>
    <row r="60" spans="1:226" ht="14.1" customHeight="1">
      <c r="A60" s="13"/>
      <c r="B60" s="55"/>
      <c r="C60" s="55"/>
      <c r="D60" s="55"/>
      <c r="E60" s="53"/>
      <c r="F60" s="5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row>
    <row r="61" spans="1:226" ht="14.1" customHeight="1">
      <c r="A61" s="13"/>
      <c r="B61" s="13"/>
      <c r="C61" s="13"/>
      <c r="D61" s="13"/>
      <c r="E61" s="53"/>
      <c r="F61" s="5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row>
    <row r="62" spans="1:226" ht="14.1" customHeight="1">
      <c r="A62" s="13"/>
      <c r="B62" s="13"/>
      <c r="C62" s="13"/>
      <c r="D62" s="13"/>
      <c r="E62" s="53"/>
      <c r="F62" s="53"/>
      <c r="G62" s="13"/>
      <c r="H62" s="13"/>
      <c r="I62" s="13"/>
      <c r="J62" s="13"/>
      <c r="K62" s="13"/>
      <c r="L62" s="13"/>
      <c r="M62" s="13"/>
      <c r="N62" s="13"/>
      <c r="O62" s="56"/>
      <c r="P62" s="57"/>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row>
    <row r="63" spans="1:226" ht="14.1" customHeight="1">
      <c r="A63" s="58"/>
      <c r="B63" s="13"/>
      <c r="C63" s="13"/>
      <c r="D63" s="13"/>
      <c r="E63" s="53"/>
      <c r="F63" s="53"/>
      <c r="G63" s="13"/>
      <c r="H63" s="13"/>
      <c r="I63" s="13"/>
      <c r="J63" s="13"/>
      <c r="K63" s="13"/>
      <c r="L63" s="13"/>
      <c r="M63" s="13"/>
      <c r="N63" s="59"/>
      <c r="O63" s="60"/>
      <c r="P63" s="60"/>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row>
    <row r="64" spans="1:226" ht="14.1" customHeight="1">
      <c r="A64" s="13"/>
      <c r="B64" s="13"/>
      <c r="C64" s="13"/>
      <c r="D64" s="13"/>
      <c r="E64" s="53"/>
      <c r="F64" s="5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row>
    <row r="65" spans="1:226" ht="14.1" customHeight="1">
      <c r="A65" s="13"/>
      <c r="B65" s="13"/>
      <c r="C65" s="13"/>
      <c r="D65" s="13"/>
      <c r="E65" s="53"/>
      <c r="F65" s="5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26" ht="14.1" customHeight="1">
      <c r="A66" s="13"/>
      <c r="B66" s="13"/>
      <c r="C66" s="13"/>
      <c r="D66" s="13"/>
      <c r="E66" s="53"/>
      <c r="F66" s="5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row>
    <row r="67" spans="1:226" ht="14.1" customHeight="1">
      <c r="A67" s="13"/>
      <c r="B67" s="13"/>
      <c r="C67" s="13"/>
      <c r="D67" s="13"/>
      <c r="E67" s="53"/>
      <c r="F67" s="5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row>
    <row r="68" spans="1:226" ht="14.1" customHeight="1">
      <c r="A68" s="13"/>
      <c r="B68" s="13"/>
      <c r="C68" s="13"/>
      <c r="D68" s="13"/>
      <c r="E68" s="53"/>
      <c r="F68" s="5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row>
    <row r="69" spans="1:226" ht="14.1" customHeight="1">
      <c r="A69" s="13"/>
      <c r="B69" s="13"/>
      <c r="C69" s="13"/>
      <c r="D69" s="13"/>
      <c r="E69" s="53"/>
      <c r="F69" s="5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row>
    <row r="70" spans="1:226" ht="14.1" customHeight="1">
      <c r="A70" s="13"/>
      <c r="B70" s="13"/>
      <c r="C70" s="13"/>
      <c r="D70" s="13"/>
      <c r="E70" s="53"/>
      <c r="F70" s="5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row>
    <row r="71" spans="1:226" ht="14.1" customHeight="1">
      <c r="A71" s="13"/>
      <c r="B71" s="13"/>
      <c r="C71" s="13"/>
      <c r="D71" s="13"/>
      <c r="E71" s="53"/>
      <c r="F71" s="5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row>
    <row r="72" spans="1:226" ht="14.1" customHeight="1">
      <c r="A72" s="13"/>
      <c r="B72" s="13"/>
      <c r="C72" s="13"/>
      <c r="D72" s="13"/>
      <c r="E72" s="53"/>
      <c r="F72" s="5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row>
    <row r="73" spans="1:226" ht="14.1" customHeight="1">
      <c r="A73" s="13"/>
      <c r="B73" s="13"/>
      <c r="C73" s="13"/>
      <c r="D73" s="13"/>
      <c r="E73" s="53"/>
      <c r="F73" s="5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4.1" customHeight="1">
      <c r="A74" s="13"/>
      <c r="B74" s="13"/>
      <c r="C74" s="13"/>
      <c r="D74" s="13"/>
      <c r="E74" s="53"/>
      <c r="F74" s="5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4.1" customHeight="1">
      <c r="A75" s="13"/>
      <c r="B75" s="13"/>
      <c r="C75" s="13"/>
      <c r="D75" s="13"/>
      <c r="E75" s="53"/>
      <c r="F75" s="5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4.1" customHeight="1">
      <c r="A76" s="13"/>
      <c r="B76" s="13"/>
      <c r="C76" s="13"/>
      <c r="D76" s="13"/>
      <c r="E76" s="53"/>
      <c r="F76" s="5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4.1" customHeight="1">
      <c r="A77" s="13"/>
      <c r="B77" s="13"/>
      <c r="C77" s="13"/>
      <c r="D77" s="13"/>
      <c r="E77" s="53"/>
      <c r="F77" s="5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4.1" customHeight="1">
      <c r="A78" s="13"/>
      <c r="B78" s="13"/>
      <c r="C78" s="13"/>
      <c r="D78" s="13"/>
      <c r="E78" s="53"/>
      <c r="F78" s="5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4.1" customHeight="1">
      <c r="A79" s="13"/>
      <c r="B79" s="13"/>
      <c r="C79" s="13"/>
      <c r="D79" s="13"/>
      <c r="E79" s="53"/>
      <c r="F79" s="5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4.1" customHeight="1">
      <c r="A80" s="13"/>
      <c r="B80" s="13"/>
      <c r="C80" s="13"/>
      <c r="D80" s="13"/>
      <c r="E80" s="53"/>
      <c r="F80" s="5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6" ht="14.1" customHeight="1">
      <c r="A81" s="13"/>
      <c r="B81" s="13"/>
      <c r="C81" s="13"/>
      <c r="D81" s="13"/>
      <c r="E81" s="53"/>
      <c r="F81" s="5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6" ht="14.1" customHeight="1">
      <c r="A82" s="13"/>
      <c r="B82" s="13"/>
      <c r="C82" s="13"/>
      <c r="D82" s="13"/>
      <c r="E82" s="53"/>
      <c r="F82" s="5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6" ht="14.1" customHeight="1">
      <c r="A83" s="13"/>
      <c r="B83" s="13"/>
      <c r="C83" s="13"/>
      <c r="D83" s="13"/>
      <c r="E83" s="53"/>
      <c r="F83" s="5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6" ht="14.1" customHeight="1">
      <c r="A84" s="13"/>
      <c r="B84" s="13"/>
      <c r="C84" s="13"/>
      <c r="D84" s="13"/>
      <c r="E84" s="53"/>
      <c r="F84" s="5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6" ht="14.1" customHeight="1">
      <c r="A85" s="13"/>
      <c r="B85" s="13"/>
      <c r="C85" s="13"/>
      <c r="D85" s="13"/>
      <c r="E85" s="53"/>
      <c r="F85" s="5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6" ht="14.1" customHeight="1">
      <c r="A86" s="13"/>
      <c r="B86" s="13"/>
      <c r="C86" s="13"/>
      <c r="D86" s="13"/>
      <c r="E86" s="53"/>
      <c r="F86" s="5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6" ht="14.1" customHeight="1">
      <c r="A87" s="13"/>
      <c r="B87" s="13"/>
      <c r="C87" s="13"/>
      <c r="D87" s="13"/>
      <c r="E87" s="53"/>
      <c r="F87" s="5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6" ht="14.1" customHeight="1">
      <c r="A88" s="13"/>
      <c r="B88" s="13"/>
      <c r="C88" s="13"/>
      <c r="D88" s="13"/>
      <c r="E88" s="53"/>
      <c r="F88" s="5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6" ht="14.1" customHeight="1">
      <c r="A89" s="13"/>
      <c r="B89" s="13"/>
      <c r="C89" s="13"/>
      <c r="D89" s="13"/>
      <c r="E89" s="53"/>
      <c r="F89" s="5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6" ht="14.1" customHeight="1">
      <c r="A90" s="13"/>
      <c r="B90" s="13"/>
      <c r="C90" s="13"/>
      <c r="D90" s="13"/>
      <c r="E90" s="53"/>
      <c r="F90" s="5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row>
    <row r="91" spans="1:226" ht="14.1" customHeight="1">
      <c r="A91" s="13"/>
      <c r="B91" s="13"/>
      <c r="C91" s="13"/>
      <c r="D91" s="13"/>
      <c r="E91" s="53"/>
      <c r="F91" s="5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row>
    <row r="92" spans="1:226" ht="14.1" customHeight="1">
      <c r="A92" s="13"/>
      <c r="B92" s="13"/>
      <c r="C92" s="13"/>
      <c r="D92" s="13"/>
      <c r="E92" s="53"/>
      <c r="F92" s="5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row>
    <row r="93" spans="1:226" ht="14.1" customHeight="1">
      <c r="A93" s="13"/>
      <c r="B93" s="13"/>
      <c r="C93" s="13"/>
      <c r="D93" s="13"/>
      <c r="E93" s="53"/>
      <c r="F93" s="5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row>
    <row r="94" spans="1:226" ht="14.1" customHeight="1">
      <c r="A94" s="13"/>
      <c r="B94" s="13"/>
      <c r="C94" s="13"/>
      <c r="D94" s="13"/>
      <c r="E94" s="53"/>
      <c r="F94" s="5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row>
    <row r="95" spans="1:226" ht="14.1" customHeight="1">
      <c r="A95" s="13"/>
      <c r="B95" s="13"/>
      <c r="C95" s="13"/>
      <c r="D95" s="13"/>
      <c r="E95" s="53"/>
      <c r="F95" s="5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26" ht="14.1" customHeight="1">
      <c r="A96" s="13"/>
      <c r="B96" s="13"/>
      <c r="C96" s="13"/>
      <c r="D96" s="13"/>
      <c r="E96" s="53"/>
      <c r="F96" s="5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row>
    <row r="97" spans="1:226" ht="14.1" customHeight="1">
      <c r="A97" s="13"/>
      <c r="B97" s="13"/>
      <c r="C97" s="13"/>
      <c r="D97" s="13"/>
      <c r="E97" s="53"/>
      <c r="F97" s="5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row>
    <row r="98" spans="1:226" ht="14.1" customHeight="1">
      <c r="A98" s="13"/>
      <c r="B98" s="13"/>
      <c r="C98" s="13"/>
      <c r="D98" s="13"/>
      <c r="E98" s="53"/>
      <c r="F98" s="5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row>
    <row r="99" spans="1:226" ht="14.1" customHeight="1">
      <c r="A99" s="13"/>
      <c r="B99" s="13"/>
      <c r="C99" s="13"/>
      <c r="D99" s="13"/>
      <c r="E99" s="53"/>
      <c r="F99" s="5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row>
    <row r="100" spans="1:226" ht="14.1" customHeight="1">
      <c r="A100" s="13"/>
      <c r="B100" s="13"/>
      <c r="C100" s="13"/>
      <c r="D100" s="13"/>
      <c r="E100" s="53"/>
      <c r="F100" s="5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row>
    <row r="101" spans="1:226" ht="14.1" customHeight="1">
      <c r="A101" s="13"/>
      <c r="B101" s="13"/>
      <c r="C101" s="13"/>
      <c r="D101" s="13"/>
      <c r="E101" s="53"/>
      <c r="F101" s="5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row>
    <row r="102" spans="1:226" ht="14.1" customHeight="1">
      <c r="A102" s="13"/>
      <c r="B102" s="13"/>
      <c r="C102" s="13"/>
      <c r="D102" s="13"/>
      <c r="E102" s="53"/>
      <c r="F102" s="5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row>
    <row r="103" spans="1:226" ht="14.1" customHeight="1">
      <c r="A103" s="13"/>
      <c r="B103" s="13"/>
      <c r="C103" s="13"/>
      <c r="D103" s="13"/>
      <c r="E103" s="53"/>
      <c r="F103" s="5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row>
    <row r="104" spans="1:226" ht="14.1" customHeight="1">
      <c r="A104" s="13"/>
      <c r="B104" s="13"/>
      <c r="C104" s="13"/>
      <c r="D104" s="13"/>
      <c r="E104" s="53"/>
      <c r="F104" s="5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row>
    <row r="105" spans="1:226" ht="14.1" customHeight="1">
      <c r="A105" s="13"/>
      <c r="B105" s="13"/>
      <c r="C105" s="13"/>
      <c r="D105" s="13"/>
      <c r="E105" s="53"/>
      <c r="F105" s="5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row>
    <row r="106" spans="1:226" ht="14.1" customHeight="1">
      <c r="A106" s="13"/>
      <c r="B106" s="13"/>
      <c r="C106" s="13"/>
      <c r="D106" s="13"/>
      <c r="E106" s="53"/>
      <c r="F106" s="5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row>
    <row r="107" spans="1:226" ht="14.1" customHeight="1">
      <c r="A107" s="13"/>
      <c r="B107" s="13"/>
      <c r="C107" s="13"/>
      <c r="D107" s="13"/>
      <c r="E107" s="53"/>
      <c r="F107" s="5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row>
    <row r="108" spans="1:226" ht="14.1" customHeight="1">
      <c r="A108" s="13"/>
      <c r="B108" s="13"/>
      <c r="C108" s="13"/>
      <c r="D108" s="13"/>
      <c r="E108" s="53"/>
      <c r="F108" s="5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row>
    <row r="109" spans="1:226" ht="14.1" customHeight="1">
      <c r="A109" s="13"/>
      <c r="B109" s="13"/>
      <c r="C109" s="13"/>
      <c r="D109" s="13"/>
      <c r="E109" s="53"/>
      <c r="F109" s="5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row>
    <row r="110" spans="1:226" ht="14.1" customHeight="1">
      <c r="A110" s="13"/>
      <c r="B110" s="13"/>
      <c r="C110" s="13"/>
      <c r="D110" s="13"/>
      <c r="E110" s="53"/>
      <c r="F110" s="53"/>
      <c r="G110" s="13"/>
      <c r="H110" s="13"/>
      <c r="I110" s="13"/>
      <c r="J110" s="13"/>
      <c r="K110" s="13"/>
      <c r="L110" s="13"/>
      <c r="M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26" ht="14.1" customHeight="1">
      <c r="A111" s="13"/>
      <c r="B111" s="13"/>
      <c r="C111" s="13"/>
      <c r="D111" s="13"/>
      <c r="E111" s="53"/>
      <c r="F111" s="53"/>
      <c r="G111" s="13"/>
      <c r="H111" s="13"/>
      <c r="I111" s="13"/>
      <c r="J111" s="13"/>
      <c r="K111" s="13"/>
      <c r="L111" s="13"/>
      <c r="M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3" type="noConversion"/>
  <pageMargins left="0.75" right="0.75" top="1" bottom="1" header="0.5" footer="0.5"/>
  <pageSetup scale="66"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sheetPr>
    <pageSetUpPr fitToPage="1"/>
  </sheetPr>
  <dimension ref="A1:H30"/>
  <sheetViews>
    <sheetView zoomScaleNormal="100" workbookViewId="0"/>
  </sheetViews>
  <sheetFormatPr defaultColWidth="8.88671875" defaultRowHeight="13.2"/>
  <cols>
    <col min="1" max="1" width="20.6640625" style="922" customWidth="1"/>
    <col min="2" max="2" width="20.33203125" style="922" customWidth="1"/>
    <col min="3" max="3" width="15.6640625" style="922" customWidth="1"/>
    <col min="4" max="4" width="18.6640625" style="922" customWidth="1"/>
    <col min="5" max="5" width="17" style="922" customWidth="1"/>
    <col min="6" max="6" width="18.6640625" style="922" customWidth="1"/>
    <col min="7" max="16384" width="8.88671875" style="922"/>
  </cols>
  <sheetData>
    <row r="1" spans="1:7" ht="17.399999999999999">
      <c r="A1" s="921" t="s">
        <v>1075</v>
      </c>
      <c r="B1" s="921"/>
      <c r="C1" s="921"/>
      <c r="D1" s="921"/>
      <c r="E1" s="921"/>
      <c r="F1" s="921"/>
    </row>
    <row r="2" spans="1:7" ht="15.6">
      <c r="A2" s="923" t="s">
        <v>1076</v>
      </c>
      <c r="B2" s="923"/>
      <c r="C2" s="923"/>
      <c r="D2" s="923"/>
      <c r="E2" s="923"/>
      <c r="F2" s="923"/>
    </row>
    <row r="3" spans="1:7" ht="15.6">
      <c r="A3" s="923" t="s">
        <v>1107</v>
      </c>
      <c r="B3" s="923"/>
      <c r="C3" s="923"/>
      <c r="D3" s="923"/>
      <c r="E3" s="923"/>
      <c r="F3" s="923"/>
    </row>
    <row r="4" spans="1:7" ht="18" customHeight="1" thickBot="1">
      <c r="A4" s="924"/>
      <c r="B4" s="924"/>
      <c r="C4" s="924"/>
      <c r="D4" s="925"/>
      <c r="E4" s="924"/>
      <c r="F4" s="924"/>
    </row>
    <row r="5" spans="1:7" s="926" customFormat="1" ht="45" customHeight="1">
      <c r="A5" s="1158" t="s">
        <v>1084</v>
      </c>
      <c r="B5" s="1158"/>
      <c r="C5" s="1158"/>
      <c r="D5" s="927"/>
      <c r="E5" s="928"/>
      <c r="F5" s="927"/>
      <c r="G5" s="927"/>
    </row>
    <row r="6" spans="1:7" ht="18" customHeight="1">
      <c r="A6" s="933" t="s">
        <v>44</v>
      </c>
      <c r="B6" s="933"/>
      <c r="C6" s="933" t="s">
        <v>1083</v>
      </c>
      <c r="D6" s="924"/>
      <c r="E6" s="925"/>
      <c r="F6" s="924"/>
      <c r="G6" s="924"/>
    </row>
    <row r="7" spans="1:7" ht="18" customHeight="1">
      <c r="A7" s="934" t="s">
        <v>1086</v>
      </c>
      <c r="B7" s="934"/>
      <c r="C7" s="935">
        <v>143332331.22493362</v>
      </c>
      <c r="D7" s="924"/>
      <c r="E7" s="925"/>
      <c r="F7" s="924"/>
      <c r="G7" s="924"/>
    </row>
    <row r="8" spans="1:7" ht="18" customHeight="1">
      <c r="A8" s="934">
        <v>2008</v>
      </c>
      <c r="B8" s="934"/>
      <c r="C8" s="936">
        <v>213829116.3864015</v>
      </c>
      <c r="D8" s="924"/>
      <c r="E8" s="925"/>
      <c r="F8" s="924"/>
      <c r="G8" s="924"/>
    </row>
    <row r="9" spans="1:7" ht="18" customHeight="1">
      <c r="A9" s="934">
        <v>2009</v>
      </c>
      <c r="B9" s="934"/>
      <c r="C9" s="936">
        <v>175364334.91890469</v>
      </c>
      <c r="D9" s="924"/>
      <c r="E9" s="925"/>
      <c r="F9" s="924"/>
      <c r="G9" s="924"/>
    </row>
    <row r="10" spans="1:7" ht="18" customHeight="1">
      <c r="A10" s="934">
        <v>2010</v>
      </c>
      <c r="B10" s="934"/>
      <c r="C10" s="936">
        <v>143554116.64843339</v>
      </c>
      <c r="D10" s="924"/>
      <c r="E10" s="925"/>
      <c r="F10" s="924"/>
      <c r="G10" s="924"/>
    </row>
    <row r="11" spans="1:7" ht="18" customHeight="1">
      <c r="A11" s="934">
        <v>2011</v>
      </c>
      <c r="B11" s="934"/>
      <c r="C11" s="936">
        <v>150273915</v>
      </c>
      <c r="D11" s="924"/>
      <c r="E11" s="925"/>
      <c r="F11" s="924"/>
      <c r="G11" s="924"/>
    </row>
    <row r="12" spans="1:7" ht="18" customHeight="1">
      <c r="A12" s="934">
        <v>2012</v>
      </c>
      <c r="B12" s="934"/>
      <c r="C12" s="936">
        <v>156945693.35438961</v>
      </c>
      <c r="D12" s="924"/>
      <c r="E12" s="925"/>
      <c r="F12" s="924"/>
      <c r="G12" s="924"/>
    </row>
    <row r="13" spans="1:7" ht="14.1" customHeight="1">
      <c r="A13" s="934">
        <v>2013</v>
      </c>
      <c r="B13" s="934"/>
      <c r="C13" s="936">
        <v>161434467.78945559</v>
      </c>
      <c r="D13" s="1029"/>
      <c r="E13" s="925"/>
      <c r="F13" s="924"/>
      <c r="G13" s="924"/>
    </row>
    <row r="14" spans="1:7" ht="18" customHeight="1">
      <c r="A14" s="924" t="s">
        <v>2</v>
      </c>
      <c r="B14" s="924"/>
      <c r="C14" s="924"/>
      <c r="D14" s="925"/>
      <c r="E14" s="924"/>
      <c r="F14" s="924"/>
    </row>
    <row r="15" spans="1:7" ht="12.75" customHeight="1">
      <c r="A15" s="1159" t="s">
        <v>1088</v>
      </c>
      <c r="B15" s="1159"/>
      <c r="C15" s="1159"/>
      <c r="D15" s="937"/>
      <c r="E15" s="932"/>
      <c r="F15" s="932"/>
    </row>
    <row r="16" spans="1:7">
      <c r="A16" s="1159"/>
      <c r="B16" s="1159"/>
      <c r="C16" s="1159"/>
      <c r="D16" s="937"/>
      <c r="E16" s="932"/>
      <c r="F16" s="932"/>
    </row>
    <row r="17" spans="1:8">
      <c r="A17" s="1159"/>
      <c r="B17" s="1159"/>
      <c r="C17" s="1159"/>
      <c r="D17" s="937"/>
      <c r="E17" s="932"/>
      <c r="F17" s="932"/>
    </row>
    <row r="18" spans="1:8">
      <c r="A18" s="1159"/>
      <c r="B18" s="1159"/>
      <c r="C18" s="1159"/>
      <c r="D18" s="937"/>
      <c r="E18" s="932"/>
      <c r="F18" s="932"/>
    </row>
    <row r="19" spans="1:8" s="929" customFormat="1">
      <c r="A19" s="1159"/>
      <c r="B19" s="1159"/>
      <c r="C19" s="1159"/>
      <c r="D19" s="937"/>
      <c r="E19" s="932"/>
      <c r="F19" s="932"/>
    </row>
    <row r="20" spans="1:8" ht="15">
      <c r="A20" s="1159"/>
      <c r="B20" s="1159"/>
      <c r="C20" s="1159"/>
      <c r="D20" s="937"/>
      <c r="E20" s="930"/>
      <c r="F20" s="930"/>
    </row>
    <row r="21" spans="1:8" ht="15">
      <c r="A21" s="1159"/>
      <c r="B21" s="1159"/>
      <c r="C21" s="1159"/>
      <c r="D21" s="937"/>
      <c r="E21" s="931"/>
      <c r="F21" s="931"/>
      <c r="G21" s="926"/>
      <c r="H21" s="926"/>
    </row>
    <row r="22" spans="1:8" s="926" customFormat="1" ht="15">
      <c r="A22" s="1159"/>
      <c r="B22" s="1159"/>
      <c r="C22" s="1159"/>
      <c r="D22" s="937"/>
      <c r="E22" s="931"/>
      <c r="F22" s="931"/>
    </row>
    <row r="23" spans="1:8">
      <c r="A23" s="1159"/>
      <c r="B23" s="1159"/>
      <c r="C23" s="1159"/>
      <c r="D23" s="937"/>
      <c r="E23" s="926"/>
      <c r="F23" s="926"/>
      <c r="G23" s="926"/>
      <c r="H23" s="926"/>
    </row>
    <row r="24" spans="1:8">
      <c r="A24" s="1159"/>
      <c r="B24" s="1159"/>
      <c r="C24" s="1159"/>
      <c r="D24" s="932"/>
      <c r="E24" s="926"/>
      <c r="F24" s="926"/>
      <c r="G24" s="926"/>
      <c r="H24" s="926"/>
    </row>
    <row r="25" spans="1:8">
      <c r="A25" s="1159"/>
      <c r="B25" s="1159"/>
      <c r="C25" s="1159"/>
    </row>
    <row r="26" spans="1:8">
      <c r="A26" s="1159"/>
      <c r="B26" s="1159"/>
      <c r="C26" s="1159"/>
    </row>
    <row r="27" spans="1:8">
      <c r="A27" s="1159"/>
      <c r="B27" s="1159"/>
      <c r="C27" s="1159"/>
    </row>
    <row r="28" spans="1:8">
      <c r="A28" s="1159"/>
      <c r="B28" s="1159"/>
      <c r="C28" s="1159"/>
    </row>
    <row r="29" spans="1:8" ht="9.6" customHeight="1">
      <c r="A29" s="1159"/>
      <c r="B29" s="1159"/>
      <c r="C29" s="1159"/>
    </row>
    <row r="30" spans="1:8" ht="9.6" customHeight="1"/>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2">
    <mergeCell ref="A5:C5"/>
    <mergeCell ref="A15:C29"/>
  </mergeCells>
  <pageMargins left="1" right="1" top="0.75" bottom="0.75" header="0.5" footer="0.5"/>
  <pageSetup orientation="landscape" r:id="rId2"/>
  <headerFooter alignWithMargins="0"/>
</worksheet>
</file>

<file path=xl/worksheets/sheet31.xml><?xml version="1.0" encoding="utf-8"?>
<worksheet xmlns="http://schemas.openxmlformats.org/spreadsheetml/2006/main" xmlns:r="http://schemas.openxmlformats.org/officeDocument/2006/relationships">
  <sheetPr codeName="Sheet23"/>
  <dimension ref="A1:I19"/>
  <sheetViews>
    <sheetView zoomScaleNormal="100" workbookViewId="0"/>
  </sheetViews>
  <sheetFormatPr defaultRowHeight="13.2"/>
  <cols>
    <col min="5" max="5" width="12.44140625" customWidth="1"/>
  </cols>
  <sheetData>
    <row r="1" spans="1:9" ht="15.6">
      <c r="A1" s="179" t="s">
        <v>379</v>
      </c>
      <c r="B1" s="180"/>
      <c r="C1" s="180"/>
      <c r="D1" s="180"/>
      <c r="E1" s="180"/>
      <c r="F1" s="180"/>
      <c r="G1" s="180"/>
      <c r="H1" s="180"/>
      <c r="I1" s="180"/>
    </row>
    <row r="2" spans="1:9" ht="13.8">
      <c r="A2" s="181"/>
      <c r="B2" s="181"/>
      <c r="C2" s="181"/>
      <c r="D2" s="181"/>
      <c r="E2" s="181"/>
      <c r="F2" s="181"/>
      <c r="G2" s="181"/>
      <c r="H2" s="181"/>
      <c r="I2" s="181"/>
    </row>
    <row r="3" spans="1:9" ht="13.8">
      <c r="A3" s="182" t="s">
        <v>380</v>
      </c>
      <c r="B3" s="181"/>
      <c r="C3" s="181"/>
      <c r="D3" s="181"/>
      <c r="E3" s="181"/>
      <c r="F3" s="181"/>
      <c r="G3" s="181"/>
      <c r="H3" s="181"/>
      <c r="I3" s="181"/>
    </row>
    <row r="4" spans="1:9" ht="13.8">
      <c r="A4" s="182" t="s">
        <v>397</v>
      </c>
      <c r="B4" s="181"/>
      <c r="C4" s="181"/>
      <c r="D4" s="181"/>
      <c r="E4" s="181"/>
      <c r="F4" s="181"/>
      <c r="G4" s="181"/>
      <c r="H4" s="181"/>
      <c r="I4" s="181"/>
    </row>
    <row r="5" spans="1:9" ht="13.8">
      <c r="A5" s="181" t="s">
        <v>381</v>
      </c>
      <c r="B5" s="181"/>
      <c r="C5" s="181"/>
      <c r="D5" s="181"/>
      <c r="E5" s="181"/>
      <c r="F5" s="181"/>
      <c r="G5" s="181"/>
      <c r="H5" s="181"/>
      <c r="I5" s="181"/>
    </row>
    <row r="6" spans="1:9" ht="13.8">
      <c r="A6" s="181" t="s">
        <v>382</v>
      </c>
      <c r="B6" s="181"/>
      <c r="C6" s="181"/>
      <c r="D6" s="181"/>
      <c r="E6" s="181"/>
      <c r="F6" s="181"/>
      <c r="G6" s="181"/>
      <c r="H6" s="181"/>
      <c r="I6" s="181"/>
    </row>
    <row r="7" spans="1:9" ht="13.8">
      <c r="A7" s="181" t="s">
        <v>383</v>
      </c>
      <c r="B7" s="181"/>
      <c r="C7" s="181"/>
      <c r="D7" s="181"/>
      <c r="E7" s="181" t="s">
        <v>384</v>
      </c>
      <c r="F7" s="181"/>
      <c r="G7" s="181"/>
      <c r="H7" s="181"/>
      <c r="I7" s="181"/>
    </row>
    <row r="8" spans="1:9" ht="13.8">
      <c r="A8" s="181"/>
      <c r="B8" s="181"/>
      <c r="C8" s="181"/>
      <c r="D8" s="181"/>
      <c r="E8" s="181" t="s">
        <v>385</v>
      </c>
      <c r="F8" s="181"/>
      <c r="G8" s="181"/>
      <c r="H8" s="181"/>
      <c r="I8" s="181"/>
    </row>
    <row r="9" spans="1:9" ht="13.8">
      <c r="A9" s="182" t="s">
        <v>386</v>
      </c>
      <c r="B9" s="181"/>
      <c r="C9" s="181"/>
      <c r="D9" s="181"/>
      <c r="E9" s="181" t="s">
        <v>387</v>
      </c>
      <c r="F9" s="181"/>
      <c r="G9" s="181"/>
      <c r="H9" s="181"/>
      <c r="I9" s="181"/>
    </row>
    <row r="10" spans="1:9" ht="13.8">
      <c r="A10" s="181" t="s">
        <v>1041</v>
      </c>
      <c r="B10" s="181"/>
      <c r="C10" s="181"/>
      <c r="D10" s="181"/>
      <c r="E10" s="181" t="s">
        <v>388</v>
      </c>
      <c r="F10" s="181"/>
      <c r="G10" s="181"/>
      <c r="H10" s="181"/>
      <c r="I10" s="181"/>
    </row>
    <row r="11" spans="1:9" ht="13.8">
      <c r="A11" s="181" t="s">
        <v>390</v>
      </c>
      <c r="B11" s="181"/>
      <c r="C11" s="181"/>
      <c r="D11" s="181"/>
      <c r="E11" s="181" t="s">
        <v>389</v>
      </c>
      <c r="F11" s="181"/>
      <c r="G11" s="181"/>
      <c r="H11" s="181"/>
      <c r="I11" s="181"/>
    </row>
    <row r="12" spans="1:9" ht="13.8">
      <c r="A12" s="181" t="s">
        <v>1119</v>
      </c>
      <c r="B12" s="181"/>
      <c r="C12" s="181"/>
      <c r="D12" s="181"/>
      <c r="E12" s="181"/>
      <c r="F12" s="181"/>
      <c r="G12" s="181"/>
      <c r="H12" s="181"/>
      <c r="I12" s="181"/>
    </row>
    <row r="13" spans="1:9" ht="13.8">
      <c r="A13" s="181"/>
      <c r="B13" s="181"/>
      <c r="C13" s="181"/>
      <c r="D13" s="181"/>
      <c r="E13" s="181" t="s">
        <v>391</v>
      </c>
      <c r="F13" s="181"/>
      <c r="G13" s="181"/>
      <c r="H13" s="181"/>
      <c r="I13" s="181"/>
    </row>
    <row r="14" spans="1:9" ht="13.8">
      <c r="A14" s="182" t="s">
        <v>392</v>
      </c>
      <c r="B14" s="181"/>
      <c r="C14" s="181"/>
      <c r="D14" s="181"/>
      <c r="E14" s="181" t="s">
        <v>380</v>
      </c>
      <c r="F14" s="181"/>
      <c r="G14" s="181"/>
      <c r="H14" s="181"/>
      <c r="I14" s="181"/>
    </row>
    <row r="15" spans="1:9" ht="13.8">
      <c r="A15" s="181" t="s">
        <v>380</v>
      </c>
      <c r="B15" s="181"/>
      <c r="C15" s="181"/>
      <c r="D15" s="181"/>
      <c r="E15" s="181" t="s">
        <v>393</v>
      </c>
      <c r="F15" s="181"/>
      <c r="G15" s="181"/>
      <c r="H15" s="181"/>
      <c r="I15" s="181"/>
    </row>
    <row r="16" spans="1:9" ht="13.8">
      <c r="A16" s="181" t="s">
        <v>394</v>
      </c>
      <c r="B16" s="181"/>
      <c r="C16" s="181"/>
      <c r="D16" s="181"/>
      <c r="E16" s="181"/>
      <c r="F16" s="181"/>
      <c r="G16" s="181"/>
      <c r="H16" s="181"/>
      <c r="I16" s="181"/>
    </row>
    <row r="17" spans="1:9" ht="13.8">
      <c r="A17" s="183" t="s">
        <v>395</v>
      </c>
      <c r="B17" s="183"/>
      <c r="C17" s="183"/>
      <c r="D17" s="183"/>
      <c r="E17" s="184" t="s">
        <v>396</v>
      </c>
      <c r="F17" s="184"/>
      <c r="G17" s="184"/>
      <c r="H17" s="185"/>
      <c r="I17" s="185"/>
    </row>
    <row r="18" spans="1:9" ht="14.4" thickBot="1">
      <c r="A18" s="186"/>
      <c r="B18" s="186"/>
      <c r="C18" s="186"/>
      <c r="D18" s="186"/>
      <c r="E18" s="186"/>
      <c r="F18" s="186"/>
      <c r="G18" s="186"/>
      <c r="H18" s="186"/>
      <c r="I18" s="186"/>
    </row>
    <row r="19" spans="1:9" ht="14.4" thickTop="1">
      <c r="A19" s="183"/>
      <c r="B19" s="183"/>
      <c r="C19" s="183"/>
      <c r="D19" s="183"/>
      <c r="E19" s="183"/>
      <c r="F19" s="183"/>
      <c r="G19" s="183"/>
      <c r="H19" s="183"/>
      <c r="I19" s="183"/>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sheetPr codeName="Sheet3"/>
  <dimension ref="A1:HX110"/>
  <sheetViews>
    <sheetView zoomScaleNormal="100" workbookViewId="0"/>
  </sheetViews>
  <sheetFormatPr defaultColWidth="12.44140625" defaultRowHeight="15"/>
  <cols>
    <col min="1" max="1" width="43.88671875" style="668" customWidth="1"/>
    <col min="2" max="3" width="19.6640625" style="668" customWidth="1"/>
    <col min="4" max="4" width="6.88671875" style="711" customWidth="1"/>
    <col min="5" max="5" width="11.6640625" style="668" bestFit="1" customWidth="1"/>
    <col min="6" max="6" width="12.44140625" style="668" customWidth="1"/>
    <col min="7" max="7" width="24" style="668" customWidth="1"/>
    <col min="8" max="8" width="27.88671875" style="668" customWidth="1"/>
    <col min="9" max="9" width="12.44140625" style="668" customWidth="1"/>
    <col min="10" max="10" width="9.109375" style="711" customWidth="1"/>
    <col min="11" max="11" width="22.44140625" style="684" bestFit="1" customWidth="1"/>
    <col min="12" max="12" width="22.5546875" style="684" bestFit="1" customWidth="1"/>
    <col min="13" max="13" width="7.6640625" style="684" bestFit="1" customWidth="1"/>
    <col min="14" max="14" width="16.6640625" style="684" bestFit="1" customWidth="1"/>
    <col min="15" max="15" width="8.5546875" style="684" bestFit="1" customWidth="1"/>
    <col min="16" max="20" width="6.5546875" style="684" bestFit="1" customWidth="1"/>
    <col min="21" max="21" width="7.6640625" style="684" customWidth="1"/>
    <col min="22" max="23" width="6.5546875" style="684" bestFit="1" customWidth="1"/>
    <col min="24" max="24" width="8.33203125" style="668" customWidth="1"/>
    <col min="25" max="25" width="7.6640625" style="668" bestFit="1" customWidth="1"/>
    <col min="26" max="16384" width="12.44140625" style="668"/>
  </cols>
  <sheetData>
    <row r="1" spans="1:231" ht="17.399999999999999">
      <c r="A1" s="660" t="s">
        <v>411</v>
      </c>
      <c r="B1" s="661"/>
      <c r="C1" s="661"/>
      <c r="D1" s="662"/>
      <c r="E1" s="663"/>
      <c r="F1" s="664"/>
      <c r="G1" s="664"/>
      <c r="H1" s="664"/>
      <c r="I1" s="664"/>
      <c r="J1" s="662"/>
      <c r="K1" s="1040"/>
      <c r="L1" s="1041"/>
      <c r="M1" s="1041"/>
      <c r="N1" s="1041"/>
      <c r="O1" s="1041"/>
      <c r="P1" s="1041"/>
      <c r="Q1" s="1041"/>
      <c r="R1" s="1041"/>
      <c r="S1" s="1041"/>
      <c r="T1" s="1041"/>
      <c r="U1" s="1041"/>
      <c r="V1" s="1041"/>
      <c r="W1" s="1041"/>
      <c r="X1" s="1041"/>
      <c r="Y1" s="1041"/>
      <c r="Z1" s="1041"/>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B1" s="667"/>
      <c r="BC1" s="667"/>
      <c r="BD1" s="667"/>
      <c r="BE1" s="667"/>
      <c r="BF1" s="667"/>
      <c r="BG1" s="667"/>
      <c r="BH1" s="667"/>
      <c r="BI1" s="667"/>
      <c r="BJ1" s="667"/>
      <c r="BK1" s="667"/>
      <c r="BL1" s="667"/>
      <c r="BM1" s="667"/>
      <c r="BN1" s="667"/>
      <c r="BO1" s="667"/>
      <c r="BP1" s="667"/>
      <c r="BQ1" s="667"/>
      <c r="BR1" s="667"/>
      <c r="BS1" s="667"/>
      <c r="BT1" s="667"/>
      <c r="BU1" s="667"/>
      <c r="BV1" s="667"/>
      <c r="BW1" s="667"/>
      <c r="BX1" s="667"/>
      <c r="BY1" s="667"/>
      <c r="BZ1" s="667"/>
      <c r="CA1" s="667"/>
      <c r="CB1" s="667"/>
      <c r="CC1" s="667"/>
      <c r="CD1" s="667"/>
      <c r="CE1" s="667"/>
      <c r="CF1" s="667"/>
      <c r="CG1" s="667"/>
      <c r="CH1" s="667"/>
      <c r="CI1" s="667"/>
      <c r="CJ1" s="667"/>
      <c r="CK1" s="667"/>
      <c r="CL1" s="667"/>
      <c r="CM1" s="667"/>
      <c r="CN1" s="667"/>
      <c r="CO1" s="667"/>
      <c r="CP1" s="667"/>
      <c r="CQ1" s="667"/>
      <c r="CR1" s="667"/>
      <c r="CS1" s="667"/>
      <c r="CT1" s="667"/>
      <c r="CU1" s="667"/>
      <c r="CV1" s="667"/>
      <c r="CW1" s="667"/>
      <c r="CX1" s="667"/>
      <c r="CY1" s="667"/>
      <c r="CZ1" s="667"/>
      <c r="DA1" s="667"/>
      <c r="DB1" s="667"/>
      <c r="DC1" s="667"/>
      <c r="DD1" s="667"/>
      <c r="DE1" s="667"/>
      <c r="DF1" s="667"/>
      <c r="DG1" s="667"/>
      <c r="DH1" s="667"/>
      <c r="DI1" s="667"/>
      <c r="DJ1" s="667"/>
      <c r="DK1" s="667"/>
      <c r="DL1" s="667"/>
      <c r="DM1" s="667"/>
      <c r="DN1" s="667"/>
      <c r="DO1" s="667"/>
      <c r="DP1" s="667"/>
      <c r="DQ1" s="667"/>
      <c r="DR1" s="667"/>
      <c r="DS1" s="667"/>
      <c r="DT1" s="667"/>
      <c r="DU1" s="667"/>
      <c r="DV1" s="667"/>
      <c r="DW1" s="667"/>
      <c r="DX1" s="667"/>
      <c r="DY1" s="667"/>
      <c r="DZ1" s="667"/>
      <c r="EA1" s="667"/>
      <c r="EB1" s="667"/>
      <c r="EC1" s="667"/>
      <c r="ED1" s="667"/>
      <c r="EE1" s="667"/>
      <c r="EF1" s="667"/>
      <c r="EG1" s="667"/>
      <c r="EH1" s="667"/>
      <c r="EI1" s="667"/>
      <c r="EJ1" s="667"/>
      <c r="EK1" s="667"/>
      <c r="EL1" s="667"/>
      <c r="EM1" s="667"/>
      <c r="EN1" s="667"/>
      <c r="EO1" s="667"/>
      <c r="EP1" s="667"/>
      <c r="EQ1" s="667"/>
      <c r="ER1" s="667"/>
      <c r="ES1" s="667"/>
      <c r="ET1" s="667"/>
      <c r="EU1" s="667"/>
      <c r="EV1" s="667"/>
      <c r="EW1" s="667"/>
      <c r="EX1" s="667"/>
      <c r="EY1" s="667"/>
      <c r="EZ1" s="667"/>
      <c r="FA1" s="667"/>
      <c r="FB1" s="667"/>
      <c r="FC1" s="667"/>
      <c r="FD1" s="667"/>
      <c r="FE1" s="667"/>
      <c r="FF1" s="667"/>
      <c r="FG1" s="667"/>
      <c r="FH1" s="667"/>
      <c r="FI1" s="667"/>
      <c r="FJ1" s="667"/>
      <c r="FK1" s="667"/>
      <c r="FL1" s="667"/>
      <c r="FM1" s="667"/>
      <c r="FN1" s="667"/>
      <c r="FO1" s="667"/>
      <c r="FP1" s="667"/>
      <c r="FQ1" s="667"/>
      <c r="FR1" s="667"/>
      <c r="FS1" s="667"/>
      <c r="FT1" s="667"/>
      <c r="FU1" s="667"/>
      <c r="FV1" s="667"/>
      <c r="FW1" s="667"/>
      <c r="FX1" s="667"/>
      <c r="FY1" s="667"/>
      <c r="FZ1" s="667"/>
      <c r="GA1" s="667"/>
      <c r="GB1" s="667"/>
      <c r="GC1" s="667"/>
      <c r="GD1" s="667"/>
      <c r="GE1" s="667"/>
      <c r="GF1" s="667"/>
      <c r="GG1" s="667"/>
      <c r="GH1" s="667"/>
      <c r="GI1" s="667"/>
      <c r="GJ1" s="667"/>
      <c r="GK1" s="667"/>
      <c r="GL1" s="667"/>
      <c r="GM1" s="667"/>
      <c r="GN1" s="667"/>
      <c r="GO1" s="667"/>
      <c r="GP1" s="667"/>
      <c r="GQ1" s="667"/>
      <c r="GR1" s="667"/>
      <c r="GS1" s="667"/>
      <c r="GT1" s="667"/>
      <c r="GU1" s="667"/>
      <c r="GV1" s="667"/>
      <c r="GW1" s="667"/>
      <c r="GX1" s="667"/>
      <c r="GY1" s="667"/>
      <c r="GZ1" s="667"/>
      <c r="HA1" s="667"/>
      <c r="HB1" s="667"/>
      <c r="HC1" s="667"/>
      <c r="HD1" s="667"/>
      <c r="HE1" s="667"/>
      <c r="HF1" s="667"/>
      <c r="HG1" s="667"/>
      <c r="HH1" s="667"/>
      <c r="HI1" s="667"/>
      <c r="HJ1" s="667"/>
      <c r="HK1" s="667"/>
      <c r="HL1" s="667"/>
      <c r="HM1" s="667"/>
      <c r="HN1" s="667"/>
      <c r="HO1" s="667"/>
      <c r="HP1" s="667"/>
      <c r="HQ1" s="667"/>
      <c r="HR1" s="667"/>
      <c r="HS1" s="667"/>
      <c r="HT1" s="667"/>
      <c r="HU1" s="667"/>
      <c r="HV1" s="667"/>
    </row>
    <row r="2" spans="1:231" ht="17.399999999999999">
      <c r="A2" s="660" t="s">
        <v>412</v>
      </c>
      <c r="B2" s="661"/>
      <c r="C2" s="661"/>
      <c r="D2" s="662"/>
      <c r="E2" s="663"/>
      <c r="F2" s="664"/>
      <c r="G2" s="664"/>
      <c r="H2" s="664"/>
      <c r="I2" s="664"/>
      <c r="J2" s="662"/>
      <c r="K2" s="1042"/>
      <c r="L2" s="1043">
        <v>1999</v>
      </c>
      <c r="M2" s="1043">
        <v>2000</v>
      </c>
      <c r="N2" s="1043">
        <v>2001</v>
      </c>
      <c r="O2" s="1043">
        <v>2002</v>
      </c>
      <c r="P2" s="1043">
        <v>2003</v>
      </c>
      <c r="Q2" s="1043">
        <v>2004</v>
      </c>
      <c r="R2" s="1043">
        <v>2005</v>
      </c>
      <c r="S2" s="1043">
        <v>2006</v>
      </c>
      <c r="T2" s="1043">
        <v>2007</v>
      </c>
      <c r="U2" s="1043">
        <v>2008</v>
      </c>
      <c r="V2" s="1043">
        <v>2009</v>
      </c>
      <c r="W2" s="1043">
        <v>2010</v>
      </c>
      <c r="X2" s="1043">
        <v>2011</v>
      </c>
      <c r="Y2" s="1043">
        <v>2012</v>
      </c>
      <c r="Z2" s="1043">
        <v>2013</v>
      </c>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c r="BC2" s="667"/>
      <c r="BD2" s="667"/>
      <c r="BE2" s="667"/>
      <c r="BF2" s="667"/>
      <c r="BG2" s="667"/>
      <c r="BH2" s="667"/>
      <c r="BI2" s="667"/>
      <c r="BJ2" s="667"/>
      <c r="BK2" s="667"/>
      <c r="BL2" s="667"/>
      <c r="BM2" s="667"/>
      <c r="BN2" s="667"/>
      <c r="BO2" s="667"/>
      <c r="BP2" s="667"/>
      <c r="BQ2" s="667"/>
      <c r="BR2" s="667"/>
      <c r="BS2" s="667"/>
      <c r="BT2" s="667"/>
      <c r="BU2" s="667"/>
      <c r="BV2" s="667"/>
      <c r="BW2" s="667"/>
      <c r="BX2" s="667"/>
      <c r="BY2" s="667"/>
      <c r="BZ2" s="667"/>
      <c r="CA2" s="667"/>
      <c r="CB2" s="667"/>
      <c r="CC2" s="667"/>
      <c r="CD2" s="667"/>
      <c r="CE2" s="667"/>
      <c r="CF2" s="667"/>
      <c r="CG2" s="667"/>
      <c r="CH2" s="667"/>
      <c r="CI2" s="667"/>
      <c r="CJ2" s="667"/>
      <c r="CK2" s="667"/>
      <c r="CL2" s="667"/>
      <c r="CM2" s="667"/>
      <c r="CN2" s="667"/>
      <c r="CO2" s="667"/>
      <c r="CP2" s="667"/>
      <c r="CQ2" s="667"/>
      <c r="CR2" s="667"/>
      <c r="CS2" s="667"/>
      <c r="CT2" s="667"/>
      <c r="CU2" s="667"/>
      <c r="CV2" s="667"/>
      <c r="CW2" s="667"/>
      <c r="CX2" s="667"/>
      <c r="CY2" s="667"/>
      <c r="CZ2" s="667"/>
      <c r="DA2" s="667"/>
      <c r="DB2" s="667"/>
      <c r="DC2" s="667"/>
      <c r="DD2" s="667"/>
      <c r="DE2" s="667"/>
      <c r="DF2" s="667"/>
      <c r="DG2" s="667"/>
      <c r="DH2" s="667"/>
      <c r="DI2" s="667"/>
      <c r="DJ2" s="667"/>
      <c r="DK2" s="667"/>
      <c r="DL2" s="667"/>
      <c r="DM2" s="667"/>
      <c r="DN2" s="667"/>
      <c r="DO2" s="667"/>
      <c r="DP2" s="667"/>
      <c r="DQ2" s="667"/>
      <c r="DR2" s="667"/>
      <c r="DS2" s="667"/>
      <c r="DT2" s="667"/>
      <c r="DU2" s="667"/>
      <c r="DV2" s="667"/>
      <c r="DW2" s="667"/>
      <c r="DX2" s="667"/>
      <c r="DY2" s="667"/>
      <c r="DZ2" s="667"/>
      <c r="EA2" s="667"/>
      <c r="EB2" s="667"/>
      <c r="EC2" s="667"/>
      <c r="ED2" s="667"/>
      <c r="EE2" s="667"/>
      <c r="EF2" s="667"/>
      <c r="EG2" s="667"/>
      <c r="EH2" s="667"/>
      <c r="EI2" s="667"/>
      <c r="EJ2" s="667"/>
      <c r="EK2" s="667"/>
      <c r="EL2" s="667"/>
      <c r="EM2" s="667"/>
      <c r="EN2" s="667"/>
      <c r="EO2" s="667"/>
      <c r="EP2" s="667"/>
      <c r="EQ2" s="667"/>
      <c r="ER2" s="667"/>
      <c r="ES2" s="667"/>
      <c r="ET2" s="667"/>
      <c r="EU2" s="667"/>
      <c r="EV2" s="667"/>
      <c r="EW2" s="667"/>
      <c r="EX2" s="667"/>
      <c r="EY2" s="667"/>
      <c r="EZ2" s="667"/>
      <c r="FA2" s="667"/>
      <c r="FB2" s="667"/>
      <c r="FC2" s="667"/>
      <c r="FD2" s="667"/>
      <c r="FE2" s="667"/>
      <c r="FF2" s="667"/>
      <c r="FG2" s="667"/>
      <c r="FH2" s="667"/>
      <c r="FI2" s="667"/>
      <c r="FJ2" s="667"/>
      <c r="FK2" s="667"/>
      <c r="FL2" s="667"/>
      <c r="FM2" s="667"/>
      <c r="FN2" s="667"/>
      <c r="FO2" s="667"/>
      <c r="FP2" s="667"/>
      <c r="FQ2" s="667"/>
      <c r="FR2" s="667"/>
      <c r="FS2" s="667"/>
      <c r="FT2" s="667"/>
      <c r="FU2" s="667"/>
      <c r="FV2" s="667"/>
      <c r="FW2" s="667"/>
      <c r="FX2" s="667"/>
      <c r="FY2" s="667"/>
      <c r="FZ2" s="667"/>
      <c r="GA2" s="667"/>
      <c r="GB2" s="667"/>
      <c r="GC2" s="667"/>
      <c r="GD2" s="667"/>
      <c r="GE2" s="667"/>
      <c r="GF2" s="667"/>
      <c r="GG2" s="667"/>
      <c r="GH2" s="667"/>
      <c r="GI2" s="667"/>
      <c r="GJ2" s="667"/>
      <c r="GK2" s="667"/>
      <c r="GL2" s="667"/>
      <c r="GM2" s="667"/>
      <c r="GN2" s="667"/>
      <c r="GO2" s="667"/>
      <c r="GP2" s="667"/>
      <c r="GQ2" s="667"/>
      <c r="GR2" s="667"/>
      <c r="GS2" s="667"/>
      <c r="GT2" s="667"/>
      <c r="GU2" s="667"/>
      <c r="GV2" s="667"/>
      <c r="GW2" s="667"/>
      <c r="GX2" s="667"/>
      <c r="GY2" s="667"/>
      <c r="GZ2" s="667"/>
      <c r="HA2" s="667"/>
      <c r="HB2" s="667"/>
      <c r="HC2" s="667"/>
      <c r="HD2" s="667"/>
      <c r="HE2" s="667"/>
      <c r="HF2" s="667"/>
      <c r="HG2" s="667"/>
      <c r="HH2" s="667"/>
      <c r="HI2" s="667"/>
      <c r="HJ2" s="667"/>
      <c r="HK2" s="667"/>
      <c r="HL2" s="667"/>
      <c r="HM2" s="667"/>
      <c r="HN2" s="667"/>
      <c r="HO2" s="667"/>
      <c r="HP2" s="667"/>
      <c r="HQ2" s="667"/>
      <c r="HR2" s="667"/>
      <c r="HS2" s="667"/>
      <c r="HT2" s="667"/>
      <c r="HU2" s="667"/>
      <c r="HV2" s="667"/>
    </row>
    <row r="3" spans="1:231" ht="14.1" customHeight="1">
      <c r="A3" s="664"/>
      <c r="B3" s="664"/>
      <c r="C3" s="664"/>
      <c r="D3" s="662"/>
      <c r="E3" s="670" t="s">
        <v>1092</v>
      </c>
      <c r="F3" s="664"/>
      <c r="G3" s="664"/>
      <c r="H3" s="664"/>
      <c r="I3" s="664"/>
      <c r="J3" s="662"/>
      <c r="K3" s="1044" t="s">
        <v>4</v>
      </c>
      <c r="L3" s="1045">
        <v>6.0878509999999997</v>
      </c>
      <c r="M3" s="1045">
        <v>6.8289059999999999</v>
      </c>
      <c r="N3" s="1045">
        <v>7.0870170000000003</v>
      </c>
      <c r="O3" s="1045">
        <v>7.2263000000000002</v>
      </c>
      <c r="P3" s="1045">
        <v>6.7756999999999996</v>
      </c>
      <c r="Q3" s="1045">
        <v>7.3849</v>
      </c>
      <c r="R3" s="1045">
        <v>8.3523999999999994</v>
      </c>
      <c r="S3" s="1045">
        <v>9.2648829999999993</v>
      </c>
      <c r="T3" s="1045">
        <v>9.7875920000000001</v>
      </c>
      <c r="U3" s="1045">
        <v>10.114833000000001</v>
      </c>
      <c r="V3" s="1045">
        <v>9.481109</v>
      </c>
      <c r="W3" s="1045">
        <v>9.0882520000000007</v>
      </c>
      <c r="X3" s="1045">
        <v>9.9443699999999993</v>
      </c>
      <c r="Y3" s="1045">
        <f>B9/1000000000</f>
        <v>10.612836</v>
      </c>
      <c r="Z3" s="1045">
        <f>C9/1000000000</f>
        <v>11.339964999999999</v>
      </c>
      <c r="AA3" s="667"/>
      <c r="AB3" s="667"/>
      <c r="AC3" s="667"/>
      <c r="AD3" s="667"/>
      <c r="AE3" s="667"/>
      <c r="AF3" s="667"/>
      <c r="AG3" s="667"/>
      <c r="AH3" s="667"/>
      <c r="AI3" s="667"/>
      <c r="AJ3" s="667"/>
      <c r="AK3" s="667"/>
      <c r="AL3" s="667"/>
      <c r="AM3" s="667"/>
      <c r="AN3" s="667"/>
      <c r="AO3" s="667"/>
      <c r="AP3" s="667"/>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7"/>
      <c r="CC3" s="667"/>
      <c r="CD3" s="667"/>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7"/>
      <c r="ED3" s="667"/>
      <c r="EE3" s="667"/>
      <c r="EF3" s="667"/>
      <c r="EG3" s="667"/>
      <c r="EH3" s="667"/>
      <c r="EI3" s="667"/>
      <c r="EJ3" s="667"/>
      <c r="EK3" s="667"/>
      <c r="EL3" s="667"/>
      <c r="EM3" s="667"/>
      <c r="EN3" s="667"/>
      <c r="EO3" s="667"/>
      <c r="EP3" s="667"/>
      <c r="EQ3" s="667"/>
      <c r="ER3" s="667"/>
      <c r="ES3" s="667"/>
      <c r="ET3" s="667"/>
      <c r="EU3" s="667"/>
      <c r="EV3" s="667"/>
      <c r="EW3" s="667"/>
      <c r="EX3" s="667"/>
      <c r="EY3" s="667"/>
      <c r="EZ3" s="667"/>
      <c r="FA3" s="667"/>
      <c r="FB3" s="667"/>
      <c r="FC3" s="667"/>
      <c r="FD3" s="667"/>
      <c r="FE3" s="667"/>
      <c r="FF3" s="667"/>
      <c r="FG3" s="667"/>
      <c r="FH3" s="667"/>
      <c r="FI3" s="667"/>
      <c r="FJ3" s="667"/>
      <c r="FK3" s="667"/>
      <c r="FL3" s="667"/>
      <c r="FM3" s="667"/>
      <c r="FN3" s="667"/>
      <c r="FO3" s="667"/>
      <c r="FP3" s="667"/>
      <c r="FQ3" s="667"/>
      <c r="FR3" s="667"/>
      <c r="FS3" s="667"/>
      <c r="FT3" s="667"/>
      <c r="FU3" s="667"/>
      <c r="FV3" s="667"/>
      <c r="FW3" s="667"/>
      <c r="FX3" s="667"/>
      <c r="FY3" s="667"/>
      <c r="FZ3" s="667"/>
      <c r="GA3" s="667"/>
      <c r="GB3" s="667"/>
      <c r="GC3" s="667"/>
      <c r="GD3" s="667"/>
      <c r="GE3" s="667"/>
      <c r="GF3" s="667"/>
      <c r="GG3" s="667"/>
      <c r="GH3" s="667"/>
      <c r="GI3" s="667"/>
      <c r="GJ3" s="667"/>
      <c r="GK3" s="667"/>
      <c r="GL3" s="667"/>
      <c r="GM3" s="667"/>
      <c r="GN3" s="667"/>
      <c r="GO3" s="667"/>
      <c r="GP3" s="667"/>
      <c r="GQ3" s="667"/>
      <c r="GR3" s="667"/>
      <c r="GS3" s="667"/>
      <c r="GT3" s="667"/>
      <c r="GU3" s="667"/>
      <c r="GV3" s="667"/>
      <c r="GW3" s="667"/>
      <c r="GX3" s="667"/>
      <c r="GY3" s="667"/>
      <c r="GZ3" s="667"/>
      <c r="HA3" s="667"/>
      <c r="HB3" s="667"/>
      <c r="HC3" s="667"/>
      <c r="HD3" s="667"/>
      <c r="HE3" s="667"/>
      <c r="HF3" s="667"/>
      <c r="HG3" s="667"/>
      <c r="HH3" s="667"/>
      <c r="HI3" s="667"/>
      <c r="HJ3" s="667"/>
      <c r="HK3" s="667"/>
      <c r="HL3" s="667"/>
      <c r="HM3" s="667"/>
      <c r="HN3" s="667"/>
      <c r="HO3" s="667"/>
      <c r="HP3" s="667"/>
      <c r="HQ3" s="667"/>
      <c r="HR3" s="667"/>
      <c r="HS3" s="667"/>
      <c r="HT3" s="667"/>
      <c r="HU3" s="667"/>
      <c r="HV3" s="667"/>
    </row>
    <row r="4" spans="1:231" ht="14.1" customHeight="1">
      <c r="A4" s="671" t="s">
        <v>413</v>
      </c>
      <c r="B4" s="672" t="s">
        <v>1058</v>
      </c>
      <c r="C4" s="672" t="s">
        <v>1091</v>
      </c>
      <c r="D4" s="662"/>
      <c r="E4" s="673" t="s">
        <v>409</v>
      </c>
      <c r="F4" s="674"/>
      <c r="G4" s="674"/>
      <c r="H4" s="674"/>
      <c r="I4" s="674"/>
      <c r="J4" s="662"/>
      <c r="K4" s="1044" t="s">
        <v>3</v>
      </c>
      <c r="L4" s="1045">
        <v>2.0652650000000001</v>
      </c>
      <c r="M4" s="1045">
        <v>2.201533</v>
      </c>
      <c r="N4" s="1045">
        <v>2.2729539999999999</v>
      </c>
      <c r="O4" s="1045">
        <v>2.0283310000000001</v>
      </c>
      <c r="P4" s="1045">
        <v>2.1733069999999999</v>
      </c>
      <c r="Q4" s="1045">
        <v>2.562446</v>
      </c>
      <c r="R4" s="1045">
        <v>2.9462000000000002</v>
      </c>
      <c r="S4" s="1045">
        <v>2.8128769999999998</v>
      </c>
      <c r="T4" s="1045">
        <v>3.0492900000000001</v>
      </c>
      <c r="U4" s="1045">
        <v>3.0757620000000001</v>
      </c>
      <c r="V4" s="1045">
        <v>2.9041419999999998</v>
      </c>
      <c r="W4" s="1045">
        <v>3.082532</v>
      </c>
      <c r="X4" s="1045">
        <v>3.0123790000000001</v>
      </c>
      <c r="Y4" s="1045">
        <f>B13/1000000000</f>
        <v>3.1215030000000001</v>
      </c>
      <c r="Z4" s="1045">
        <f>C13/1000000000</f>
        <v>3.2197979999999999</v>
      </c>
      <c r="AA4" s="667"/>
      <c r="AB4" s="667"/>
      <c r="AC4" s="667"/>
      <c r="AD4" s="667"/>
      <c r="AE4" s="667"/>
      <c r="AF4" s="667"/>
      <c r="AG4" s="667"/>
      <c r="AH4" s="667"/>
      <c r="AI4" s="667"/>
      <c r="AJ4" s="667"/>
      <c r="AK4" s="667"/>
      <c r="AL4" s="667"/>
      <c r="AM4" s="667"/>
      <c r="AN4" s="667"/>
      <c r="AO4" s="667"/>
      <c r="AP4" s="667"/>
      <c r="AQ4" s="667"/>
      <c r="AR4" s="667"/>
      <c r="AS4" s="667"/>
      <c r="AT4" s="667"/>
      <c r="AU4" s="667"/>
      <c r="AV4" s="667"/>
      <c r="AW4" s="667"/>
      <c r="AX4" s="667"/>
      <c r="AY4" s="667"/>
      <c r="AZ4" s="667"/>
      <c r="BA4" s="667"/>
      <c r="BB4" s="667"/>
      <c r="BC4" s="667"/>
      <c r="BD4" s="667"/>
      <c r="BE4" s="667"/>
      <c r="BF4" s="667"/>
      <c r="BG4" s="667"/>
      <c r="BH4" s="667"/>
      <c r="BI4" s="667"/>
      <c r="BJ4" s="667"/>
      <c r="BK4" s="667"/>
      <c r="BL4" s="667"/>
      <c r="BM4" s="667"/>
      <c r="BN4" s="667"/>
      <c r="BO4" s="667"/>
      <c r="BP4" s="667"/>
      <c r="BQ4" s="667"/>
      <c r="BR4" s="667"/>
      <c r="BS4" s="667"/>
      <c r="BT4" s="667"/>
      <c r="BU4" s="667"/>
      <c r="BV4" s="667"/>
      <c r="BW4" s="667"/>
      <c r="BX4" s="667"/>
      <c r="BY4" s="667"/>
      <c r="BZ4" s="667"/>
      <c r="CA4" s="667"/>
      <c r="CB4" s="667"/>
      <c r="CC4" s="667"/>
      <c r="CD4" s="667"/>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7"/>
      <c r="ED4" s="667"/>
      <c r="EE4" s="667"/>
      <c r="EF4" s="667"/>
      <c r="EG4" s="667"/>
      <c r="EH4" s="667"/>
      <c r="EI4" s="667"/>
      <c r="EJ4" s="667"/>
      <c r="EK4" s="667"/>
      <c r="EL4" s="667"/>
      <c r="EM4" s="667"/>
      <c r="EN4" s="667"/>
      <c r="EO4" s="667"/>
      <c r="EP4" s="667"/>
      <c r="EQ4" s="667"/>
      <c r="ER4" s="667"/>
      <c r="ES4" s="667"/>
      <c r="ET4" s="667"/>
      <c r="EU4" s="667"/>
      <c r="EV4" s="667"/>
      <c r="EW4" s="667"/>
      <c r="EX4" s="667"/>
      <c r="EY4" s="667"/>
      <c r="EZ4" s="667"/>
      <c r="FA4" s="667"/>
      <c r="FB4" s="667"/>
      <c r="FC4" s="667"/>
      <c r="FD4" s="667"/>
      <c r="FE4" s="667"/>
      <c r="FF4" s="667"/>
      <c r="FG4" s="667"/>
      <c r="FH4" s="667"/>
      <c r="FI4" s="667"/>
      <c r="FJ4" s="667"/>
      <c r="FK4" s="667"/>
      <c r="FL4" s="667"/>
      <c r="FM4" s="667"/>
      <c r="FN4" s="667"/>
      <c r="FO4" s="667"/>
      <c r="FP4" s="667"/>
      <c r="FQ4" s="667"/>
      <c r="FR4" s="667"/>
      <c r="FS4" s="667"/>
      <c r="FT4" s="667"/>
      <c r="FU4" s="667"/>
      <c r="FV4" s="667"/>
      <c r="FW4" s="667"/>
      <c r="FX4" s="667"/>
      <c r="FY4" s="667"/>
      <c r="FZ4" s="667"/>
      <c r="GA4" s="667"/>
      <c r="GB4" s="667"/>
      <c r="GC4" s="667"/>
      <c r="GD4" s="667"/>
      <c r="GE4" s="667"/>
      <c r="GF4" s="667"/>
      <c r="GG4" s="667"/>
      <c r="GH4" s="667"/>
      <c r="GI4" s="667"/>
      <c r="GJ4" s="667"/>
      <c r="GK4" s="667"/>
      <c r="GL4" s="667"/>
      <c r="GM4" s="667"/>
      <c r="GN4" s="667"/>
      <c r="GO4" s="667"/>
      <c r="GP4" s="667"/>
      <c r="GQ4" s="667"/>
      <c r="GR4" s="667"/>
      <c r="GS4" s="667"/>
      <c r="GT4" s="667"/>
      <c r="GU4" s="667"/>
      <c r="GV4" s="667"/>
      <c r="GW4" s="667"/>
      <c r="GX4" s="667"/>
      <c r="GY4" s="667"/>
      <c r="GZ4" s="667"/>
      <c r="HA4" s="667"/>
      <c r="HB4" s="667"/>
      <c r="HC4" s="667"/>
      <c r="HD4" s="667"/>
      <c r="HE4" s="667"/>
      <c r="HF4" s="667"/>
      <c r="HG4" s="667"/>
      <c r="HH4" s="667"/>
      <c r="HI4" s="667"/>
      <c r="HJ4" s="667"/>
      <c r="HK4" s="667"/>
      <c r="HL4" s="667"/>
      <c r="HM4" s="667"/>
      <c r="HN4" s="667"/>
      <c r="HO4" s="667"/>
      <c r="HP4" s="667"/>
      <c r="HQ4" s="667"/>
      <c r="HR4" s="667"/>
      <c r="HS4" s="667"/>
      <c r="HT4" s="667"/>
      <c r="HU4" s="667"/>
      <c r="HV4" s="667"/>
    </row>
    <row r="5" spans="1:231" ht="14.1" customHeight="1">
      <c r="A5" s="671"/>
      <c r="B5" s="675"/>
      <c r="C5" s="675"/>
      <c r="D5" s="662"/>
      <c r="E5" s="673" t="s">
        <v>410</v>
      </c>
      <c r="F5" s="674"/>
      <c r="G5" s="674"/>
      <c r="H5" s="674"/>
      <c r="I5" s="674"/>
      <c r="J5" s="662"/>
      <c r="K5" s="665"/>
      <c r="L5" s="666"/>
      <c r="M5" s="666"/>
      <c r="N5" s="666"/>
      <c r="O5" s="666"/>
      <c r="P5" s="676"/>
      <c r="Q5" s="666"/>
      <c r="R5" s="666"/>
      <c r="S5" s="666"/>
      <c r="T5" s="666"/>
      <c r="U5" s="666"/>
      <c r="V5" s="666"/>
      <c r="W5" s="666"/>
      <c r="X5" s="667"/>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c r="BC5" s="667"/>
      <c r="BD5" s="667"/>
      <c r="BE5" s="667"/>
      <c r="BF5" s="667"/>
      <c r="BG5" s="667"/>
      <c r="BH5" s="667"/>
      <c r="BI5" s="667"/>
      <c r="BJ5" s="667"/>
      <c r="BK5" s="667"/>
      <c r="BL5" s="667"/>
      <c r="BM5" s="667"/>
      <c r="BN5" s="667"/>
      <c r="BO5" s="667"/>
      <c r="BP5" s="667"/>
      <c r="BQ5" s="667"/>
      <c r="BR5" s="667"/>
      <c r="BS5" s="667"/>
      <c r="BT5" s="667"/>
      <c r="BU5" s="667"/>
      <c r="BV5" s="667"/>
      <c r="BW5" s="667"/>
      <c r="BX5" s="667"/>
      <c r="BY5" s="667"/>
      <c r="BZ5" s="667"/>
      <c r="CA5" s="667"/>
      <c r="CB5" s="667"/>
      <c r="CC5" s="667"/>
      <c r="CD5" s="667"/>
      <c r="CE5" s="667"/>
      <c r="CF5" s="667"/>
      <c r="CG5" s="667"/>
      <c r="CH5" s="667"/>
      <c r="CI5" s="667"/>
      <c r="CJ5" s="667"/>
      <c r="CK5" s="667"/>
      <c r="CL5" s="667"/>
      <c r="CM5" s="667"/>
      <c r="CN5" s="667"/>
      <c r="CO5" s="667"/>
      <c r="CP5" s="667"/>
      <c r="CQ5" s="667"/>
      <c r="CR5" s="667"/>
      <c r="CS5" s="667"/>
      <c r="CT5" s="667"/>
      <c r="CU5" s="667"/>
      <c r="CV5" s="667"/>
      <c r="CW5" s="667"/>
      <c r="CX5" s="667"/>
      <c r="CY5" s="667"/>
      <c r="CZ5" s="667"/>
      <c r="DA5" s="667"/>
      <c r="DB5" s="667"/>
      <c r="DC5" s="667"/>
      <c r="DD5" s="667"/>
      <c r="DE5" s="667"/>
      <c r="DF5" s="667"/>
      <c r="DG5" s="667"/>
      <c r="DH5" s="667"/>
      <c r="DI5" s="667"/>
      <c r="DJ5" s="667"/>
      <c r="DK5" s="667"/>
      <c r="DL5" s="667"/>
      <c r="DM5" s="667"/>
      <c r="DN5" s="667"/>
      <c r="DO5" s="667"/>
      <c r="DP5" s="667"/>
      <c r="DQ5" s="667"/>
      <c r="DR5" s="667"/>
      <c r="DS5" s="667"/>
      <c r="DT5" s="667"/>
      <c r="DU5" s="667"/>
      <c r="DV5" s="667"/>
      <c r="DW5" s="667"/>
      <c r="DX5" s="667"/>
      <c r="DY5" s="667"/>
      <c r="DZ5" s="667"/>
      <c r="EA5" s="667"/>
      <c r="EB5" s="667"/>
      <c r="EC5" s="667"/>
      <c r="ED5" s="667"/>
      <c r="EE5" s="667"/>
      <c r="EF5" s="667"/>
      <c r="EG5" s="667"/>
      <c r="EH5" s="667"/>
      <c r="EI5" s="667"/>
      <c r="EJ5" s="667"/>
      <c r="EK5" s="667"/>
      <c r="EL5" s="667"/>
      <c r="EM5" s="667"/>
      <c r="EN5" s="667"/>
      <c r="EO5" s="667"/>
      <c r="EP5" s="667"/>
      <c r="EQ5" s="667"/>
      <c r="ER5" s="667"/>
      <c r="ES5" s="667"/>
      <c r="ET5" s="667"/>
      <c r="EU5" s="667"/>
      <c r="EV5" s="667"/>
      <c r="EW5" s="667"/>
      <c r="EX5" s="667"/>
      <c r="EY5" s="667"/>
      <c r="EZ5" s="667"/>
      <c r="FA5" s="667"/>
      <c r="FB5" s="667"/>
      <c r="FC5" s="667"/>
      <c r="FD5" s="667"/>
      <c r="FE5" s="667"/>
      <c r="FF5" s="667"/>
      <c r="FG5" s="667"/>
      <c r="FH5" s="667"/>
      <c r="FI5" s="667"/>
      <c r="FJ5" s="667"/>
      <c r="FK5" s="667"/>
      <c r="FL5" s="667"/>
      <c r="FM5" s="667"/>
      <c r="FN5" s="667"/>
      <c r="FO5" s="667"/>
      <c r="FP5" s="667"/>
      <c r="FQ5" s="667"/>
      <c r="FR5" s="667"/>
      <c r="FS5" s="667"/>
      <c r="FT5" s="667"/>
      <c r="FU5" s="667"/>
      <c r="FV5" s="667"/>
      <c r="FW5" s="667"/>
      <c r="FX5" s="667"/>
      <c r="FY5" s="667"/>
      <c r="FZ5" s="667"/>
      <c r="GA5" s="667"/>
      <c r="GB5" s="667"/>
      <c r="GC5" s="667"/>
      <c r="GD5" s="667"/>
      <c r="GE5" s="667"/>
      <c r="GF5" s="667"/>
      <c r="GG5" s="667"/>
      <c r="GH5" s="667"/>
      <c r="GI5" s="667"/>
      <c r="GJ5" s="667"/>
      <c r="GK5" s="667"/>
      <c r="GL5" s="667"/>
      <c r="GM5" s="667"/>
      <c r="GN5" s="667"/>
      <c r="GO5" s="667"/>
      <c r="GP5" s="667"/>
      <c r="GQ5" s="667"/>
      <c r="GR5" s="667"/>
      <c r="GS5" s="667"/>
      <c r="GT5" s="667"/>
      <c r="GU5" s="667"/>
      <c r="GV5" s="667"/>
      <c r="GW5" s="667"/>
      <c r="GX5" s="667"/>
      <c r="GY5" s="667"/>
      <c r="GZ5" s="667"/>
      <c r="HA5" s="667"/>
      <c r="HB5" s="667"/>
      <c r="HC5" s="667"/>
      <c r="HD5" s="667"/>
      <c r="HE5" s="667"/>
      <c r="HF5" s="667"/>
      <c r="HG5" s="667"/>
      <c r="HH5" s="667"/>
      <c r="HI5" s="667"/>
      <c r="HJ5" s="667"/>
      <c r="HK5" s="667"/>
      <c r="HL5" s="667"/>
      <c r="HM5" s="667"/>
      <c r="HN5" s="667"/>
      <c r="HO5" s="667"/>
      <c r="HP5" s="667"/>
      <c r="HQ5" s="667"/>
      <c r="HR5" s="667"/>
      <c r="HS5" s="667"/>
      <c r="HT5" s="667"/>
      <c r="HU5" s="667"/>
      <c r="HV5" s="667"/>
      <c r="HW5" s="667"/>
    </row>
    <row r="6" spans="1:231" ht="14.1" customHeight="1">
      <c r="A6" s="671" t="s">
        <v>414</v>
      </c>
      <c r="B6" s="677"/>
      <c r="C6" s="677"/>
      <c r="D6" s="662"/>
      <c r="E6" s="663"/>
      <c r="F6" s="662"/>
      <c r="G6" s="662"/>
      <c r="H6" s="662"/>
      <c r="I6" s="662"/>
      <c r="J6" s="662"/>
      <c r="K6" s="665"/>
      <c r="L6" s="666"/>
      <c r="M6" s="666"/>
      <c r="N6" s="666"/>
      <c r="O6" s="666"/>
      <c r="P6" s="666"/>
      <c r="Q6" s="666"/>
      <c r="R6" s="666"/>
      <c r="S6" s="666"/>
      <c r="T6" s="666"/>
      <c r="U6" s="666"/>
      <c r="V6" s="666"/>
      <c r="W6" s="666"/>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c r="BC6" s="667"/>
      <c r="BD6" s="667"/>
      <c r="BE6" s="667"/>
      <c r="BF6" s="667"/>
      <c r="BG6" s="667"/>
      <c r="BH6" s="667"/>
      <c r="BI6" s="667"/>
      <c r="BJ6" s="667"/>
      <c r="BK6" s="667"/>
      <c r="BL6" s="667"/>
      <c r="BM6" s="667"/>
      <c r="BN6" s="667"/>
      <c r="BO6" s="667"/>
      <c r="BP6" s="667"/>
      <c r="BQ6" s="667"/>
      <c r="BR6" s="667"/>
      <c r="BS6" s="667"/>
      <c r="BT6" s="667"/>
      <c r="BU6" s="667"/>
      <c r="BV6" s="667"/>
      <c r="BW6" s="667"/>
      <c r="BX6" s="667"/>
      <c r="BY6" s="667"/>
      <c r="BZ6" s="667"/>
      <c r="CA6" s="667"/>
      <c r="CB6" s="667"/>
      <c r="CC6" s="667"/>
      <c r="CD6" s="667"/>
      <c r="CE6" s="667"/>
      <c r="CF6" s="667"/>
      <c r="CG6" s="667"/>
      <c r="CH6" s="667"/>
      <c r="CI6" s="667"/>
      <c r="CJ6" s="667"/>
      <c r="CK6" s="667"/>
      <c r="CL6" s="667"/>
      <c r="CM6" s="667"/>
      <c r="CN6" s="667"/>
      <c r="CO6" s="667"/>
      <c r="CP6" s="667"/>
      <c r="CQ6" s="667"/>
      <c r="CR6" s="667"/>
      <c r="CS6" s="667"/>
      <c r="CT6" s="667"/>
      <c r="CU6" s="667"/>
      <c r="CV6" s="667"/>
      <c r="CW6" s="667"/>
      <c r="CX6" s="667"/>
      <c r="CY6" s="667"/>
      <c r="CZ6" s="667"/>
      <c r="DA6" s="667"/>
      <c r="DB6" s="667"/>
      <c r="DC6" s="667"/>
      <c r="DD6" s="667"/>
      <c r="DE6" s="667"/>
      <c r="DF6" s="667"/>
      <c r="DG6" s="667"/>
      <c r="DH6" s="667"/>
      <c r="DI6" s="667"/>
      <c r="DJ6" s="667"/>
      <c r="DK6" s="667"/>
      <c r="DL6" s="667"/>
      <c r="DM6" s="667"/>
      <c r="DN6" s="667"/>
      <c r="DO6" s="667"/>
      <c r="DP6" s="667"/>
      <c r="DQ6" s="667"/>
      <c r="DR6" s="667"/>
      <c r="DS6" s="667"/>
      <c r="DT6" s="667"/>
      <c r="DU6" s="667"/>
      <c r="DV6" s="667"/>
      <c r="DW6" s="667"/>
      <c r="DX6" s="667"/>
      <c r="DY6" s="667"/>
      <c r="DZ6" s="667"/>
      <c r="EA6" s="667"/>
      <c r="EB6" s="667"/>
      <c r="EC6" s="667"/>
      <c r="ED6" s="667"/>
      <c r="EE6" s="667"/>
      <c r="EF6" s="667"/>
      <c r="EG6" s="667"/>
      <c r="EH6" s="667"/>
      <c r="EI6" s="667"/>
      <c r="EJ6" s="667"/>
      <c r="EK6" s="667"/>
      <c r="EL6" s="667"/>
      <c r="EM6" s="667"/>
      <c r="EN6" s="667"/>
      <c r="EO6" s="667"/>
      <c r="EP6" s="667"/>
      <c r="EQ6" s="667"/>
      <c r="ER6" s="667"/>
      <c r="ES6" s="667"/>
      <c r="ET6" s="667"/>
      <c r="EU6" s="667"/>
      <c r="EV6" s="667"/>
      <c r="EW6" s="667"/>
      <c r="EX6" s="667"/>
      <c r="EY6" s="667"/>
      <c r="EZ6" s="667"/>
      <c r="FA6" s="667"/>
      <c r="FB6" s="667"/>
      <c r="FC6" s="667"/>
      <c r="FD6" s="667"/>
      <c r="FE6" s="667"/>
      <c r="FF6" s="667"/>
      <c r="FG6" s="667"/>
      <c r="FH6" s="667"/>
      <c r="FI6" s="667"/>
      <c r="FJ6" s="667"/>
      <c r="FK6" s="667"/>
      <c r="FL6" s="667"/>
      <c r="FM6" s="667"/>
      <c r="FN6" s="667"/>
      <c r="FO6" s="667"/>
      <c r="FP6" s="667"/>
      <c r="FQ6" s="667"/>
      <c r="FR6" s="667"/>
      <c r="FS6" s="667"/>
      <c r="FT6" s="667"/>
      <c r="FU6" s="667"/>
      <c r="FV6" s="667"/>
      <c r="FW6" s="667"/>
      <c r="FX6" s="667"/>
      <c r="FY6" s="667"/>
      <c r="FZ6" s="667"/>
      <c r="GA6" s="667"/>
      <c r="GB6" s="667"/>
      <c r="GC6" s="667"/>
      <c r="GD6" s="667"/>
      <c r="GE6" s="667"/>
      <c r="GF6" s="667"/>
      <c r="GG6" s="667"/>
      <c r="GH6" s="667"/>
      <c r="GI6" s="667"/>
      <c r="GJ6" s="667"/>
      <c r="GK6" s="667"/>
      <c r="GL6" s="667"/>
      <c r="GM6" s="667"/>
      <c r="GN6" s="667"/>
      <c r="GO6" s="667"/>
      <c r="GP6" s="667"/>
      <c r="GQ6" s="667"/>
      <c r="GR6" s="667"/>
      <c r="GS6" s="667"/>
      <c r="GT6" s="667"/>
      <c r="GU6" s="667"/>
      <c r="GV6" s="667"/>
      <c r="GW6" s="667"/>
      <c r="GX6" s="667"/>
      <c r="GY6" s="667"/>
      <c r="GZ6" s="667"/>
      <c r="HA6" s="667"/>
      <c r="HB6" s="667"/>
      <c r="HC6" s="667"/>
      <c r="HD6" s="667"/>
      <c r="HE6" s="667"/>
      <c r="HF6" s="667"/>
      <c r="HG6" s="667"/>
      <c r="HH6" s="667"/>
      <c r="HI6" s="667"/>
      <c r="HJ6" s="667"/>
      <c r="HK6" s="667"/>
      <c r="HL6" s="667"/>
      <c r="HM6" s="667"/>
      <c r="HN6" s="667"/>
      <c r="HO6" s="667"/>
      <c r="HP6" s="667"/>
      <c r="HQ6" s="667"/>
      <c r="HR6" s="667"/>
      <c r="HS6" s="667"/>
      <c r="HT6" s="667"/>
      <c r="HU6" s="667"/>
      <c r="HV6" s="667"/>
      <c r="HW6" s="667"/>
    </row>
    <row r="7" spans="1:231" ht="15.6" customHeight="1">
      <c r="A7" s="678" t="s">
        <v>415</v>
      </c>
      <c r="B7" s="679">
        <v>19570000</v>
      </c>
      <c r="C7" s="679">
        <f>ROUND(20201667,-3)</f>
        <v>20202000</v>
      </c>
      <c r="D7" s="662"/>
      <c r="E7" s="680">
        <f t="shared" ref="E7:E17" si="0">(C7/B7)-1</f>
        <v>3.2294328053142474E-2</v>
      </c>
      <c r="F7" s="681"/>
      <c r="G7" s="662"/>
      <c r="H7" s="662"/>
      <c r="I7" s="662"/>
      <c r="J7" s="662"/>
      <c r="K7" s="682"/>
      <c r="L7" s="666"/>
      <c r="M7" s="683"/>
      <c r="N7" s="666"/>
      <c r="O7" s="666"/>
      <c r="P7" s="666"/>
      <c r="Q7" s="669"/>
      <c r="R7" s="669"/>
      <c r="S7" s="669"/>
      <c r="T7" s="669"/>
      <c r="Z7" s="667"/>
      <c r="AA7" s="667"/>
      <c r="AB7" s="667"/>
      <c r="AC7" s="667"/>
      <c r="AD7" s="667"/>
      <c r="AE7" s="667"/>
      <c r="AF7" s="667"/>
      <c r="AG7" s="667"/>
      <c r="AH7" s="667"/>
      <c r="AI7" s="667"/>
      <c r="AJ7" s="667"/>
      <c r="AK7" s="667"/>
      <c r="AL7" s="667"/>
      <c r="AM7" s="667"/>
      <c r="AN7" s="667"/>
      <c r="AO7" s="667"/>
      <c r="AP7" s="667"/>
      <c r="AQ7" s="667"/>
      <c r="AR7" s="667"/>
      <c r="AS7" s="667"/>
      <c r="AT7" s="667"/>
      <c r="AU7" s="667"/>
      <c r="AV7" s="667"/>
      <c r="AW7" s="667"/>
      <c r="AX7" s="667"/>
      <c r="AY7" s="667"/>
      <c r="AZ7" s="667"/>
      <c r="BA7" s="667"/>
      <c r="BB7" s="667"/>
      <c r="BC7" s="667"/>
      <c r="BD7" s="667"/>
      <c r="BE7" s="667"/>
      <c r="BF7" s="667"/>
      <c r="BG7" s="667"/>
      <c r="BH7" s="667"/>
      <c r="BI7" s="667"/>
      <c r="BJ7" s="667"/>
      <c r="BK7" s="667"/>
      <c r="BL7" s="667"/>
      <c r="BM7" s="667"/>
      <c r="BN7" s="667"/>
      <c r="BO7" s="667"/>
      <c r="BP7" s="667"/>
      <c r="BQ7" s="667"/>
      <c r="BR7" s="667"/>
      <c r="BS7" s="667"/>
      <c r="BT7" s="667"/>
      <c r="BU7" s="667"/>
      <c r="BV7" s="667"/>
      <c r="BW7" s="667"/>
      <c r="BX7" s="667"/>
      <c r="BY7" s="667"/>
      <c r="BZ7" s="667"/>
      <c r="CA7" s="667"/>
      <c r="CB7" s="667"/>
      <c r="CC7" s="667"/>
      <c r="CD7" s="667"/>
      <c r="CE7" s="667"/>
      <c r="CF7" s="667"/>
      <c r="CG7" s="667"/>
      <c r="CH7" s="667"/>
      <c r="CI7" s="667"/>
      <c r="CJ7" s="667"/>
      <c r="CK7" s="667"/>
      <c r="CL7" s="667"/>
      <c r="CM7" s="667"/>
      <c r="CN7" s="667"/>
      <c r="CO7" s="667"/>
      <c r="CP7" s="667"/>
      <c r="CQ7" s="667"/>
      <c r="CR7" s="667"/>
      <c r="CS7" s="667"/>
      <c r="CT7" s="667"/>
      <c r="CU7" s="667"/>
      <c r="CV7" s="667"/>
      <c r="CW7" s="667"/>
      <c r="CX7" s="667"/>
      <c r="CY7" s="667"/>
      <c r="CZ7" s="667"/>
      <c r="DA7" s="667"/>
      <c r="DB7" s="667"/>
      <c r="DC7" s="667"/>
      <c r="DD7" s="667"/>
      <c r="DE7" s="667"/>
      <c r="DF7" s="667"/>
      <c r="DG7" s="667"/>
      <c r="DH7" s="667"/>
      <c r="DI7" s="667"/>
      <c r="DJ7" s="667"/>
      <c r="DK7" s="667"/>
      <c r="DL7" s="667"/>
      <c r="DM7" s="667"/>
      <c r="DN7" s="667"/>
      <c r="DO7" s="667"/>
      <c r="DP7" s="667"/>
      <c r="DQ7" s="667"/>
      <c r="DR7" s="667"/>
      <c r="DS7" s="667"/>
      <c r="DT7" s="667"/>
      <c r="DU7" s="667"/>
      <c r="DV7" s="667"/>
      <c r="DW7" s="667"/>
      <c r="DX7" s="667"/>
      <c r="DY7" s="667"/>
      <c r="DZ7" s="667"/>
      <c r="EA7" s="667"/>
      <c r="EB7" s="667"/>
      <c r="EC7" s="667"/>
      <c r="ED7" s="667"/>
      <c r="EE7" s="667"/>
      <c r="EF7" s="667"/>
      <c r="EG7" s="667"/>
      <c r="EH7" s="667"/>
      <c r="EI7" s="667"/>
      <c r="EJ7" s="667"/>
      <c r="EK7" s="667"/>
      <c r="EL7" s="667"/>
      <c r="EM7" s="667"/>
      <c r="EN7" s="667"/>
      <c r="EO7" s="667"/>
      <c r="EP7" s="667"/>
      <c r="EQ7" s="667"/>
      <c r="ER7" s="667"/>
      <c r="ES7" s="667"/>
      <c r="ET7" s="667"/>
      <c r="EU7" s="667"/>
      <c r="EV7" s="667"/>
      <c r="EW7" s="667"/>
      <c r="EX7" s="667"/>
      <c r="EY7" s="667"/>
      <c r="EZ7" s="667"/>
      <c r="FA7" s="667"/>
      <c r="FB7" s="667"/>
      <c r="FC7" s="667"/>
      <c r="FD7" s="667"/>
      <c r="FE7" s="667"/>
      <c r="FF7" s="667"/>
      <c r="FG7" s="667"/>
      <c r="FH7" s="667"/>
      <c r="FI7" s="667"/>
      <c r="FJ7" s="667"/>
      <c r="FK7" s="667"/>
      <c r="FL7" s="667"/>
      <c r="FM7" s="667"/>
      <c r="FN7" s="667"/>
      <c r="FO7" s="667"/>
      <c r="FP7" s="667"/>
      <c r="FQ7" s="667"/>
      <c r="FR7" s="667"/>
      <c r="FS7" s="667"/>
      <c r="FT7" s="667"/>
      <c r="FU7" s="667"/>
      <c r="FV7" s="667"/>
      <c r="FW7" s="667"/>
      <c r="FX7" s="667"/>
      <c r="FY7" s="667"/>
      <c r="FZ7" s="667"/>
      <c r="GA7" s="667"/>
      <c r="GB7" s="667"/>
      <c r="GC7" s="667"/>
      <c r="GD7" s="667"/>
      <c r="GE7" s="667"/>
      <c r="GF7" s="667"/>
      <c r="GG7" s="667"/>
      <c r="GH7" s="667"/>
      <c r="GI7" s="667"/>
      <c r="GJ7" s="667"/>
      <c r="GK7" s="667"/>
      <c r="GL7" s="667"/>
      <c r="GM7" s="667"/>
      <c r="GN7" s="667"/>
      <c r="GO7" s="667"/>
      <c r="GP7" s="667"/>
      <c r="GQ7" s="667"/>
      <c r="GR7" s="667"/>
      <c r="GS7" s="667"/>
      <c r="GT7" s="667"/>
      <c r="GU7" s="667"/>
      <c r="GV7" s="667"/>
      <c r="GW7" s="667"/>
      <c r="GX7" s="667"/>
      <c r="GY7" s="667"/>
      <c r="GZ7" s="667"/>
      <c r="HA7" s="667"/>
      <c r="HB7" s="667"/>
      <c r="HC7" s="667"/>
      <c r="HD7" s="667"/>
      <c r="HE7" s="667"/>
      <c r="HF7" s="667"/>
      <c r="HG7" s="667"/>
      <c r="HH7" s="667"/>
      <c r="HI7" s="667"/>
      <c r="HJ7" s="667"/>
      <c r="HK7" s="667"/>
      <c r="HL7" s="667"/>
      <c r="HM7" s="667"/>
      <c r="HN7" s="667"/>
      <c r="HO7" s="667"/>
      <c r="HP7" s="667"/>
      <c r="HQ7" s="667"/>
      <c r="HR7" s="667"/>
      <c r="HS7" s="667"/>
      <c r="HT7" s="667"/>
      <c r="HU7" s="667"/>
      <c r="HV7" s="667"/>
      <c r="HW7" s="667"/>
    </row>
    <row r="8" spans="1:231" ht="15.6" customHeight="1">
      <c r="A8" s="678" t="s">
        <v>7</v>
      </c>
      <c r="B8" s="661">
        <v>859923000</v>
      </c>
      <c r="C8" s="661">
        <f>ROUND(1373567698.7-576839544.3,-3)</f>
        <v>796728000</v>
      </c>
      <c r="D8" s="662"/>
      <c r="E8" s="680">
        <f t="shared" si="0"/>
        <v>-7.3489137980958796E-2</v>
      </c>
      <c r="F8" s="681"/>
      <c r="G8" s="662"/>
      <c r="H8" s="662"/>
      <c r="I8" s="662"/>
      <c r="J8" s="662"/>
      <c r="K8" s="682"/>
      <c r="L8" s="666"/>
      <c r="M8" s="683"/>
      <c r="N8" s="666"/>
      <c r="O8" s="666"/>
      <c r="P8" s="666"/>
      <c r="Q8" s="676"/>
      <c r="R8" s="676"/>
      <c r="S8" s="676"/>
      <c r="T8" s="676"/>
      <c r="Z8" s="667"/>
      <c r="AA8" s="667"/>
      <c r="AB8" s="667"/>
      <c r="AC8" s="667"/>
      <c r="AD8" s="667"/>
      <c r="AE8" s="667"/>
      <c r="AF8" s="667"/>
      <c r="AG8" s="667"/>
      <c r="AH8" s="667"/>
      <c r="AI8" s="667"/>
      <c r="AJ8" s="667"/>
      <c r="AK8" s="667"/>
      <c r="AL8" s="667"/>
      <c r="AM8" s="667"/>
      <c r="AN8" s="667"/>
      <c r="AO8" s="667"/>
      <c r="AP8" s="667"/>
      <c r="AQ8" s="667"/>
      <c r="AR8" s="667"/>
      <c r="AS8" s="667"/>
      <c r="AT8" s="667"/>
      <c r="AU8" s="667"/>
      <c r="AV8" s="667"/>
      <c r="AW8" s="667"/>
      <c r="AX8" s="667"/>
      <c r="AY8" s="667"/>
      <c r="AZ8" s="667"/>
      <c r="BA8" s="667"/>
      <c r="BB8" s="667"/>
      <c r="BC8" s="667"/>
      <c r="BD8" s="667"/>
      <c r="BE8" s="667"/>
      <c r="BF8" s="667"/>
      <c r="BG8" s="667"/>
      <c r="BH8" s="667"/>
      <c r="BI8" s="667"/>
      <c r="BJ8" s="667"/>
      <c r="BK8" s="667"/>
      <c r="BL8" s="667"/>
      <c r="BM8" s="667"/>
      <c r="BN8" s="667"/>
      <c r="BO8" s="667"/>
      <c r="BP8" s="667"/>
      <c r="BQ8" s="667"/>
      <c r="BR8" s="667"/>
      <c r="BS8" s="667"/>
      <c r="BT8" s="667"/>
      <c r="BU8" s="667"/>
      <c r="BV8" s="667"/>
      <c r="BW8" s="667"/>
      <c r="BX8" s="667"/>
      <c r="BY8" s="667"/>
      <c r="BZ8" s="667"/>
      <c r="CA8" s="667"/>
      <c r="CB8" s="667"/>
      <c r="CC8" s="667"/>
      <c r="CD8" s="667"/>
      <c r="CE8" s="667"/>
      <c r="CF8" s="667"/>
      <c r="CG8" s="667"/>
      <c r="CH8" s="667"/>
      <c r="CI8" s="667"/>
      <c r="CJ8" s="667"/>
      <c r="CK8" s="667"/>
      <c r="CL8" s="667"/>
      <c r="CM8" s="667"/>
      <c r="CN8" s="667"/>
      <c r="CO8" s="667"/>
      <c r="CP8" s="667"/>
      <c r="CQ8" s="667"/>
      <c r="CR8" s="667"/>
      <c r="CS8" s="667"/>
      <c r="CT8" s="667"/>
      <c r="CU8" s="667"/>
      <c r="CV8" s="667"/>
      <c r="CW8" s="667"/>
      <c r="CX8" s="667"/>
      <c r="CY8" s="667"/>
      <c r="CZ8" s="667"/>
      <c r="DA8" s="667"/>
      <c r="DB8" s="667"/>
      <c r="DC8" s="667"/>
      <c r="DD8" s="667"/>
      <c r="DE8" s="667"/>
      <c r="DF8" s="667"/>
      <c r="DG8" s="667"/>
      <c r="DH8" s="667"/>
      <c r="DI8" s="667"/>
      <c r="DJ8" s="667"/>
      <c r="DK8" s="667"/>
      <c r="DL8" s="667"/>
      <c r="DM8" s="667"/>
      <c r="DN8" s="667"/>
      <c r="DO8" s="667"/>
      <c r="DP8" s="667"/>
      <c r="DQ8" s="667"/>
      <c r="DR8" s="667"/>
      <c r="DS8" s="667"/>
      <c r="DT8" s="667"/>
      <c r="DU8" s="667"/>
      <c r="DV8" s="667"/>
      <c r="DW8" s="667"/>
      <c r="DX8" s="667"/>
      <c r="DY8" s="667"/>
      <c r="DZ8" s="667"/>
      <c r="EA8" s="667"/>
      <c r="EB8" s="667"/>
      <c r="EC8" s="667"/>
      <c r="ED8" s="667"/>
      <c r="EE8" s="667"/>
      <c r="EF8" s="667"/>
      <c r="EG8" s="667"/>
      <c r="EH8" s="667"/>
      <c r="EI8" s="667"/>
      <c r="EJ8" s="667"/>
      <c r="EK8" s="667"/>
      <c r="EL8" s="667"/>
      <c r="EM8" s="667"/>
      <c r="EN8" s="667"/>
      <c r="EO8" s="667"/>
      <c r="EP8" s="667"/>
      <c r="EQ8" s="667"/>
      <c r="ER8" s="667"/>
      <c r="ES8" s="667"/>
      <c r="ET8" s="667"/>
      <c r="EU8" s="667"/>
      <c r="EV8" s="667"/>
      <c r="EW8" s="667"/>
      <c r="EX8" s="667"/>
      <c r="EY8" s="667"/>
      <c r="EZ8" s="667"/>
      <c r="FA8" s="667"/>
      <c r="FB8" s="667"/>
      <c r="FC8" s="667"/>
      <c r="FD8" s="667"/>
      <c r="FE8" s="667"/>
      <c r="FF8" s="667"/>
      <c r="FG8" s="667"/>
      <c r="FH8" s="667"/>
      <c r="FI8" s="667"/>
      <c r="FJ8" s="667"/>
      <c r="FK8" s="667"/>
      <c r="FL8" s="667"/>
      <c r="FM8" s="667"/>
      <c r="FN8" s="667"/>
      <c r="FO8" s="667"/>
      <c r="FP8" s="667"/>
      <c r="FQ8" s="667"/>
      <c r="FR8" s="667"/>
      <c r="FS8" s="667"/>
      <c r="FT8" s="667"/>
      <c r="FU8" s="667"/>
      <c r="FV8" s="667"/>
      <c r="FW8" s="667"/>
      <c r="FX8" s="667"/>
      <c r="FY8" s="667"/>
      <c r="FZ8" s="667"/>
      <c r="GA8" s="667"/>
      <c r="GB8" s="667"/>
      <c r="GC8" s="667"/>
      <c r="GD8" s="667"/>
      <c r="GE8" s="667"/>
      <c r="GF8" s="667"/>
      <c r="GG8" s="667"/>
      <c r="GH8" s="667"/>
      <c r="GI8" s="667"/>
      <c r="GJ8" s="667"/>
      <c r="GK8" s="667"/>
      <c r="GL8" s="667"/>
      <c r="GM8" s="667"/>
      <c r="GN8" s="667"/>
      <c r="GO8" s="667"/>
      <c r="GP8" s="667"/>
      <c r="GQ8" s="667"/>
      <c r="GR8" s="667"/>
      <c r="GS8" s="667"/>
      <c r="GT8" s="667"/>
      <c r="GU8" s="667"/>
      <c r="GV8" s="667"/>
      <c r="GW8" s="667"/>
      <c r="GX8" s="667"/>
      <c r="GY8" s="667"/>
      <c r="GZ8" s="667"/>
      <c r="HA8" s="667"/>
      <c r="HB8" s="667"/>
      <c r="HC8" s="667"/>
      <c r="HD8" s="667"/>
      <c r="HE8" s="667"/>
      <c r="HF8" s="667"/>
      <c r="HG8" s="667"/>
      <c r="HH8" s="667"/>
      <c r="HI8" s="667"/>
      <c r="HJ8" s="667"/>
      <c r="HK8" s="667"/>
      <c r="HL8" s="667"/>
      <c r="HM8" s="667"/>
      <c r="HN8" s="667"/>
      <c r="HO8" s="667"/>
      <c r="HP8" s="667"/>
      <c r="HQ8" s="667"/>
      <c r="HR8" s="667"/>
      <c r="HS8" s="667"/>
      <c r="HT8" s="667"/>
      <c r="HU8" s="667"/>
      <c r="HV8" s="667"/>
      <c r="HW8" s="667"/>
    </row>
    <row r="9" spans="1:231" ht="15.6" customHeight="1">
      <c r="A9" s="678" t="s">
        <v>8</v>
      </c>
      <c r="B9" s="661">
        <v>10612836000</v>
      </c>
      <c r="C9" s="908">
        <f>ROUND(178508201.98+3161372.41+34172758.06+-8+20948.97+137574632.74+84365748.14+-598358937.27+1174999572.7+10061345024.03+165812507.05+98363491.14,-3)</f>
        <v>11339965000</v>
      </c>
      <c r="D9" s="662"/>
      <c r="E9" s="680">
        <f t="shared" si="0"/>
        <v>6.8514108764141879E-2</v>
      </c>
      <c r="F9" s="681"/>
      <c r="G9" s="662"/>
      <c r="H9" s="662"/>
      <c r="I9" s="662"/>
      <c r="J9" s="662"/>
      <c r="K9" s="682"/>
      <c r="L9" s="666"/>
      <c r="M9" s="683"/>
      <c r="N9" s="666"/>
      <c r="O9" s="666"/>
      <c r="P9" s="666"/>
      <c r="Q9" s="676"/>
      <c r="R9" s="676"/>
      <c r="S9" s="676"/>
      <c r="T9" s="676"/>
      <c r="Z9" s="667"/>
      <c r="AA9" s="667"/>
      <c r="AB9" s="667"/>
      <c r="AC9" s="667"/>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c r="BC9" s="667"/>
      <c r="BD9" s="667"/>
      <c r="BE9" s="667"/>
      <c r="BF9" s="667"/>
      <c r="BG9" s="667"/>
      <c r="BH9" s="667"/>
      <c r="BI9" s="667"/>
      <c r="BJ9" s="667"/>
      <c r="BK9" s="667"/>
      <c r="BL9" s="667"/>
      <c r="BM9" s="667"/>
      <c r="BN9" s="667"/>
      <c r="BO9" s="667"/>
      <c r="BP9" s="667"/>
      <c r="BQ9" s="667"/>
      <c r="BR9" s="667"/>
      <c r="BS9" s="667"/>
      <c r="BT9" s="667"/>
      <c r="BU9" s="667"/>
      <c r="BV9" s="667"/>
      <c r="BW9" s="667"/>
      <c r="BX9" s="667"/>
      <c r="BY9" s="667"/>
      <c r="BZ9" s="667"/>
      <c r="CA9" s="667"/>
      <c r="CB9" s="667"/>
      <c r="CC9" s="667"/>
      <c r="CD9" s="667"/>
      <c r="CE9" s="667"/>
      <c r="CF9" s="667"/>
      <c r="CG9" s="667"/>
      <c r="CH9" s="667"/>
      <c r="CI9" s="667"/>
      <c r="CJ9" s="667"/>
      <c r="CK9" s="667"/>
      <c r="CL9" s="667"/>
      <c r="CM9" s="667"/>
      <c r="CN9" s="667"/>
      <c r="CO9" s="667"/>
      <c r="CP9" s="667"/>
      <c r="CQ9" s="667"/>
      <c r="CR9" s="667"/>
      <c r="CS9" s="667"/>
      <c r="CT9" s="667"/>
      <c r="CU9" s="667"/>
      <c r="CV9" s="667"/>
      <c r="CW9" s="667"/>
      <c r="CX9" s="667"/>
      <c r="CY9" s="667"/>
      <c r="CZ9" s="667"/>
      <c r="DA9" s="667"/>
      <c r="DB9" s="667"/>
      <c r="DC9" s="667"/>
      <c r="DD9" s="667"/>
      <c r="DE9" s="667"/>
      <c r="DF9" s="667"/>
      <c r="DG9" s="667"/>
      <c r="DH9" s="667"/>
      <c r="DI9" s="667"/>
      <c r="DJ9" s="667"/>
      <c r="DK9" s="667"/>
      <c r="DL9" s="667"/>
      <c r="DM9" s="667"/>
      <c r="DN9" s="667"/>
      <c r="DO9" s="667"/>
      <c r="DP9" s="667"/>
      <c r="DQ9" s="667"/>
      <c r="DR9" s="667"/>
      <c r="DS9" s="667"/>
      <c r="DT9" s="667"/>
      <c r="DU9" s="667"/>
      <c r="DV9" s="667"/>
      <c r="DW9" s="667"/>
      <c r="DX9" s="667"/>
      <c r="DY9" s="667"/>
      <c r="DZ9" s="667"/>
      <c r="EA9" s="667"/>
      <c r="EB9" s="667"/>
      <c r="EC9" s="667"/>
      <c r="ED9" s="667"/>
      <c r="EE9" s="667"/>
      <c r="EF9" s="667"/>
      <c r="EG9" s="667"/>
      <c r="EH9" s="667"/>
      <c r="EI9" s="667"/>
      <c r="EJ9" s="667"/>
      <c r="EK9" s="667"/>
      <c r="EL9" s="667"/>
      <c r="EM9" s="667"/>
      <c r="EN9" s="667"/>
      <c r="EO9" s="667"/>
      <c r="EP9" s="667"/>
      <c r="EQ9" s="667"/>
      <c r="ER9" s="667"/>
      <c r="ES9" s="667"/>
      <c r="ET9" s="667"/>
      <c r="EU9" s="667"/>
      <c r="EV9" s="667"/>
      <c r="EW9" s="667"/>
      <c r="EX9" s="667"/>
      <c r="EY9" s="667"/>
      <c r="EZ9" s="667"/>
      <c r="FA9" s="667"/>
      <c r="FB9" s="667"/>
      <c r="FC9" s="667"/>
      <c r="FD9" s="667"/>
      <c r="FE9" s="667"/>
      <c r="FF9" s="667"/>
      <c r="FG9" s="667"/>
      <c r="FH9" s="667"/>
      <c r="FI9" s="667"/>
      <c r="FJ9" s="667"/>
      <c r="FK9" s="667"/>
      <c r="FL9" s="667"/>
      <c r="FM9" s="667"/>
      <c r="FN9" s="667"/>
      <c r="FO9" s="667"/>
      <c r="FP9" s="667"/>
      <c r="FQ9" s="667"/>
      <c r="FR9" s="667"/>
      <c r="FS9" s="667"/>
      <c r="FT9" s="667"/>
      <c r="FU9" s="667"/>
      <c r="FV9" s="667"/>
      <c r="FW9" s="667"/>
      <c r="FX9" s="667"/>
      <c r="FY9" s="667"/>
      <c r="FZ9" s="667"/>
      <c r="GA9" s="667"/>
      <c r="GB9" s="667"/>
      <c r="GC9" s="667"/>
      <c r="GD9" s="667"/>
      <c r="GE9" s="667"/>
      <c r="GF9" s="667"/>
      <c r="GG9" s="667"/>
      <c r="GH9" s="667"/>
      <c r="GI9" s="667"/>
      <c r="GJ9" s="667"/>
      <c r="GK9" s="667"/>
      <c r="GL9" s="667"/>
      <c r="GM9" s="667"/>
      <c r="GN9" s="667"/>
      <c r="GO9" s="667"/>
      <c r="GP9" s="667"/>
      <c r="GQ9" s="667"/>
      <c r="GR9" s="667"/>
      <c r="GS9" s="667"/>
      <c r="GT9" s="667"/>
      <c r="GU9" s="667"/>
      <c r="GV9" s="667"/>
      <c r="GW9" s="667"/>
      <c r="GX9" s="667"/>
      <c r="GY9" s="667"/>
      <c r="GZ9" s="667"/>
      <c r="HA9" s="667"/>
      <c r="HB9" s="667"/>
      <c r="HC9" s="667"/>
      <c r="HD9" s="667"/>
      <c r="HE9" s="667"/>
      <c r="HF9" s="667"/>
      <c r="HG9" s="667"/>
      <c r="HH9" s="667"/>
      <c r="HI9" s="667"/>
      <c r="HJ9" s="667"/>
      <c r="HK9" s="667"/>
      <c r="HL9" s="667"/>
      <c r="HM9" s="667"/>
      <c r="HN9" s="667"/>
      <c r="HO9" s="667"/>
      <c r="HP9" s="667"/>
      <c r="HQ9" s="667"/>
      <c r="HR9" s="667"/>
      <c r="HS9" s="667"/>
      <c r="HT9" s="667"/>
      <c r="HU9" s="667"/>
      <c r="HV9" s="667"/>
      <c r="HW9" s="667"/>
    </row>
    <row r="10" spans="1:231" ht="15.6" customHeight="1">
      <c r="A10" s="678" t="s">
        <v>416</v>
      </c>
      <c r="B10" s="661">
        <v>298000</v>
      </c>
      <c r="C10" s="973">
        <f>ROUND(49498+-317566.72,-3)</f>
        <v>-268000</v>
      </c>
      <c r="D10" s="974"/>
      <c r="E10" s="975">
        <f t="shared" si="0"/>
        <v>-1.8993288590604027</v>
      </c>
      <c r="F10" s="952"/>
      <c r="G10" s="662"/>
      <c r="H10" s="662"/>
      <c r="I10" s="662"/>
      <c r="J10" s="662"/>
      <c r="K10" s="682"/>
      <c r="L10" s="666"/>
      <c r="M10" s="683"/>
      <c r="N10" s="666"/>
      <c r="O10" s="666"/>
      <c r="P10" s="666"/>
      <c r="T10" s="676"/>
      <c r="U10" s="666"/>
      <c r="V10" s="666"/>
      <c r="W10" s="666"/>
      <c r="X10" s="667"/>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c r="BC10" s="667"/>
      <c r="BD10" s="667"/>
      <c r="BE10" s="667"/>
      <c r="BF10" s="667"/>
      <c r="BG10" s="667"/>
      <c r="BH10" s="667"/>
      <c r="BI10" s="667"/>
      <c r="BJ10" s="667"/>
      <c r="BK10" s="667"/>
      <c r="BL10" s="667"/>
      <c r="BM10" s="667"/>
      <c r="BN10" s="667"/>
      <c r="BO10" s="667"/>
      <c r="BP10" s="667"/>
      <c r="BQ10" s="667"/>
      <c r="BR10" s="667"/>
      <c r="BS10" s="667"/>
      <c r="BT10" s="667"/>
      <c r="BU10" s="667"/>
      <c r="BV10" s="667"/>
      <c r="BW10" s="667"/>
      <c r="BX10" s="667"/>
      <c r="BY10" s="667"/>
      <c r="BZ10" s="667"/>
      <c r="CA10" s="667"/>
      <c r="CB10" s="667"/>
      <c r="CC10" s="667"/>
      <c r="CD10" s="667"/>
      <c r="CE10" s="667"/>
      <c r="CF10" s="667"/>
      <c r="CG10" s="667"/>
      <c r="CH10" s="667"/>
      <c r="CI10" s="667"/>
      <c r="CJ10" s="667"/>
      <c r="CK10" s="667"/>
      <c r="CL10" s="667"/>
      <c r="CM10" s="667"/>
      <c r="CN10" s="667"/>
      <c r="CO10" s="667"/>
      <c r="CP10" s="667"/>
      <c r="CQ10" s="667"/>
      <c r="CR10" s="667"/>
      <c r="CS10" s="667"/>
      <c r="CT10" s="667"/>
      <c r="CU10" s="667"/>
      <c r="CV10" s="667"/>
      <c r="CW10" s="667"/>
      <c r="CX10" s="667"/>
      <c r="CY10" s="667"/>
      <c r="CZ10" s="667"/>
      <c r="DA10" s="667"/>
      <c r="DB10" s="667"/>
      <c r="DC10" s="667"/>
      <c r="DD10" s="667"/>
      <c r="DE10" s="667"/>
      <c r="DF10" s="667"/>
      <c r="DG10" s="667"/>
      <c r="DH10" s="667"/>
      <c r="DI10" s="667"/>
      <c r="DJ10" s="667"/>
      <c r="DK10" s="667"/>
      <c r="DL10" s="667"/>
      <c r="DM10" s="667"/>
      <c r="DN10" s="667"/>
      <c r="DO10" s="667"/>
      <c r="DP10" s="667"/>
      <c r="DQ10" s="667"/>
      <c r="DR10" s="667"/>
      <c r="DS10" s="667"/>
      <c r="DT10" s="667"/>
      <c r="DU10" s="667"/>
      <c r="DV10" s="667"/>
      <c r="DW10" s="667"/>
      <c r="DX10" s="667"/>
      <c r="DY10" s="667"/>
      <c r="DZ10" s="667"/>
      <c r="EA10" s="667"/>
      <c r="EB10" s="667"/>
      <c r="EC10" s="667"/>
      <c r="ED10" s="667"/>
      <c r="EE10" s="667"/>
      <c r="EF10" s="667"/>
      <c r="EG10" s="667"/>
      <c r="EH10" s="667"/>
      <c r="EI10" s="667"/>
      <c r="EJ10" s="667"/>
      <c r="EK10" s="667"/>
      <c r="EL10" s="667"/>
      <c r="EM10" s="667"/>
      <c r="EN10" s="667"/>
      <c r="EO10" s="667"/>
      <c r="EP10" s="667"/>
      <c r="EQ10" s="667"/>
      <c r="ER10" s="667"/>
      <c r="ES10" s="667"/>
      <c r="ET10" s="667"/>
      <c r="EU10" s="667"/>
      <c r="EV10" s="667"/>
      <c r="EW10" s="667"/>
      <c r="EX10" s="667"/>
      <c r="EY10" s="667"/>
      <c r="EZ10" s="667"/>
      <c r="FA10" s="667"/>
      <c r="FB10" s="667"/>
      <c r="FC10" s="667"/>
      <c r="FD10" s="667"/>
      <c r="FE10" s="667"/>
      <c r="FF10" s="667"/>
      <c r="FG10" s="667"/>
      <c r="FH10" s="667"/>
      <c r="FI10" s="667"/>
      <c r="FJ10" s="667"/>
      <c r="FK10" s="667"/>
      <c r="FL10" s="667"/>
      <c r="FM10" s="667"/>
      <c r="FN10" s="667"/>
      <c r="FO10" s="667"/>
      <c r="FP10" s="667"/>
      <c r="FQ10" s="667"/>
      <c r="FR10" s="667"/>
      <c r="FS10" s="667"/>
      <c r="FT10" s="667"/>
      <c r="FU10" s="667"/>
      <c r="FV10" s="667"/>
      <c r="FW10" s="667"/>
      <c r="FX10" s="667"/>
      <c r="FY10" s="667"/>
      <c r="FZ10" s="667"/>
      <c r="GA10" s="667"/>
      <c r="GB10" s="667"/>
      <c r="GC10" s="667"/>
      <c r="GD10" s="667"/>
      <c r="GE10" s="667"/>
      <c r="GF10" s="667"/>
      <c r="GG10" s="667"/>
      <c r="GH10" s="667"/>
      <c r="GI10" s="667"/>
      <c r="GJ10" s="667"/>
      <c r="GK10" s="667"/>
      <c r="GL10" s="667"/>
      <c r="GM10" s="667"/>
      <c r="GN10" s="667"/>
      <c r="GO10" s="667"/>
      <c r="GP10" s="667"/>
      <c r="GQ10" s="667"/>
      <c r="GR10" s="667"/>
      <c r="GS10" s="667"/>
      <c r="GT10" s="667"/>
      <c r="GU10" s="667"/>
      <c r="GV10" s="667"/>
      <c r="GW10" s="667"/>
      <c r="GX10" s="667"/>
      <c r="GY10" s="667"/>
      <c r="GZ10" s="667"/>
      <c r="HA10" s="667"/>
      <c r="HB10" s="667"/>
      <c r="HC10" s="667"/>
      <c r="HD10" s="667"/>
      <c r="HE10" s="667"/>
      <c r="HF10" s="667"/>
      <c r="HG10" s="667"/>
      <c r="HH10" s="667"/>
      <c r="HI10" s="667"/>
      <c r="HJ10" s="667"/>
      <c r="HK10" s="667"/>
      <c r="HL10" s="667"/>
      <c r="HM10" s="667"/>
      <c r="HN10" s="667"/>
      <c r="HO10" s="667"/>
      <c r="HP10" s="667"/>
      <c r="HQ10" s="667"/>
      <c r="HR10" s="667"/>
      <c r="HS10" s="667"/>
      <c r="HT10" s="667"/>
      <c r="HU10" s="667"/>
      <c r="HV10" s="667"/>
      <c r="HW10" s="667"/>
    </row>
    <row r="11" spans="1:231" ht="15.6" customHeight="1">
      <c r="A11" s="678" t="s">
        <v>417</v>
      </c>
      <c r="B11" s="661">
        <v>307149000</v>
      </c>
      <c r="C11" s="661">
        <f>ROUND(26500659.22+333608136.81,-3)</f>
        <v>360109000</v>
      </c>
      <c r="D11" s="662"/>
      <c r="E11" s="680">
        <f t="shared" si="0"/>
        <v>0.17242445848757448</v>
      </c>
      <c r="F11" s="681"/>
      <c r="G11" s="662"/>
      <c r="H11" s="662"/>
      <c r="I11" s="662"/>
      <c r="J11" s="662"/>
      <c r="K11" s="682"/>
      <c r="L11" s="666"/>
      <c r="M11" s="683"/>
      <c r="N11" s="666"/>
      <c r="O11" s="666"/>
      <c r="P11" s="666"/>
      <c r="Q11" s="666"/>
      <c r="R11" s="666"/>
      <c r="S11" s="666"/>
      <c r="T11" s="666"/>
      <c r="U11" s="666"/>
      <c r="V11" s="666"/>
      <c r="W11" s="666"/>
      <c r="X11" s="667"/>
      <c r="Y11" s="667"/>
      <c r="Z11" s="667"/>
      <c r="AA11" s="667"/>
      <c r="AB11" s="667"/>
      <c r="AC11" s="667"/>
      <c r="AD11" s="667"/>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667"/>
      <c r="BG11" s="667"/>
      <c r="BH11" s="667"/>
      <c r="BI11" s="667"/>
      <c r="BJ11" s="667"/>
      <c r="BK11" s="667"/>
      <c r="BL11" s="667"/>
      <c r="BM11" s="667"/>
      <c r="BN11" s="667"/>
      <c r="BO11" s="667"/>
      <c r="BP11" s="667"/>
      <c r="BQ11" s="667"/>
      <c r="BR11" s="667"/>
      <c r="BS11" s="667"/>
      <c r="BT11" s="667"/>
      <c r="BU11" s="667"/>
      <c r="BV11" s="667"/>
      <c r="BW11" s="667"/>
      <c r="BX11" s="667"/>
      <c r="BY11" s="667"/>
      <c r="BZ11" s="667"/>
      <c r="CA11" s="667"/>
      <c r="CB11" s="667"/>
      <c r="CC11" s="667"/>
      <c r="CD11" s="667"/>
      <c r="CE11" s="667"/>
      <c r="CF11" s="667"/>
      <c r="CG11" s="667"/>
      <c r="CH11" s="667"/>
      <c r="CI11" s="667"/>
      <c r="CJ11" s="667"/>
      <c r="CK11" s="667"/>
      <c r="CL11" s="667"/>
      <c r="CM11" s="667"/>
      <c r="CN11" s="667"/>
      <c r="CO11" s="667"/>
      <c r="CP11" s="667"/>
      <c r="CQ11" s="667"/>
      <c r="CR11" s="667"/>
      <c r="CS11" s="667"/>
      <c r="CT11" s="667"/>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7"/>
      <c r="DQ11" s="667"/>
      <c r="DR11" s="667"/>
      <c r="DS11" s="667"/>
      <c r="DT11" s="667"/>
      <c r="DU11" s="667"/>
      <c r="DV11" s="667"/>
      <c r="DW11" s="667"/>
      <c r="DX11" s="667"/>
      <c r="DY11" s="667"/>
      <c r="DZ11" s="667"/>
      <c r="EA11" s="667"/>
      <c r="EB11" s="667"/>
      <c r="EC11" s="667"/>
      <c r="ED11" s="667"/>
      <c r="EE11" s="667"/>
      <c r="EF11" s="667"/>
      <c r="EG11" s="667"/>
      <c r="EH11" s="667"/>
      <c r="EI11" s="667"/>
      <c r="EJ11" s="667"/>
      <c r="EK11" s="667"/>
      <c r="EL11" s="667"/>
      <c r="EM11" s="667"/>
      <c r="EN11" s="667"/>
      <c r="EO11" s="667"/>
      <c r="EP11" s="667"/>
      <c r="EQ11" s="667"/>
      <c r="ER11" s="667"/>
      <c r="ES11" s="667"/>
      <c r="ET11" s="667"/>
      <c r="EU11" s="667"/>
      <c r="EV11" s="667"/>
      <c r="EW11" s="667"/>
      <c r="EX11" s="667"/>
      <c r="EY11" s="667"/>
      <c r="EZ11" s="667"/>
      <c r="FA11" s="667"/>
      <c r="FB11" s="667"/>
      <c r="FC11" s="667"/>
      <c r="FD11" s="667"/>
      <c r="FE11" s="667"/>
      <c r="FF11" s="667"/>
      <c r="FG11" s="667"/>
      <c r="FH11" s="667"/>
      <c r="FI11" s="667"/>
      <c r="FJ11" s="667"/>
      <c r="FK11" s="667"/>
      <c r="FL11" s="667"/>
      <c r="FM11" s="667"/>
      <c r="FN11" s="667"/>
      <c r="FO11" s="667"/>
      <c r="FP11" s="667"/>
      <c r="FQ11" s="667"/>
      <c r="FR11" s="667"/>
      <c r="FS11" s="667"/>
      <c r="FT11" s="667"/>
      <c r="FU11" s="667"/>
      <c r="FV11" s="667"/>
      <c r="FW11" s="667"/>
      <c r="FX11" s="667"/>
      <c r="FY11" s="667"/>
      <c r="FZ11" s="667"/>
      <c r="GA11" s="667"/>
      <c r="GB11" s="667"/>
      <c r="GC11" s="667"/>
      <c r="GD11" s="667"/>
      <c r="GE11" s="667"/>
      <c r="GF11" s="667"/>
      <c r="GG11" s="667"/>
      <c r="GH11" s="667"/>
      <c r="GI11" s="667"/>
      <c r="GJ11" s="667"/>
      <c r="GK11" s="667"/>
      <c r="GL11" s="667"/>
      <c r="GM11" s="667"/>
      <c r="GN11" s="667"/>
      <c r="GO11" s="667"/>
      <c r="GP11" s="667"/>
      <c r="GQ11" s="667"/>
      <c r="GR11" s="667"/>
      <c r="GS11" s="667"/>
      <c r="GT11" s="667"/>
      <c r="GU11" s="667"/>
      <c r="GV11" s="667"/>
      <c r="GW11" s="667"/>
      <c r="GX11" s="667"/>
      <c r="GY11" s="667"/>
      <c r="GZ11" s="667"/>
      <c r="HA11" s="667"/>
      <c r="HB11" s="667"/>
      <c r="HC11" s="667"/>
      <c r="HD11" s="667"/>
      <c r="HE11" s="667"/>
      <c r="HF11" s="667"/>
      <c r="HG11" s="667"/>
      <c r="HH11" s="667"/>
      <c r="HI11" s="667"/>
      <c r="HJ11" s="667"/>
      <c r="HK11" s="667"/>
      <c r="HL11" s="667"/>
      <c r="HM11" s="667"/>
      <c r="HN11" s="667"/>
      <c r="HO11" s="667"/>
      <c r="HP11" s="667"/>
      <c r="HQ11" s="667"/>
      <c r="HR11" s="667"/>
      <c r="HS11" s="667"/>
      <c r="HT11" s="667"/>
      <c r="HU11" s="667"/>
      <c r="HV11" s="667"/>
      <c r="HW11" s="667"/>
    </row>
    <row r="12" spans="1:231" ht="15.6" customHeight="1">
      <c r="A12" s="678" t="s">
        <v>418</v>
      </c>
      <c r="B12" s="661">
        <v>6254000</v>
      </c>
      <c r="C12" s="661">
        <f>ROUND(5611654.88+0+569421.63,-3)</f>
        <v>6181000</v>
      </c>
      <c r="D12" s="662"/>
      <c r="E12" s="680">
        <f t="shared" si="0"/>
        <v>-1.1672529581068125E-2</v>
      </c>
      <c r="F12" s="681"/>
      <c r="G12" s="662"/>
      <c r="H12" s="662"/>
      <c r="I12" s="662"/>
      <c r="J12" s="662"/>
      <c r="K12" s="682"/>
      <c r="L12" s="666"/>
      <c r="M12" s="683"/>
      <c r="N12" s="666"/>
      <c r="O12" s="666"/>
      <c r="P12" s="666"/>
      <c r="Q12" s="676"/>
      <c r="R12" s="666"/>
      <c r="S12" s="666"/>
      <c r="T12" s="666"/>
      <c r="U12" s="666"/>
      <c r="V12" s="666"/>
      <c r="W12" s="666"/>
      <c r="X12" s="667"/>
      <c r="Y12" s="667"/>
      <c r="Z12" s="667"/>
      <c r="AA12" s="667"/>
      <c r="AB12" s="667"/>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c r="BC12" s="667"/>
      <c r="BD12" s="667"/>
      <c r="BE12" s="667"/>
      <c r="BF12" s="667"/>
      <c r="BG12" s="667"/>
      <c r="BH12" s="667"/>
      <c r="BI12" s="667"/>
      <c r="BJ12" s="667"/>
      <c r="BK12" s="667"/>
      <c r="BL12" s="667"/>
      <c r="BM12" s="667"/>
      <c r="BN12" s="667"/>
      <c r="BO12" s="667"/>
      <c r="BP12" s="667"/>
      <c r="BQ12" s="667"/>
      <c r="BR12" s="667"/>
      <c r="BS12" s="667"/>
      <c r="BT12" s="667"/>
      <c r="BU12" s="667"/>
      <c r="BV12" s="667"/>
      <c r="BW12" s="667"/>
      <c r="BX12" s="667"/>
      <c r="BY12" s="667"/>
      <c r="BZ12" s="667"/>
      <c r="CA12" s="667"/>
      <c r="CB12" s="667"/>
      <c r="CC12" s="667"/>
      <c r="CD12" s="667"/>
      <c r="CE12" s="667"/>
      <c r="CF12" s="667"/>
      <c r="CG12" s="667"/>
      <c r="CH12" s="667"/>
      <c r="CI12" s="667"/>
      <c r="CJ12" s="667"/>
      <c r="CK12" s="667"/>
      <c r="CL12" s="667"/>
      <c r="CM12" s="667"/>
      <c r="CN12" s="667"/>
      <c r="CO12" s="667"/>
      <c r="CP12" s="667"/>
      <c r="CQ12" s="667"/>
      <c r="CR12" s="667"/>
      <c r="CS12" s="667"/>
      <c r="CT12" s="667"/>
      <c r="CU12" s="667"/>
      <c r="CV12" s="667"/>
      <c r="CW12" s="667"/>
      <c r="CX12" s="667"/>
      <c r="CY12" s="667"/>
      <c r="CZ12" s="667"/>
      <c r="DA12" s="667"/>
      <c r="DB12" s="667"/>
      <c r="DC12" s="667"/>
      <c r="DD12" s="667"/>
      <c r="DE12" s="667"/>
      <c r="DF12" s="667"/>
      <c r="DG12" s="667"/>
      <c r="DH12" s="667"/>
      <c r="DI12" s="667"/>
      <c r="DJ12" s="667"/>
      <c r="DK12" s="667"/>
      <c r="DL12" s="667"/>
      <c r="DM12" s="667"/>
      <c r="DN12" s="667"/>
      <c r="DO12" s="667"/>
      <c r="DP12" s="667"/>
      <c r="DQ12" s="667"/>
      <c r="DR12" s="667"/>
      <c r="DS12" s="667"/>
      <c r="DT12" s="667"/>
      <c r="DU12" s="667"/>
      <c r="DV12" s="667"/>
      <c r="DW12" s="667"/>
      <c r="DX12" s="667"/>
      <c r="DY12" s="667"/>
      <c r="DZ12" s="667"/>
      <c r="EA12" s="667"/>
      <c r="EB12" s="667"/>
      <c r="EC12" s="667"/>
      <c r="ED12" s="667"/>
      <c r="EE12" s="667"/>
      <c r="EF12" s="667"/>
      <c r="EG12" s="667"/>
      <c r="EH12" s="667"/>
      <c r="EI12" s="667"/>
      <c r="EJ12" s="667"/>
      <c r="EK12" s="667"/>
      <c r="EL12" s="667"/>
      <c r="EM12" s="667"/>
      <c r="EN12" s="667"/>
      <c r="EO12" s="667"/>
      <c r="EP12" s="667"/>
      <c r="EQ12" s="667"/>
      <c r="ER12" s="667"/>
      <c r="ES12" s="667"/>
      <c r="ET12" s="667"/>
      <c r="EU12" s="667"/>
      <c r="EV12" s="667"/>
      <c r="EW12" s="667"/>
      <c r="EX12" s="667"/>
      <c r="EY12" s="667"/>
      <c r="EZ12" s="667"/>
      <c r="FA12" s="667"/>
      <c r="FB12" s="667"/>
      <c r="FC12" s="667"/>
      <c r="FD12" s="667"/>
      <c r="FE12" s="667"/>
      <c r="FF12" s="667"/>
      <c r="FG12" s="667"/>
      <c r="FH12" s="667"/>
      <c r="FI12" s="667"/>
      <c r="FJ12" s="667"/>
      <c r="FK12" s="667"/>
      <c r="FL12" s="667"/>
      <c r="FM12" s="667"/>
      <c r="FN12" s="667"/>
      <c r="FO12" s="667"/>
      <c r="FP12" s="667"/>
      <c r="FQ12" s="667"/>
      <c r="FR12" s="667"/>
      <c r="FS12" s="667"/>
      <c r="FT12" s="667"/>
      <c r="FU12" s="667"/>
      <c r="FV12" s="667"/>
      <c r="FW12" s="667"/>
      <c r="FX12" s="667"/>
      <c r="FY12" s="667"/>
      <c r="FZ12" s="667"/>
      <c r="GA12" s="667"/>
      <c r="GB12" s="667"/>
      <c r="GC12" s="667"/>
      <c r="GD12" s="667"/>
      <c r="GE12" s="667"/>
      <c r="GF12" s="667"/>
      <c r="GG12" s="667"/>
      <c r="GH12" s="667"/>
      <c r="GI12" s="667"/>
      <c r="GJ12" s="667"/>
      <c r="GK12" s="667"/>
      <c r="GL12" s="667"/>
      <c r="GM12" s="667"/>
      <c r="GN12" s="667"/>
      <c r="GO12" s="667"/>
      <c r="GP12" s="667"/>
      <c r="GQ12" s="667"/>
      <c r="GR12" s="667"/>
      <c r="GS12" s="667"/>
      <c r="GT12" s="667"/>
      <c r="GU12" s="667"/>
      <c r="GV12" s="667"/>
      <c r="GW12" s="667"/>
      <c r="GX12" s="667"/>
      <c r="GY12" s="667"/>
      <c r="GZ12" s="667"/>
      <c r="HA12" s="667"/>
      <c r="HB12" s="667"/>
      <c r="HC12" s="667"/>
      <c r="HD12" s="667"/>
      <c r="HE12" s="667"/>
      <c r="HF12" s="667"/>
      <c r="HG12" s="667"/>
      <c r="HH12" s="667"/>
      <c r="HI12" s="667"/>
      <c r="HJ12" s="667"/>
      <c r="HK12" s="667"/>
      <c r="HL12" s="667"/>
      <c r="HM12" s="667"/>
      <c r="HN12" s="667"/>
      <c r="HO12" s="667"/>
      <c r="HP12" s="667"/>
      <c r="HQ12" s="667"/>
      <c r="HR12" s="667"/>
      <c r="HS12" s="667"/>
      <c r="HT12" s="667"/>
      <c r="HU12" s="667"/>
      <c r="HV12" s="667"/>
      <c r="HW12" s="667"/>
    </row>
    <row r="13" spans="1:231" ht="15.6" customHeight="1">
      <c r="A13" s="678" t="s">
        <v>419</v>
      </c>
      <c r="B13" s="661">
        <v>3121503000</v>
      </c>
      <c r="C13" s="661">
        <f>ROUND(3252736.44+156971037.38+29337400.59+2650945564.56+157895674.58+221396083.62,-3)</f>
        <v>3219798000</v>
      </c>
      <c r="D13" s="662"/>
      <c r="E13" s="680">
        <f t="shared" si="0"/>
        <v>3.1489638164691858E-2</v>
      </c>
      <c r="F13" s="681"/>
      <c r="G13" s="662"/>
      <c r="H13" s="662"/>
      <c r="I13" s="662"/>
      <c r="J13" s="662"/>
      <c r="K13" s="682"/>
      <c r="L13" s="666"/>
      <c r="M13" s="683"/>
      <c r="N13" s="666"/>
      <c r="O13" s="666"/>
      <c r="P13" s="666"/>
      <c r="Q13" s="666"/>
      <c r="R13" s="666"/>
      <c r="S13" s="666"/>
      <c r="T13" s="666"/>
      <c r="U13" s="666"/>
      <c r="V13" s="666"/>
      <c r="W13" s="666"/>
      <c r="X13" s="667"/>
      <c r="Y13" s="667"/>
      <c r="Z13" s="667"/>
      <c r="AA13" s="667"/>
      <c r="AB13" s="667"/>
      <c r="AC13" s="667"/>
      <c r="AD13" s="667"/>
      <c r="AE13" s="667"/>
      <c r="AF13" s="667"/>
      <c r="AG13" s="667"/>
      <c r="AH13" s="667"/>
      <c r="AI13" s="667"/>
      <c r="AJ13" s="667"/>
      <c r="AK13" s="667"/>
      <c r="AL13" s="667"/>
      <c r="AM13" s="667"/>
      <c r="AN13" s="667"/>
      <c r="AO13" s="667"/>
      <c r="AP13" s="667"/>
      <c r="AQ13" s="667"/>
      <c r="AR13" s="667"/>
      <c r="AS13" s="667"/>
      <c r="AT13" s="667"/>
      <c r="AU13" s="667"/>
      <c r="AV13" s="667"/>
      <c r="AW13" s="667"/>
      <c r="AX13" s="667"/>
      <c r="AY13" s="667"/>
      <c r="AZ13" s="667"/>
      <c r="BA13" s="667"/>
      <c r="BB13" s="667"/>
      <c r="BC13" s="667"/>
      <c r="BD13" s="667"/>
      <c r="BE13" s="667"/>
      <c r="BF13" s="667"/>
      <c r="BG13" s="667"/>
      <c r="BH13" s="667"/>
      <c r="BI13" s="667"/>
      <c r="BJ13" s="667"/>
      <c r="BK13" s="667"/>
      <c r="BL13" s="667"/>
      <c r="BM13" s="667"/>
      <c r="BN13" s="667"/>
      <c r="BO13" s="667"/>
      <c r="BP13" s="667"/>
      <c r="BQ13" s="667"/>
      <c r="BR13" s="667"/>
      <c r="BS13" s="667"/>
      <c r="BT13" s="667"/>
      <c r="BU13" s="667"/>
      <c r="BV13" s="667"/>
      <c r="BW13" s="667"/>
      <c r="BX13" s="667"/>
      <c r="BY13" s="667"/>
      <c r="BZ13" s="667"/>
      <c r="CA13" s="667"/>
      <c r="CB13" s="667"/>
      <c r="CC13" s="667"/>
      <c r="CD13" s="667"/>
      <c r="CE13" s="667"/>
      <c r="CF13" s="667"/>
      <c r="CG13" s="667"/>
      <c r="CH13" s="667"/>
      <c r="CI13" s="667"/>
      <c r="CJ13" s="667"/>
      <c r="CK13" s="667"/>
      <c r="CL13" s="667"/>
      <c r="CM13" s="667"/>
      <c r="CN13" s="667"/>
      <c r="CO13" s="667"/>
      <c r="CP13" s="667"/>
      <c r="CQ13" s="667"/>
      <c r="CR13" s="667"/>
      <c r="CS13" s="667"/>
      <c r="CT13" s="667"/>
      <c r="CU13" s="667"/>
      <c r="CV13" s="667"/>
      <c r="CW13" s="667"/>
      <c r="CX13" s="667"/>
      <c r="CY13" s="667"/>
      <c r="CZ13" s="667"/>
      <c r="DA13" s="667"/>
      <c r="DB13" s="667"/>
      <c r="DC13" s="667"/>
      <c r="DD13" s="667"/>
      <c r="DE13" s="667"/>
      <c r="DF13" s="667"/>
      <c r="DG13" s="667"/>
      <c r="DH13" s="667"/>
      <c r="DI13" s="667"/>
      <c r="DJ13" s="667"/>
      <c r="DK13" s="667"/>
      <c r="DL13" s="667"/>
      <c r="DM13" s="667"/>
      <c r="DN13" s="667"/>
      <c r="DO13" s="667"/>
      <c r="DP13" s="667"/>
      <c r="DQ13" s="667"/>
      <c r="DR13" s="667"/>
      <c r="DS13" s="667"/>
      <c r="DT13" s="667"/>
      <c r="DU13" s="667"/>
      <c r="DV13" s="667"/>
      <c r="DW13" s="667"/>
      <c r="DX13" s="667"/>
      <c r="DY13" s="667"/>
      <c r="DZ13" s="667"/>
      <c r="EA13" s="667"/>
      <c r="EB13" s="667"/>
      <c r="EC13" s="667"/>
      <c r="ED13" s="667"/>
      <c r="EE13" s="667"/>
      <c r="EF13" s="667"/>
      <c r="EG13" s="667"/>
      <c r="EH13" s="667"/>
      <c r="EI13" s="667"/>
      <c r="EJ13" s="667"/>
      <c r="EK13" s="667"/>
      <c r="EL13" s="667"/>
      <c r="EM13" s="667"/>
      <c r="EN13" s="667"/>
      <c r="EO13" s="667"/>
      <c r="EP13" s="667"/>
      <c r="EQ13" s="667"/>
      <c r="ER13" s="667"/>
      <c r="ES13" s="667"/>
      <c r="ET13" s="667"/>
      <c r="EU13" s="667"/>
      <c r="EV13" s="667"/>
      <c r="EW13" s="667"/>
      <c r="EX13" s="667"/>
      <c r="EY13" s="667"/>
      <c r="EZ13" s="667"/>
      <c r="FA13" s="667"/>
      <c r="FB13" s="667"/>
      <c r="FC13" s="667"/>
      <c r="FD13" s="667"/>
      <c r="FE13" s="667"/>
      <c r="FF13" s="667"/>
      <c r="FG13" s="667"/>
      <c r="FH13" s="667"/>
      <c r="FI13" s="667"/>
      <c r="FJ13" s="667"/>
      <c r="FK13" s="667"/>
      <c r="FL13" s="667"/>
      <c r="FM13" s="667"/>
      <c r="FN13" s="667"/>
      <c r="FO13" s="667"/>
      <c r="FP13" s="667"/>
      <c r="FQ13" s="667"/>
      <c r="FR13" s="667"/>
      <c r="FS13" s="667"/>
      <c r="FT13" s="667"/>
      <c r="FU13" s="667"/>
      <c r="FV13" s="667"/>
      <c r="FW13" s="667"/>
      <c r="FX13" s="667"/>
      <c r="FY13" s="667"/>
      <c r="FZ13" s="667"/>
      <c r="GA13" s="667"/>
      <c r="GB13" s="667"/>
      <c r="GC13" s="667"/>
      <c r="GD13" s="667"/>
      <c r="GE13" s="667"/>
      <c r="GF13" s="667"/>
      <c r="GG13" s="667"/>
      <c r="GH13" s="667"/>
      <c r="GI13" s="667"/>
      <c r="GJ13" s="667"/>
      <c r="GK13" s="667"/>
      <c r="GL13" s="667"/>
      <c r="GM13" s="667"/>
      <c r="GN13" s="667"/>
      <c r="GO13" s="667"/>
      <c r="GP13" s="667"/>
      <c r="GQ13" s="667"/>
      <c r="GR13" s="667"/>
      <c r="GS13" s="667"/>
      <c r="GT13" s="667"/>
      <c r="GU13" s="667"/>
      <c r="GV13" s="667"/>
      <c r="GW13" s="667"/>
      <c r="GX13" s="667"/>
      <c r="GY13" s="667"/>
      <c r="GZ13" s="667"/>
      <c r="HA13" s="667"/>
      <c r="HB13" s="667"/>
      <c r="HC13" s="667"/>
      <c r="HD13" s="667"/>
      <c r="HE13" s="667"/>
      <c r="HF13" s="667"/>
      <c r="HG13" s="667"/>
      <c r="HH13" s="667"/>
      <c r="HI13" s="667"/>
      <c r="HJ13" s="667"/>
      <c r="HK13" s="667"/>
      <c r="HL13" s="667"/>
      <c r="HM13" s="667"/>
      <c r="HN13" s="667"/>
      <c r="HO13" s="667"/>
      <c r="HP13" s="667"/>
      <c r="HQ13" s="667"/>
      <c r="HR13" s="667"/>
      <c r="HS13" s="667"/>
      <c r="HT13" s="667"/>
      <c r="HU13" s="667"/>
      <c r="HV13" s="667"/>
      <c r="HW13" s="667"/>
    </row>
    <row r="14" spans="1:231" ht="15.6" customHeight="1">
      <c r="A14" s="678" t="s">
        <v>420</v>
      </c>
      <c r="B14" s="661">
        <v>3676000</v>
      </c>
      <c r="C14" s="973">
        <f>ROUND(5513696.65,-3)</f>
        <v>5514000</v>
      </c>
      <c r="D14" s="974"/>
      <c r="E14" s="975">
        <f t="shared" si="0"/>
        <v>0.5</v>
      </c>
      <c r="F14" s="681"/>
      <c r="G14" s="662"/>
      <c r="H14" s="662"/>
      <c r="I14" s="662"/>
      <c r="J14" s="662"/>
      <c r="K14" s="682"/>
      <c r="L14" s="666"/>
      <c r="M14" s="683"/>
      <c r="N14" s="666"/>
      <c r="O14" s="666"/>
      <c r="P14" s="666"/>
      <c r="Q14" s="676"/>
      <c r="R14" s="666"/>
      <c r="S14" s="666"/>
      <c r="T14" s="666"/>
      <c r="U14" s="666"/>
      <c r="V14" s="666"/>
      <c r="W14" s="666"/>
      <c r="X14" s="667"/>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c r="BC14" s="667"/>
      <c r="BD14" s="667"/>
      <c r="BE14" s="667"/>
      <c r="BF14" s="667"/>
      <c r="BG14" s="667"/>
      <c r="BH14" s="667"/>
      <c r="BI14" s="667"/>
      <c r="BJ14" s="667"/>
      <c r="BK14" s="667"/>
      <c r="BL14" s="667"/>
      <c r="BM14" s="667"/>
      <c r="BN14" s="667"/>
      <c r="BO14" s="667"/>
      <c r="BP14" s="667"/>
      <c r="BQ14" s="667"/>
      <c r="BR14" s="667"/>
      <c r="BS14" s="667"/>
      <c r="BT14" s="667"/>
      <c r="BU14" s="667"/>
      <c r="BV14" s="667"/>
      <c r="BW14" s="667"/>
      <c r="BX14" s="667"/>
      <c r="BY14" s="667"/>
      <c r="BZ14" s="667"/>
      <c r="CA14" s="667"/>
      <c r="CB14" s="667"/>
      <c r="CC14" s="667"/>
      <c r="CD14" s="667"/>
      <c r="CE14" s="667"/>
      <c r="CF14" s="667"/>
      <c r="CG14" s="667"/>
      <c r="CH14" s="667"/>
      <c r="CI14" s="667"/>
      <c r="CJ14" s="667"/>
      <c r="CK14" s="667"/>
      <c r="CL14" s="667"/>
      <c r="CM14" s="667"/>
      <c r="CN14" s="667"/>
      <c r="CO14" s="667"/>
      <c r="CP14" s="667"/>
      <c r="CQ14" s="667"/>
      <c r="CR14" s="667"/>
      <c r="CS14" s="667"/>
      <c r="CT14" s="667"/>
      <c r="CU14" s="667"/>
      <c r="CV14" s="667"/>
      <c r="CW14" s="667"/>
      <c r="CX14" s="667"/>
      <c r="CY14" s="667"/>
      <c r="CZ14" s="667"/>
      <c r="DA14" s="667"/>
      <c r="DB14" s="667"/>
      <c r="DC14" s="667"/>
      <c r="DD14" s="667"/>
      <c r="DE14" s="667"/>
      <c r="DF14" s="667"/>
      <c r="DG14" s="667"/>
      <c r="DH14" s="667"/>
      <c r="DI14" s="667"/>
      <c r="DJ14" s="667"/>
      <c r="DK14" s="667"/>
      <c r="DL14" s="667"/>
      <c r="DM14" s="667"/>
      <c r="DN14" s="667"/>
      <c r="DO14" s="667"/>
      <c r="DP14" s="667"/>
      <c r="DQ14" s="667"/>
      <c r="DR14" s="667"/>
      <c r="DS14" s="667"/>
      <c r="DT14" s="667"/>
      <c r="DU14" s="667"/>
      <c r="DV14" s="667"/>
      <c r="DW14" s="667"/>
      <c r="DX14" s="667"/>
      <c r="DY14" s="667"/>
      <c r="DZ14" s="667"/>
      <c r="EA14" s="667"/>
      <c r="EB14" s="667"/>
      <c r="EC14" s="667"/>
      <c r="ED14" s="667"/>
      <c r="EE14" s="667"/>
      <c r="EF14" s="667"/>
      <c r="EG14" s="667"/>
      <c r="EH14" s="667"/>
      <c r="EI14" s="667"/>
      <c r="EJ14" s="667"/>
      <c r="EK14" s="667"/>
      <c r="EL14" s="667"/>
      <c r="EM14" s="667"/>
      <c r="EN14" s="667"/>
      <c r="EO14" s="667"/>
      <c r="EP14" s="667"/>
      <c r="EQ14" s="667"/>
      <c r="ER14" s="667"/>
      <c r="ES14" s="667"/>
      <c r="ET14" s="667"/>
      <c r="EU14" s="667"/>
      <c r="EV14" s="667"/>
      <c r="EW14" s="667"/>
      <c r="EX14" s="667"/>
      <c r="EY14" s="667"/>
      <c r="EZ14" s="667"/>
      <c r="FA14" s="667"/>
      <c r="FB14" s="667"/>
      <c r="FC14" s="667"/>
      <c r="FD14" s="667"/>
      <c r="FE14" s="667"/>
      <c r="FF14" s="667"/>
      <c r="FG14" s="667"/>
      <c r="FH14" s="667"/>
      <c r="FI14" s="667"/>
      <c r="FJ14" s="667"/>
      <c r="FK14" s="667"/>
      <c r="FL14" s="667"/>
      <c r="FM14" s="667"/>
      <c r="FN14" s="667"/>
      <c r="FO14" s="667"/>
      <c r="FP14" s="667"/>
      <c r="FQ14" s="667"/>
      <c r="FR14" s="667"/>
      <c r="FS14" s="667"/>
      <c r="FT14" s="667"/>
      <c r="FU14" s="667"/>
      <c r="FV14" s="667"/>
      <c r="FW14" s="667"/>
      <c r="FX14" s="667"/>
      <c r="FY14" s="667"/>
      <c r="FZ14" s="667"/>
      <c r="GA14" s="667"/>
      <c r="GB14" s="667"/>
      <c r="GC14" s="667"/>
      <c r="GD14" s="667"/>
      <c r="GE14" s="667"/>
      <c r="GF14" s="667"/>
      <c r="GG14" s="667"/>
      <c r="GH14" s="667"/>
      <c r="GI14" s="667"/>
      <c r="GJ14" s="667"/>
      <c r="GK14" s="667"/>
      <c r="GL14" s="667"/>
      <c r="GM14" s="667"/>
      <c r="GN14" s="667"/>
      <c r="GO14" s="667"/>
      <c r="GP14" s="667"/>
      <c r="GQ14" s="667"/>
      <c r="GR14" s="667"/>
      <c r="GS14" s="667"/>
      <c r="GT14" s="667"/>
      <c r="GU14" s="667"/>
      <c r="GV14" s="667"/>
      <c r="GW14" s="667"/>
      <c r="GX14" s="667"/>
      <c r="GY14" s="667"/>
      <c r="GZ14" s="667"/>
      <c r="HA14" s="667"/>
      <c r="HB14" s="667"/>
      <c r="HC14" s="667"/>
      <c r="HD14" s="667"/>
      <c r="HE14" s="667"/>
      <c r="HF14" s="667"/>
      <c r="HG14" s="667"/>
      <c r="HH14" s="667"/>
      <c r="HI14" s="667"/>
      <c r="HJ14" s="667"/>
      <c r="HK14" s="667"/>
      <c r="HL14" s="667"/>
      <c r="HM14" s="667"/>
      <c r="HN14" s="667"/>
      <c r="HO14" s="667"/>
      <c r="HP14" s="667"/>
      <c r="HQ14" s="667"/>
      <c r="HR14" s="667"/>
      <c r="HS14" s="667"/>
      <c r="HT14" s="667"/>
      <c r="HU14" s="667"/>
      <c r="HV14" s="667"/>
      <c r="HW14" s="667"/>
    </row>
    <row r="15" spans="1:231" ht="15.6" customHeight="1">
      <c r="A15" s="664" t="s">
        <v>1051</v>
      </c>
      <c r="B15" s="661">
        <v>6880000</v>
      </c>
      <c r="C15" s="661">
        <f>ROUND(6522696.1+804757.7,-3)</f>
        <v>7327000</v>
      </c>
      <c r="D15" s="662"/>
      <c r="E15" s="680">
        <f t="shared" si="0"/>
        <v>6.4970930232558066E-2</v>
      </c>
      <c r="F15" s="681"/>
      <c r="G15" s="662"/>
      <c r="H15" s="662"/>
      <c r="I15" s="662"/>
      <c r="J15" s="662"/>
      <c r="K15" s="682"/>
      <c r="L15" s="666"/>
      <c r="M15" s="683"/>
      <c r="N15" s="666"/>
      <c r="O15" s="666"/>
      <c r="P15" s="666"/>
      <c r="Q15" s="666"/>
      <c r="R15" s="666"/>
      <c r="S15" s="666"/>
      <c r="T15" s="666"/>
      <c r="U15" s="666"/>
      <c r="V15" s="666"/>
      <c r="W15" s="666"/>
      <c r="X15" s="667"/>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c r="BC15" s="667"/>
      <c r="BD15" s="667"/>
      <c r="BE15" s="667"/>
      <c r="BF15" s="667"/>
      <c r="BG15" s="667"/>
      <c r="BH15" s="667"/>
      <c r="BI15" s="667"/>
      <c r="BJ15" s="667"/>
      <c r="BK15" s="667"/>
      <c r="BL15" s="667"/>
      <c r="BM15" s="667"/>
      <c r="BN15" s="667"/>
      <c r="BO15" s="667"/>
      <c r="BP15" s="667"/>
      <c r="BQ15" s="667"/>
      <c r="BR15" s="667"/>
      <c r="BS15" s="667"/>
      <c r="BT15" s="667"/>
      <c r="BU15" s="667"/>
      <c r="BV15" s="667"/>
      <c r="BW15" s="667"/>
      <c r="BX15" s="667"/>
      <c r="BY15" s="667"/>
      <c r="BZ15" s="667"/>
      <c r="CA15" s="667"/>
      <c r="CB15" s="667"/>
      <c r="CC15" s="667"/>
      <c r="CD15" s="667"/>
      <c r="CE15" s="667"/>
      <c r="CF15" s="667"/>
      <c r="CG15" s="667"/>
      <c r="CH15" s="667"/>
      <c r="CI15" s="667"/>
      <c r="CJ15" s="667"/>
      <c r="CK15" s="667"/>
      <c r="CL15" s="667"/>
      <c r="CM15" s="667"/>
      <c r="CN15" s="667"/>
      <c r="CO15" s="667"/>
      <c r="CP15" s="667"/>
      <c r="CQ15" s="667"/>
      <c r="CR15" s="667"/>
      <c r="CS15" s="667"/>
      <c r="CT15" s="667"/>
      <c r="CU15" s="667"/>
      <c r="CV15" s="667"/>
      <c r="CW15" s="667"/>
      <c r="CX15" s="667"/>
      <c r="CY15" s="667"/>
      <c r="CZ15" s="667"/>
      <c r="DA15" s="667"/>
      <c r="DB15" s="667"/>
      <c r="DC15" s="667"/>
      <c r="DD15" s="667"/>
      <c r="DE15" s="667"/>
      <c r="DF15" s="667"/>
      <c r="DG15" s="667"/>
      <c r="DH15" s="667"/>
      <c r="DI15" s="667"/>
      <c r="DJ15" s="667"/>
      <c r="DK15" s="667"/>
      <c r="DL15" s="667"/>
      <c r="DM15" s="667"/>
      <c r="DN15" s="667"/>
      <c r="DO15" s="667"/>
      <c r="DP15" s="667"/>
      <c r="DQ15" s="667"/>
      <c r="DR15" s="667"/>
      <c r="DS15" s="667"/>
      <c r="DT15" s="667"/>
      <c r="DU15" s="667"/>
      <c r="DV15" s="667"/>
      <c r="DW15" s="667"/>
      <c r="DX15" s="667"/>
      <c r="DY15" s="667"/>
      <c r="DZ15" s="667"/>
      <c r="EA15" s="667"/>
      <c r="EB15" s="667"/>
      <c r="EC15" s="667"/>
      <c r="ED15" s="667"/>
      <c r="EE15" s="667"/>
      <c r="EF15" s="667"/>
      <c r="EG15" s="667"/>
      <c r="EH15" s="667"/>
      <c r="EI15" s="667"/>
      <c r="EJ15" s="667"/>
      <c r="EK15" s="667"/>
      <c r="EL15" s="667"/>
      <c r="EM15" s="667"/>
      <c r="EN15" s="667"/>
      <c r="EO15" s="667"/>
      <c r="EP15" s="667"/>
      <c r="EQ15" s="667"/>
      <c r="ER15" s="667"/>
      <c r="ES15" s="667"/>
      <c r="ET15" s="667"/>
      <c r="EU15" s="667"/>
      <c r="EV15" s="667"/>
      <c r="EW15" s="667"/>
      <c r="EX15" s="667"/>
      <c r="EY15" s="667"/>
      <c r="EZ15" s="667"/>
      <c r="FA15" s="667"/>
      <c r="FB15" s="667"/>
      <c r="FC15" s="667"/>
      <c r="FD15" s="667"/>
      <c r="FE15" s="667"/>
      <c r="FF15" s="667"/>
      <c r="FG15" s="667"/>
      <c r="FH15" s="667"/>
      <c r="FI15" s="667"/>
      <c r="FJ15" s="667"/>
      <c r="FK15" s="667"/>
      <c r="FL15" s="667"/>
      <c r="FM15" s="667"/>
      <c r="FN15" s="667"/>
      <c r="FO15" s="667"/>
      <c r="FP15" s="667"/>
      <c r="FQ15" s="667"/>
      <c r="FR15" s="667"/>
      <c r="FS15" s="667"/>
      <c r="FT15" s="667"/>
      <c r="FU15" s="667"/>
      <c r="FV15" s="667"/>
      <c r="FW15" s="667"/>
      <c r="FX15" s="667"/>
      <c r="FY15" s="667"/>
      <c r="FZ15" s="667"/>
      <c r="GA15" s="667"/>
      <c r="GB15" s="667"/>
      <c r="GC15" s="667"/>
      <c r="GD15" s="667"/>
      <c r="GE15" s="667"/>
      <c r="GF15" s="667"/>
      <c r="GG15" s="667"/>
      <c r="GH15" s="667"/>
      <c r="GI15" s="667"/>
      <c r="GJ15" s="667"/>
      <c r="GK15" s="667"/>
      <c r="GL15" s="667"/>
      <c r="GM15" s="667"/>
      <c r="GN15" s="667"/>
      <c r="GO15" s="667"/>
      <c r="GP15" s="667"/>
      <c r="GQ15" s="667"/>
      <c r="GR15" s="667"/>
      <c r="GS15" s="667"/>
      <c r="GT15" s="667"/>
      <c r="GU15" s="667"/>
      <c r="GV15" s="667"/>
      <c r="GW15" s="667"/>
      <c r="GX15" s="667"/>
      <c r="GY15" s="667"/>
      <c r="GZ15" s="667"/>
      <c r="HA15" s="667"/>
      <c r="HB15" s="667"/>
      <c r="HC15" s="667"/>
      <c r="HD15" s="667"/>
      <c r="HE15" s="667"/>
      <c r="HF15" s="667"/>
      <c r="HG15" s="667"/>
      <c r="HH15" s="667"/>
      <c r="HI15" s="667"/>
      <c r="HJ15" s="667"/>
      <c r="HK15" s="667"/>
      <c r="HL15" s="667"/>
      <c r="HM15" s="667"/>
      <c r="HN15" s="667"/>
      <c r="HO15" s="667"/>
      <c r="HP15" s="667"/>
      <c r="HQ15" s="667"/>
      <c r="HR15" s="667"/>
      <c r="HS15" s="667"/>
      <c r="HT15" s="667"/>
      <c r="HU15" s="667"/>
      <c r="HV15" s="667"/>
      <c r="HW15" s="667"/>
    </row>
    <row r="16" spans="1:231" ht="9" customHeight="1">
      <c r="A16" s="664"/>
      <c r="B16" s="685"/>
      <c r="C16" s="685"/>
      <c r="D16" s="662"/>
      <c r="E16" s="686"/>
      <c r="F16" s="662"/>
      <c r="G16" s="662"/>
      <c r="H16" s="662"/>
      <c r="I16" s="662"/>
      <c r="J16" s="662"/>
      <c r="K16" s="682"/>
      <c r="L16" s="666"/>
      <c r="M16" s="683"/>
      <c r="N16" s="666"/>
      <c r="O16" s="666"/>
      <c r="P16" s="666"/>
      <c r="Q16" s="666"/>
      <c r="R16" s="666"/>
      <c r="S16" s="666"/>
      <c r="T16" s="666"/>
      <c r="U16" s="666"/>
      <c r="V16" s="666"/>
      <c r="W16" s="666"/>
      <c r="X16" s="667"/>
      <c r="Y16" s="667"/>
      <c r="Z16" s="667"/>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c r="BC16" s="667"/>
      <c r="BD16" s="667"/>
      <c r="BE16" s="667"/>
      <c r="BF16" s="667"/>
      <c r="BG16" s="667"/>
      <c r="BH16" s="667"/>
      <c r="BI16" s="667"/>
      <c r="BJ16" s="667"/>
      <c r="BK16" s="667"/>
      <c r="BL16" s="667"/>
      <c r="BM16" s="667"/>
      <c r="BN16" s="667"/>
      <c r="BO16" s="667"/>
      <c r="BP16" s="667"/>
      <c r="BQ16" s="667"/>
      <c r="BR16" s="667"/>
      <c r="BS16" s="667"/>
      <c r="BT16" s="667"/>
      <c r="BU16" s="667"/>
      <c r="BV16" s="667"/>
      <c r="BW16" s="667"/>
      <c r="BX16" s="667"/>
      <c r="BY16" s="667"/>
      <c r="BZ16" s="667"/>
      <c r="CA16" s="667"/>
      <c r="CB16" s="667"/>
      <c r="CC16" s="667"/>
      <c r="CD16" s="667"/>
      <c r="CE16" s="667"/>
      <c r="CF16" s="667"/>
      <c r="CG16" s="667"/>
      <c r="CH16" s="667"/>
      <c r="CI16" s="667"/>
      <c r="CJ16" s="667"/>
      <c r="CK16" s="667"/>
      <c r="CL16" s="667"/>
      <c r="CM16" s="667"/>
      <c r="CN16" s="667"/>
      <c r="CO16" s="667"/>
      <c r="CP16" s="667"/>
      <c r="CQ16" s="667"/>
      <c r="CR16" s="667"/>
      <c r="CS16" s="667"/>
      <c r="CT16" s="667"/>
      <c r="CU16" s="667"/>
      <c r="CV16" s="667"/>
      <c r="CW16" s="667"/>
      <c r="CX16" s="667"/>
      <c r="CY16" s="667"/>
      <c r="CZ16" s="667"/>
      <c r="DA16" s="667"/>
      <c r="DB16" s="667"/>
      <c r="DC16" s="667"/>
      <c r="DD16" s="667"/>
      <c r="DE16" s="667"/>
      <c r="DF16" s="667"/>
      <c r="DG16" s="667"/>
      <c r="DH16" s="667"/>
      <c r="DI16" s="667"/>
      <c r="DJ16" s="667"/>
      <c r="DK16" s="667"/>
      <c r="DL16" s="667"/>
      <c r="DM16" s="667"/>
      <c r="DN16" s="667"/>
      <c r="DO16" s="667"/>
      <c r="DP16" s="667"/>
      <c r="DQ16" s="667"/>
      <c r="DR16" s="667"/>
      <c r="DS16" s="667"/>
      <c r="DT16" s="667"/>
      <c r="DU16" s="667"/>
      <c r="DV16" s="667"/>
      <c r="DW16" s="667"/>
      <c r="DX16" s="667"/>
      <c r="DY16" s="667"/>
      <c r="DZ16" s="667"/>
      <c r="EA16" s="667"/>
      <c r="EB16" s="667"/>
      <c r="EC16" s="667"/>
      <c r="ED16" s="667"/>
      <c r="EE16" s="667"/>
      <c r="EF16" s="667"/>
      <c r="EG16" s="667"/>
      <c r="EH16" s="667"/>
      <c r="EI16" s="667"/>
      <c r="EJ16" s="667"/>
      <c r="EK16" s="667"/>
      <c r="EL16" s="667"/>
      <c r="EM16" s="667"/>
      <c r="EN16" s="667"/>
      <c r="EO16" s="667"/>
      <c r="EP16" s="667"/>
      <c r="EQ16" s="667"/>
      <c r="ER16" s="667"/>
      <c r="ES16" s="667"/>
      <c r="ET16" s="667"/>
      <c r="EU16" s="667"/>
      <c r="EV16" s="667"/>
      <c r="EW16" s="667"/>
      <c r="EX16" s="667"/>
      <c r="EY16" s="667"/>
      <c r="EZ16" s="667"/>
      <c r="FA16" s="667"/>
      <c r="FB16" s="667"/>
      <c r="FC16" s="667"/>
      <c r="FD16" s="667"/>
      <c r="FE16" s="667"/>
      <c r="FF16" s="667"/>
      <c r="FG16" s="667"/>
      <c r="FH16" s="667"/>
      <c r="FI16" s="667"/>
      <c r="FJ16" s="667"/>
      <c r="FK16" s="667"/>
      <c r="FL16" s="667"/>
      <c r="FM16" s="667"/>
      <c r="FN16" s="667"/>
      <c r="FO16" s="667"/>
      <c r="FP16" s="667"/>
      <c r="FQ16" s="667"/>
      <c r="FR16" s="667"/>
      <c r="FS16" s="667"/>
      <c r="FT16" s="667"/>
      <c r="FU16" s="667"/>
      <c r="FV16" s="667"/>
      <c r="FW16" s="667"/>
      <c r="FX16" s="667"/>
      <c r="FY16" s="667"/>
      <c r="FZ16" s="667"/>
      <c r="GA16" s="667"/>
      <c r="GB16" s="667"/>
      <c r="GC16" s="667"/>
      <c r="GD16" s="667"/>
      <c r="GE16" s="667"/>
      <c r="GF16" s="667"/>
      <c r="GG16" s="667"/>
      <c r="GH16" s="667"/>
      <c r="GI16" s="667"/>
      <c r="GJ16" s="667"/>
      <c r="GK16" s="667"/>
      <c r="GL16" s="667"/>
      <c r="GM16" s="667"/>
      <c r="GN16" s="667"/>
      <c r="GO16" s="667"/>
      <c r="GP16" s="667"/>
      <c r="GQ16" s="667"/>
      <c r="GR16" s="667"/>
      <c r="GS16" s="667"/>
      <c r="GT16" s="667"/>
      <c r="GU16" s="667"/>
      <c r="GV16" s="667"/>
      <c r="GW16" s="667"/>
      <c r="GX16" s="667"/>
      <c r="GY16" s="667"/>
      <c r="GZ16" s="667"/>
      <c r="HA16" s="667"/>
      <c r="HB16" s="667"/>
      <c r="HC16" s="667"/>
      <c r="HD16" s="667"/>
      <c r="HE16" s="667"/>
      <c r="HF16" s="667"/>
      <c r="HG16" s="667"/>
      <c r="HH16" s="667"/>
      <c r="HI16" s="667"/>
      <c r="HJ16" s="667"/>
      <c r="HK16" s="667"/>
      <c r="HL16" s="667"/>
      <c r="HM16" s="667"/>
      <c r="HN16" s="667"/>
      <c r="HO16" s="667"/>
      <c r="HP16" s="667"/>
      <c r="HQ16" s="667"/>
      <c r="HR16" s="667"/>
      <c r="HS16" s="667"/>
      <c r="HT16" s="667"/>
      <c r="HU16" s="667"/>
      <c r="HV16" s="667"/>
      <c r="HW16" s="667"/>
    </row>
    <row r="17" spans="1:231" ht="15.6" customHeight="1">
      <c r="A17" s="671" t="s">
        <v>421</v>
      </c>
      <c r="B17" s="687">
        <f>SUM(B7:B15)</f>
        <v>14938089000</v>
      </c>
      <c r="C17" s="687">
        <f>SUM(C7:C15)</f>
        <v>15755556000</v>
      </c>
      <c r="D17" s="688"/>
      <c r="E17" s="689">
        <f t="shared" si="0"/>
        <v>5.4723666460950948E-2</v>
      </c>
      <c r="F17" s="681"/>
      <c r="G17" s="662"/>
      <c r="H17" s="662"/>
      <c r="I17" s="662"/>
      <c r="J17" s="662"/>
      <c r="K17" s="682"/>
      <c r="L17" s="666"/>
      <c r="M17" s="683"/>
      <c r="N17" s="666"/>
      <c r="O17" s="666"/>
      <c r="P17" s="666"/>
      <c r="Q17" s="666"/>
      <c r="R17" s="666"/>
      <c r="S17" s="666"/>
      <c r="T17" s="666"/>
      <c r="U17" s="666"/>
      <c r="V17" s="666"/>
      <c r="W17" s="666"/>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667"/>
      <c r="BG17" s="667"/>
      <c r="BH17" s="667"/>
      <c r="BI17" s="667"/>
      <c r="BJ17" s="667"/>
      <c r="BK17" s="667"/>
      <c r="BL17" s="667"/>
      <c r="BM17" s="667"/>
      <c r="BN17" s="667"/>
      <c r="BO17" s="667"/>
      <c r="BP17" s="667"/>
      <c r="BQ17" s="667"/>
      <c r="BR17" s="667"/>
      <c r="BS17" s="667"/>
      <c r="BT17" s="667"/>
      <c r="BU17" s="667"/>
      <c r="BV17" s="667"/>
      <c r="BW17" s="667"/>
      <c r="BX17" s="667"/>
      <c r="BY17" s="667"/>
      <c r="BZ17" s="667"/>
      <c r="CA17" s="667"/>
      <c r="CB17" s="667"/>
      <c r="CC17" s="667"/>
      <c r="CD17" s="667"/>
      <c r="CE17" s="667"/>
      <c r="CF17" s="667"/>
      <c r="CG17" s="667"/>
      <c r="CH17" s="667"/>
      <c r="CI17" s="667"/>
      <c r="CJ17" s="667"/>
      <c r="CK17" s="667"/>
      <c r="CL17" s="667"/>
      <c r="CM17" s="667"/>
      <c r="CN17" s="667"/>
      <c r="CO17" s="667"/>
      <c r="CP17" s="667"/>
      <c r="CQ17" s="667"/>
      <c r="CR17" s="667"/>
      <c r="CS17" s="667"/>
      <c r="CT17" s="667"/>
      <c r="CU17" s="667"/>
      <c r="CV17" s="667"/>
      <c r="CW17" s="667"/>
      <c r="CX17" s="667"/>
      <c r="CY17" s="667"/>
      <c r="CZ17" s="667"/>
      <c r="DA17" s="667"/>
      <c r="DB17" s="667"/>
      <c r="DC17" s="667"/>
      <c r="DD17" s="667"/>
      <c r="DE17" s="667"/>
      <c r="DF17" s="667"/>
      <c r="DG17" s="667"/>
      <c r="DH17" s="667"/>
      <c r="DI17" s="667"/>
      <c r="DJ17" s="667"/>
      <c r="DK17" s="667"/>
      <c r="DL17" s="667"/>
      <c r="DM17" s="667"/>
      <c r="DN17" s="667"/>
      <c r="DO17" s="667"/>
      <c r="DP17" s="667"/>
      <c r="DQ17" s="667"/>
      <c r="DR17" s="667"/>
      <c r="DS17" s="667"/>
      <c r="DT17" s="667"/>
      <c r="DU17" s="667"/>
      <c r="DV17" s="667"/>
      <c r="DW17" s="667"/>
      <c r="DX17" s="667"/>
      <c r="DY17" s="667"/>
      <c r="DZ17" s="667"/>
      <c r="EA17" s="667"/>
      <c r="EB17" s="667"/>
      <c r="EC17" s="667"/>
      <c r="ED17" s="667"/>
      <c r="EE17" s="667"/>
      <c r="EF17" s="667"/>
      <c r="EG17" s="667"/>
      <c r="EH17" s="667"/>
      <c r="EI17" s="667"/>
      <c r="EJ17" s="667"/>
      <c r="EK17" s="667"/>
      <c r="EL17" s="667"/>
      <c r="EM17" s="667"/>
      <c r="EN17" s="667"/>
      <c r="EO17" s="667"/>
      <c r="EP17" s="667"/>
      <c r="EQ17" s="667"/>
      <c r="ER17" s="667"/>
      <c r="ES17" s="667"/>
      <c r="ET17" s="667"/>
      <c r="EU17" s="667"/>
      <c r="EV17" s="667"/>
      <c r="EW17" s="667"/>
      <c r="EX17" s="667"/>
      <c r="EY17" s="667"/>
      <c r="EZ17" s="667"/>
      <c r="FA17" s="667"/>
      <c r="FB17" s="667"/>
      <c r="FC17" s="667"/>
      <c r="FD17" s="667"/>
      <c r="FE17" s="667"/>
      <c r="FF17" s="667"/>
      <c r="FG17" s="667"/>
      <c r="FH17" s="667"/>
      <c r="FI17" s="667"/>
      <c r="FJ17" s="667"/>
      <c r="FK17" s="667"/>
      <c r="FL17" s="667"/>
      <c r="FM17" s="667"/>
      <c r="FN17" s="667"/>
      <c r="FO17" s="667"/>
      <c r="FP17" s="667"/>
      <c r="FQ17" s="667"/>
      <c r="FR17" s="667"/>
      <c r="FS17" s="667"/>
      <c r="FT17" s="667"/>
      <c r="FU17" s="667"/>
      <c r="FV17" s="667"/>
      <c r="FW17" s="667"/>
      <c r="FX17" s="667"/>
      <c r="FY17" s="667"/>
      <c r="FZ17" s="667"/>
      <c r="GA17" s="667"/>
      <c r="GB17" s="667"/>
      <c r="GC17" s="667"/>
      <c r="GD17" s="667"/>
      <c r="GE17" s="667"/>
      <c r="GF17" s="667"/>
      <c r="GG17" s="667"/>
      <c r="GH17" s="667"/>
      <c r="GI17" s="667"/>
      <c r="GJ17" s="667"/>
      <c r="GK17" s="667"/>
      <c r="GL17" s="667"/>
      <c r="GM17" s="667"/>
      <c r="GN17" s="667"/>
      <c r="GO17" s="667"/>
      <c r="GP17" s="667"/>
      <c r="GQ17" s="667"/>
      <c r="GR17" s="667"/>
      <c r="GS17" s="667"/>
      <c r="GT17" s="667"/>
      <c r="GU17" s="667"/>
      <c r="GV17" s="667"/>
      <c r="GW17" s="667"/>
      <c r="GX17" s="667"/>
      <c r="GY17" s="667"/>
      <c r="GZ17" s="667"/>
      <c r="HA17" s="667"/>
      <c r="HB17" s="667"/>
      <c r="HC17" s="667"/>
      <c r="HD17" s="667"/>
      <c r="HE17" s="667"/>
      <c r="HF17" s="667"/>
      <c r="HG17" s="667"/>
      <c r="HH17" s="667"/>
      <c r="HI17" s="667"/>
      <c r="HJ17" s="667"/>
      <c r="HK17" s="667"/>
      <c r="HL17" s="667"/>
      <c r="HM17" s="667"/>
      <c r="HN17" s="667"/>
      <c r="HO17" s="667"/>
      <c r="HP17" s="667"/>
      <c r="HQ17" s="667"/>
      <c r="HR17" s="667"/>
      <c r="HS17" s="667"/>
      <c r="HT17" s="667"/>
      <c r="HU17" s="667"/>
      <c r="HV17" s="667"/>
      <c r="HW17" s="667"/>
    </row>
    <row r="18" spans="1:231">
      <c r="A18" s="678"/>
      <c r="B18" s="661"/>
      <c r="C18" s="661"/>
      <c r="D18" s="662"/>
      <c r="E18" s="690"/>
      <c r="F18" s="662"/>
      <c r="G18" s="662"/>
      <c r="H18" s="662"/>
      <c r="I18" s="662"/>
      <c r="J18" s="662"/>
      <c r="K18" s="682"/>
      <c r="L18" s="666"/>
      <c r="M18" s="666"/>
      <c r="N18" s="666"/>
      <c r="O18" s="666"/>
      <c r="P18" s="666"/>
      <c r="Q18" s="666"/>
      <c r="R18" s="666"/>
      <c r="S18" s="666"/>
      <c r="T18" s="666"/>
      <c r="U18" s="666"/>
      <c r="V18" s="666"/>
      <c r="W18" s="666"/>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667"/>
      <c r="BE18" s="667"/>
      <c r="BF18" s="667"/>
      <c r="BG18" s="667"/>
      <c r="BH18" s="667"/>
      <c r="BI18" s="667"/>
      <c r="BJ18" s="667"/>
      <c r="BK18" s="667"/>
      <c r="BL18" s="667"/>
      <c r="BM18" s="667"/>
      <c r="BN18" s="667"/>
      <c r="BO18" s="667"/>
      <c r="BP18" s="667"/>
      <c r="BQ18" s="667"/>
      <c r="BR18" s="667"/>
      <c r="BS18" s="667"/>
      <c r="BT18" s="667"/>
      <c r="BU18" s="667"/>
      <c r="BV18" s="667"/>
      <c r="BW18" s="667"/>
      <c r="BX18" s="667"/>
      <c r="BY18" s="667"/>
      <c r="BZ18" s="667"/>
      <c r="CA18" s="667"/>
      <c r="CB18" s="667"/>
      <c r="CC18" s="667"/>
      <c r="CD18" s="667"/>
      <c r="CE18" s="667"/>
      <c r="CF18" s="667"/>
      <c r="CG18" s="667"/>
      <c r="CH18" s="667"/>
      <c r="CI18" s="667"/>
      <c r="CJ18" s="667"/>
      <c r="CK18" s="667"/>
      <c r="CL18" s="667"/>
      <c r="CM18" s="667"/>
      <c r="CN18" s="667"/>
      <c r="CO18" s="667"/>
      <c r="CP18" s="667"/>
      <c r="CQ18" s="667"/>
      <c r="CR18" s="667"/>
      <c r="CS18" s="667"/>
      <c r="CT18" s="667"/>
      <c r="CU18" s="667"/>
      <c r="CV18" s="667"/>
      <c r="CW18" s="667"/>
      <c r="CX18" s="667"/>
      <c r="CY18" s="667"/>
      <c r="CZ18" s="667"/>
      <c r="DA18" s="667"/>
      <c r="DB18" s="667"/>
      <c r="DC18" s="667"/>
      <c r="DD18" s="667"/>
      <c r="DE18" s="667"/>
      <c r="DF18" s="667"/>
      <c r="DG18" s="667"/>
      <c r="DH18" s="667"/>
      <c r="DI18" s="667"/>
      <c r="DJ18" s="667"/>
      <c r="DK18" s="667"/>
      <c r="DL18" s="667"/>
      <c r="DM18" s="667"/>
      <c r="DN18" s="667"/>
      <c r="DO18" s="667"/>
      <c r="DP18" s="667"/>
      <c r="DQ18" s="667"/>
      <c r="DR18" s="667"/>
      <c r="DS18" s="667"/>
      <c r="DT18" s="667"/>
      <c r="DU18" s="667"/>
      <c r="DV18" s="667"/>
      <c r="DW18" s="667"/>
      <c r="DX18" s="667"/>
      <c r="DY18" s="667"/>
      <c r="DZ18" s="667"/>
      <c r="EA18" s="667"/>
      <c r="EB18" s="667"/>
      <c r="EC18" s="667"/>
      <c r="ED18" s="667"/>
      <c r="EE18" s="667"/>
      <c r="EF18" s="667"/>
      <c r="EG18" s="667"/>
      <c r="EH18" s="667"/>
      <c r="EI18" s="667"/>
      <c r="EJ18" s="667"/>
      <c r="EK18" s="667"/>
      <c r="EL18" s="667"/>
      <c r="EM18" s="667"/>
      <c r="EN18" s="667"/>
      <c r="EO18" s="667"/>
      <c r="EP18" s="667"/>
      <c r="EQ18" s="667"/>
      <c r="ER18" s="667"/>
      <c r="ES18" s="667"/>
      <c r="ET18" s="667"/>
      <c r="EU18" s="667"/>
      <c r="EV18" s="667"/>
      <c r="EW18" s="667"/>
      <c r="EX18" s="667"/>
      <c r="EY18" s="667"/>
      <c r="EZ18" s="667"/>
      <c r="FA18" s="667"/>
      <c r="FB18" s="667"/>
      <c r="FC18" s="667"/>
      <c r="FD18" s="667"/>
      <c r="FE18" s="667"/>
      <c r="FF18" s="667"/>
      <c r="FG18" s="667"/>
      <c r="FH18" s="667"/>
      <c r="FI18" s="667"/>
      <c r="FJ18" s="667"/>
      <c r="FK18" s="667"/>
      <c r="FL18" s="667"/>
      <c r="FM18" s="667"/>
      <c r="FN18" s="667"/>
      <c r="FO18" s="667"/>
      <c r="FP18" s="667"/>
      <c r="FQ18" s="667"/>
      <c r="FR18" s="667"/>
      <c r="FS18" s="667"/>
      <c r="FT18" s="667"/>
      <c r="FU18" s="667"/>
      <c r="FV18" s="667"/>
      <c r="FW18" s="667"/>
      <c r="FX18" s="667"/>
      <c r="FY18" s="667"/>
      <c r="FZ18" s="667"/>
      <c r="GA18" s="667"/>
      <c r="GB18" s="667"/>
      <c r="GC18" s="667"/>
      <c r="GD18" s="667"/>
      <c r="GE18" s="667"/>
      <c r="GF18" s="667"/>
      <c r="GG18" s="667"/>
      <c r="GH18" s="667"/>
      <c r="GI18" s="667"/>
      <c r="GJ18" s="667"/>
      <c r="GK18" s="667"/>
      <c r="GL18" s="667"/>
      <c r="GM18" s="667"/>
      <c r="GN18" s="667"/>
      <c r="GO18" s="667"/>
      <c r="GP18" s="667"/>
      <c r="GQ18" s="667"/>
      <c r="GR18" s="667"/>
      <c r="GS18" s="667"/>
      <c r="GT18" s="667"/>
      <c r="GU18" s="667"/>
      <c r="GV18" s="667"/>
      <c r="GW18" s="667"/>
      <c r="GX18" s="667"/>
      <c r="GY18" s="667"/>
      <c r="GZ18" s="667"/>
      <c r="HA18" s="667"/>
      <c r="HB18" s="667"/>
      <c r="HC18" s="667"/>
      <c r="HD18" s="667"/>
      <c r="HE18" s="667"/>
      <c r="HF18" s="667"/>
      <c r="HG18" s="667"/>
      <c r="HH18" s="667"/>
      <c r="HI18" s="667"/>
      <c r="HJ18" s="667"/>
      <c r="HK18" s="667"/>
      <c r="HL18" s="667"/>
      <c r="HM18" s="667"/>
      <c r="HN18" s="667"/>
      <c r="HO18" s="667"/>
      <c r="HP18" s="667"/>
      <c r="HQ18" s="667"/>
      <c r="HR18" s="667"/>
      <c r="HS18" s="667"/>
      <c r="HT18" s="667"/>
      <c r="HU18" s="667"/>
      <c r="HV18" s="667"/>
      <c r="HW18" s="667"/>
    </row>
    <row r="19" spans="1:231" ht="14.1" customHeight="1">
      <c r="A19" s="671" t="s">
        <v>404</v>
      </c>
      <c r="B19" s="661"/>
      <c r="C19" s="661"/>
      <c r="D19" s="662"/>
      <c r="E19" s="690"/>
      <c r="F19" s="662"/>
      <c r="G19" s="662"/>
      <c r="H19" s="662"/>
      <c r="I19" s="662"/>
      <c r="J19" s="662"/>
      <c r="K19" s="714"/>
      <c r="L19" s="667"/>
      <c r="M19" s="667"/>
      <c r="N19" s="667"/>
      <c r="O19" s="666"/>
      <c r="P19" s="666"/>
      <c r="Q19" s="666"/>
      <c r="R19" s="666"/>
      <c r="S19" s="666"/>
      <c r="T19" s="666"/>
      <c r="U19" s="666"/>
      <c r="V19" s="666"/>
      <c r="W19" s="666"/>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7"/>
      <c r="BE19" s="667"/>
      <c r="BF19" s="667"/>
      <c r="BG19" s="667"/>
      <c r="BH19" s="667"/>
      <c r="BI19" s="667"/>
      <c r="BJ19" s="667"/>
      <c r="BK19" s="667"/>
      <c r="BL19" s="667"/>
      <c r="BM19" s="667"/>
      <c r="BN19" s="667"/>
      <c r="BO19" s="667"/>
      <c r="BP19" s="667"/>
      <c r="BQ19" s="667"/>
      <c r="BR19" s="667"/>
      <c r="BS19" s="667"/>
      <c r="BT19" s="667"/>
      <c r="BU19" s="667"/>
      <c r="BV19" s="667"/>
      <c r="BW19" s="667"/>
      <c r="BX19" s="667"/>
      <c r="BY19" s="667"/>
      <c r="BZ19" s="667"/>
      <c r="CA19" s="667"/>
      <c r="CB19" s="667"/>
      <c r="CC19" s="667"/>
      <c r="CD19" s="667"/>
      <c r="CE19" s="667"/>
      <c r="CF19" s="667"/>
      <c r="CG19" s="667"/>
      <c r="CH19" s="667"/>
      <c r="CI19" s="667"/>
      <c r="CJ19" s="667"/>
      <c r="CK19" s="667"/>
      <c r="CL19" s="667"/>
      <c r="CM19" s="667"/>
      <c r="CN19" s="667"/>
      <c r="CO19" s="667"/>
      <c r="CP19" s="667"/>
      <c r="CQ19" s="667"/>
      <c r="CR19" s="667"/>
      <c r="CS19" s="667"/>
      <c r="CT19" s="667"/>
      <c r="CU19" s="667"/>
      <c r="CV19" s="667"/>
      <c r="CW19" s="667"/>
      <c r="CX19" s="667"/>
      <c r="CY19" s="667"/>
      <c r="CZ19" s="667"/>
      <c r="DA19" s="667"/>
      <c r="DB19" s="667"/>
      <c r="DC19" s="667"/>
      <c r="DD19" s="667"/>
      <c r="DE19" s="667"/>
      <c r="DF19" s="667"/>
      <c r="DG19" s="667"/>
      <c r="DH19" s="667"/>
      <c r="DI19" s="667"/>
      <c r="DJ19" s="667"/>
      <c r="DK19" s="667"/>
      <c r="DL19" s="667"/>
      <c r="DM19" s="667"/>
      <c r="DN19" s="667"/>
      <c r="DO19" s="667"/>
      <c r="DP19" s="667"/>
      <c r="DQ19" s="667"/>
      <c r="DR19" s="667"/>
      <c r="DS19" s="667"/>
      <c r="DT19" s="667"/>
      <c r="DU19" s="667"/>
      <c r="DV19" s="667"/>
      <c r="DW19" s="667"/>
      <c r="DX19" s="667"/>
      <c r="DY19" s="667"/>
      <c r="DZ19" s="667"/>
      <c r="EA19" s="667"/>
      <c r="EB19" s="667"/>
      <c r="EC19" s="667"/>
      <c r="ED19" s="667"/>
      <c r="EE19" s="667"/>
      <c r="EF19" s="667"/>
      <c r="EG19" s="667"/>
      <c r="EH19" s="667"/>
      <c r="EI19" s="667"/>
      <c r="EJ19" s="667"/>
      <c r="EK19" s="667"/>
      <c r="EL19" s="667"/>
      <c r="EM19" s="667"/>
      <c r="EN19" s="667"/>
      <c r="EO19" s="667"/>
      <c r="EP19" s="667"/>
      <c r="EQ19" s="667"/>
      <c r="ER19" s="667"/>
      <c r="ES19" s="667"/>
      <c r="ET19" s="667"/>
      <c r="EU19" s="667"/>
      <c r="EV19" s="667"/>
      <c r="EW19" s="667"/>
      <c r="EX19" s="667"/>
      <c r="EY19" s="667"/>
      <c r="EZ19" s="667"/>
      <c r="FA19" s="667"/>
      <c r="FB19" s="667"/>
      <c r="FC19" s="667"/>
      <c r="FD19" s="667"/>
      <c r="FE19" s="667"/>
      <c r="FF19" s="667"/>
      <c r="FG19" s="667"/>
      <c r="FH19" s="667"/>
      <c r="FI19" s="667"/>
      <c r="FJ19" s="667"/>
      <c r="FK19" s="667"/>
      <c r="FL19" s="667"/>
      <c r="FM19" s="667"/>
      <c r="FN19" s="667"/>
      <c r="FO19" s="667"/>
      <c r="FP19" s="667"/>
      <c r="FQ19" s="667"/>
      <c r="FR19" s="667"/>
      <c r="FS19" s="667"/>
      <c r="FT19" s="667"/>
      <c r="FU19" s="667"/>
      <c r="FV19" s="667"/>
      <c r="FW19" s="667"/>
      <c r="FX19" s="667"/>
      <c r="FY19" s="667"/>
      <c r="FZ19" s="667"/>
      <c r="GA19" s="667"/>
      <c r="GB19" s="667"/>
      <c r="GC19" s="667"/>
      <c r="GD19" s="667"/>
      <c r="GE19" s="667"/>
      <c r="GF19" s="667"/>
      <c r="GG19" s="667"/>
      <c r="GH19" s="667"/>
      <c r="GI19" s="667"/>
      <c r="GJ19" s="667"/>
      <c r="GK19" s="667"/>
      <c r="GL19" s="667"/>
      <c r="GM19" s="667"/>
      <c r="GN19" s="667"/>
      <c r="GO19" s="667"/>
      <c r="GP19" s="667"/>
      <c r="GQ19" s="667"/>
      <c r="GR19" s="667"/>
      <c r="GS19" s="667"/>
      <c r="GT19" s="667"/>
      <c r="GU19" s="667"/>
      <c r="GV19" s="667"/>
      <c r="GW19" s="667"/>
      <c r="GX19" s="667"/>
      <c r="GY19" s="667"/>
      <c r="GZ19" s="667"/>
      <c r="HA19" s="667"/>
      <c r="HB19" s="667"/>
      <c r="HC19" s="667"/>
      <c r="HD19" s="667"/>
      <c r="HE19" s="667"/>
      <c r="HF19" s="667"/>
      <c r="HG19" s="667"/>
      <c r="HH19" s="667"/>
      <c r="HI19" s="667"/>
      <c r="HJ19" s="667"/>
      <c r="HK19" s="667"/>
      <c r="HL19" s="667"/>
      <c r="HM19" s="667"/>
      <c r="HN19" s="667"/>
      <c r="HO19" s="667"/>
      <c r="HP19" s="667"/>
      <c r="HQ19" s="667"/>
      <c r="HR19" s="667"/>
      <c r="HS19" s="667"/>
      <c r="HT19" s="667"/>
      <c r="HU19" s="667"/>
      <c r="HV19" s="667"/>
      <c r="HW19" s="667"/>
    </row>
    <row r="20" spans="1:231" ht="15.6" customHeight="1">
      <c r="A20" s="678" t="s">
        <v>422</v>
      </c>
      <c r="B20" s="6">
        <v>4725000</v>
      </c>
      <c r="C20" s="6">
        <f>ROUND(5752559.72,-3)</f>
        <v>5753000</v>
      </c>
      <c r="D20" s="662"/>
      <c r="E20" s="680">
        <f t="shared" ref="E20:E36" si="1">(C20/B20)-1</f>
        <v>0.21756613756613752</v>
      </c>
      <c r="F20" s="681"/>
      <c r="G20" s="662"/>
      <c r="H20" s="662"/>
      <c r="I20" s="662"/>
      <c r="J20" s="662"/>
      <c r="K20" s="714"/>
      <c r="L20" s="667"/>
      <c r="M20" s="667"/>
      <c r="N20" s="667"/>
      <c r="O20" s="666"/>
      <c r="P20" s="666"/>
      <c r="Q20" s="666"/>
      <c r="R20" s="666"/>
      <c r="S20" s="666"/>
      <c r="T20" s="666"/>
      <c r="U20" s="666"/>
      <c r="V20" s="666"/>
      <c r="W20" s="666"/>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7"/>
      <c r="BE20" s="667"/>
      <c r="BF20" s="667"/>
      <c r="BG20" s="667"/>
      <c r="BH20" s="667"/>
      <c r="BI20" s="667"/>
      <c r="BJ20" s="667"/>
      <c r="BK20" s="667"/>
      <c r="BL20" s="667"/>
      <c r="BM20" s="667"/>
      <c r="BN20" s="667"/>
      <c r="BO20" s="667"/>
      <c r="BP20" s="667"/>
      <c r="BQ20" s="667"/>
      <c r="BR20" s="667"/>
      <c r="BS20" s="667"/>
      <c r="BT20" s="667"/>
      <c r="BU20" s="667"/>
      <c r="BV20" s="667"/>
      <c r="BW20" s="667"/>
      <c r="BX20" s="667"/>
      <c r="BY20" s="667"/>
      <c r="BZ20" s="667"/>
      <c r="CA20" s="667"/>
      <c r="CB20" s="667"/>
      <c r="CC20" s="667"/>
      <c r="CD20" s="667"/>
      <c r="CE20" s="667"/>
      <c r="CF20" s="667"/>
      <c r="CG20" s="667"/>
      <c r="CH20" s="667"/>
      <c r="CI20" s="667"/>
      <c r="CJ20" s="667"/>
      <c r="CK20" s="667"/>
      <c r="CL20" s="667"/>
      <c r="CM20" s="667"/>
      <c r="CN20" s="667"/>
      <c r="CO20" s="667"/>
      <c r="CP20" s="667"/>
      <c r="CQ20" s="667"/>
      <c r="CR20" s="667"/>
      <c r="CS20" s="667"/>
      <c r="CT20" s="667"/>
      <c r="CU20" s="667"/>
      <c r="CV20" s="667"/>
      <c r="CW20" s="667"/>
      <c r="CX20" s="667"/>
      <c r="CY20" s="667"/>
      <c r="CZ20" s="667"/>
      <c r="DA20" s="667"/>
      <c r="DB20" s="667"/>
      <c r="DC20" s="667"/>
      <c r="DD20" s="667"/>
      <c r="DE20" s="667"/>
      <c r="DF20" s="667"/>
      <c r="DG20" s="667"/>
      <c r="DH20" s="667"/>
      <c r="DI20" s="667"/>
      <c r="DJ20" s="667"/>
      <c r="DK20" s="667"/>
      <c r="DL20" s="667"/>
      <c r="DM20" s="667"/>
      <c r="DN20" s="667"/>
      <c r="DO20" s="667"/>
      <c r="DP20" s="667"/>
      <c r="DQ20" s="667"/>
      <c r="DR20" s="667"/>
      <c r="DS20" s="667"/>
      <c r="DT20" s="667"/>
      <c r="DU20" s="667"/>
      <c r="DV20" s="667"/>
      <c r="DW20" s="667"/>
      <c r="DX20" s="667"/>
      <c r="DY20" s="667"/>
      <c r="DZ20" s="667"/>
      <c r="EA20" s="667"/>
      <c r="EB20" s="667"/>
      <c r="EC20" s="667"/>
      <c r="ED20" s="667"/>
      <c r="EE20" s="667"/>
      <c r="EF20" s="667"/>
      <c r="EG20" s="667"/>
      <c r="EH20" s="667"/>
      <c r="EI20" s="667"/>
      <c r="EJ20" s="667"/>
      <c r="EK20" s="667"/>
      <c r="EL20" s="667"/>
      <c r="EM20" s="667"/>
      <c r="EN20" s="667"/>
      <c r="EO20" s="667"/>
      <c r="EP20" s="667"/>
      <c r="EQ20" s="667"/>
      <c r="ER20" s="667"/>
      <c r="ES20" s="667"/>
      <c r="ET20" s="667"/>
      <c r="EU20" s="667"/>
      <c r="EV20" s="667"/>
      <c r="EW20" s="667"/>
      <c r="EX20" s="667"/>
      <c r="EY20" s="667"/>
      <c r="EZ20" s="667"/>
      <c r="FA20" s="667"/>
      <c r="FB20" s="667"/>
      <c r="FC20" s="667"/>
      <c r="FD20" s="667"/>
      <c r="FE20" s="667"/>
      <c r="FF20" s="667"/>
      <c r="FG20" s="667"/>
      <c r="FH20" s="667"/>
      <c r="FI20" s="667"/>
      <c r="FJ20" s="667"/>
      <c r="FK20" s="667"/>
      <c r="FL20" s="667"/>
      <c r="FM20" s="667"/>
      <c r="FN20" s="667"/>
      <c r="FO20" s="667"/>
      <c r="FP20" s="667"/>
      <c r="FQ20" s="667"/>
      <c r="FR20" s="667"/>
      <c r="FS20" s="667"/>
      <c r="FT20" s="667"/>
      <c r="FU20" s="667"/>
      <c r="FV20" s="667"/>
      <c r="FW20" s="667"/>
      <c r="FX20" s="667"/>
      <c r="FY20" s="667"/>
      <c r="FZ20" s="667"/>
      <c r="GA20" s="667"/>
      <c r="GB20" s="667"/>
      <c r="GC20" s="667"/>
      <c r="GD20" s="667"/>
      <c r="GE20" s="667"/>
      <c r="GF20" s="667"/>
      <c r="GG20" s="667"/>
      <c r="GH20" s="667"/>
      <c r="GI20" s="667"/>
      <c r="GJ20" s="667"/>
      <c r="GK20" s="667"/>
      <c r="GL20" s="667"/>
      <c r="GM20" s="667"/>
      <c r="GN20" s="667"/>
      <c r="GO20" s="667"/>
      <c r="GP20" s="667"/>
      <c r="GQ20" s="667"/>
      <c r="GR20" s="667"/>
      <c r="GS20" s="667"/>
      <c r="GT20" s="667"/>
      <c r="GU20" s="667"/>
      <c r="GV20" s="667"/>
      <c r="GW20" s="667"/>
      <c r="GX20" s="667"/>
      <c r="GY20" s="667"/>
      <c r="GZ20" s="667"/>
      <c r="HA20" s="667"/>
      <c r="HB20" s="667"/>
      <c r="HC20" s="667"/>
      <c r="HD20" s="667"/>
      <c r="HE20" s="667"/>
      <c r="HF20" s="667"/>
      <c r="HG20" s="667"/>
      <c r="HH20" s="667"/>
      <c r="HI20" s="667"/>
      <c r="HJ20" s="667"/>
      <c r="HK20" s="667"/>
      <c r="HL20" s="667"/>
      <c r="HM20" s="667"/>
      <c r="HN20" s="667"/>
      <c r="HO20" s="667"/>
      <c r="HP20" s="667"/>
      <c r="HQ20" s="667"/>
      <c r="HR20" s="667"/>
      <c r="HS20" s="667"/>
      <c r="HT20" s="667"/>
      <c r="HU20" s="667"/>
      <c r="HV20" s="667"/>
      <c r="HW20" s="667"/>
    </row>
    <row r="21" spans="1:231" ht="15.6" customHeight="1">
      <c r="A21" s="678" t="s">
        <v>423</v>
      </c>
      <c r="B21" s="7">
        <v>173911000</v>
      </c>
      <c r="C21" s="7">
        <f>ROUND(169297002.8,-3)</f>
        <v>169297000</v>
      </c>
      <c r="D21" s="662"/>
      <c r="E21" s="680">
        <f t="shared" si="1"/>
        <v>-2.6530811737037863E-2</v>
      </c>
      <c r="F21" s="681"/>
      <c r="G21" s="662"/>
      <c r="H21" s="662"/>
      <c r="I21" s="662"/>
      <c r="J21" s="662"/>
      <c r="K21" s="715"/>
      <c r="L21" s="667"/>
      <c r="M21" s="716"/>
      <c r="N21" s="667"/>
      <c r="O21" s="666"/>
      <c r="P21" s="666"/>
      <c r="Q21" s="666"/>
      <c r="R21" s="666"/>
      <c r="S21" s="666"/>
      <c r="T21" s="666"/>
      <c r="U21" s="666"/>
      <c r="V21" s="666"/>
      <c r="W21" s="666"/>
      <c r="X21" s="667"/>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667"/>
      <c r="BG21" s="667"/>
      <c r="BH21" s="667"/>
      <c r="BI21" s="667"/>
      <c r="BJ21" s="667"/>
      <c r="BK21" s="667"/>
      <c r="BL21" s="667"/>
      <c r="BM21" s="667"/>
      <c r="BN21" s="667"/>
      <c r="BO21" s="667"/>
      <c r="BP21" s="667"/>
      <c r="BQ21" s="667"/>
      <c r="BR21" s="667"/>
      <c r="BS21" s="667"/>
      <c r="BT21" s="667"/>
      <c r="BU21" s="667"/>
      <c r="BV21" s="667"/>
      <c r="BW21" s="667"/>
      <c r="BX21" s="667"/>
      <c r="BY21" s="667"/>
      <c r="BZ21" s="667"/>
      <c r="CA21" s="667"/>
      <c r="CB21" s="667"/>
      <c r="CC21" s="667"/>
      <c r="CD21" s="667"/>
      <c r="CE21" s="667"/>
      <c r="CF21" s="667"/>
      <c r="CG21" s="667"/>
      <c r="CH21" s="667"/>
      <c r="CI21" s="667"/>
      <c r="CJ21" s="667"/>
      <c r="CK21" s="667"/>
      <c r="CL21" s="667"/>
      <c r="CM21" s="667"/>
      <c r="CN21" s="667"/>
      <c r="CO21" s="667"/>
      <c r="CP21" s="667"/>
      <c r="CQ21" s="667"/>
      <c r="CR21" s="667"/>
      <c r="CS21" s="667"/>
      <c r="CT21" s="667"/>
      <c r="CU21" s="667"/>
      <c r="CV21" s="667"/>
      <c r="CW21" s="667"/>
      <c r="CX21" s="667"/>
      <c r="CY21" s="667"/>
      <c r="CZ21" s="667"/>
      <c r="DA21" s="667"/>
      <c r="DB21" s="667"/>
      <c r="DC21" s="667"/>
      <c r="DD21" s="667"/>
      <c r="DE21" s="667"/>
      <c r="DF21" s="667"/>
      <c r="DG21" s="667"/>
      <c r="DH21" s="667"/>
      <c r="DI21" s="667"/>
      <c r="DJ21" s="667"/>
      <c r="DK21" s="667"/>
      <c r="DL21" s="667"/>
      <c r="DM21" s="667"/>
      <c r="DN21" s="667"/>
      <c r="DO21" s="667"/>
      <c r="DP21" s="667"/>
      <c r="DQ21" s="667"/>
      <c r="DR21" s="667"/>
      <c r="DS21" s="667"/>
      <c r="DT21" s="667"/>
      <c r="DU21" s="667"/>
      <c r="DV21" s="667"/>
      <c r="DW21" s="667"/>
      <c r="DX21" s="667"/>
      <c r="DY21" s="667"/>
      <c r="DZ21" s="667"/>
      <c r="EA21" s="667"/>
      <c r="EB21" s="667"/>
      <c r="EC21" s="667"/>
      <c r="ED21" s="667"/>
      <c r="EE21" s="667"/>
      <c r="EF21" s="667"/>
      <c r="EG21" s="667"/>
      <c r="EH21" s="667"/>
      <c r="EI21" s="667"/>
      <c r="EJ21" s="667"/>
      <c r="EK21" s="667"/>
      <c r="EL21" s="667"/>
      <c r="EM21" s="667"/>
      <c r="EN21" s="667"/>
      <c r="EO21" s="667"/>
      <c r="EP21" s="667"/>
      <c r="EQ21" s="667"/>
      <c r="ER21" s="667"/>
      <c r="ES21" s="667"/>
      <c r="ET21" s="667"/>
      <c r="EU21" s="667"/>
      <c r="EV21" s="667"/>
      <c r="EW21" s="667"/>
      <c r="EX21" s="667"/>
      <c r="EY21" s="667"/>
      <c r="EZ21" s="667"/>
      <c r="FA21" s="667"/>
      <c r="FB21" s="667"/>
      <c r="FC21" s="667"/>
      <c r="FD21" s="667"/>
      <c r="FE21" s="667"/>
      <c r="FF21" s="667"/>
      <c r="FG21" s="667"/>
      <c r="FH21" s="667"/>
      <c r="FI21" s="667"/>
      <c r="FJ21" s="667"/>
      <c r="FK21" s="667"/>
      <c r="FL21" s="667"/>
      <c r="FM21" s="667"/>
      <c r="FN21" s="667"/>
      <c r="FO21" s="667"/>
      <c r="FP21" s="667"/>
      <c r="FQ21" s="667"/>
      <c r="FR21" s="667"/>
      <c r="FS21" s="667"/>
      <c r="FT21" s="667"/>
      <c r="FU21" s="667"/>
      <c r="FV21" s="667"/>
      <c r="FW21" s="667"/>
      <c r="FX21" s="667"/>
      <c r="FY21" s="667"/>
      <c r="FZ21" s="667"/>
      <c r="GA21" s="667"/>
      <c r="GB21" s="667"/>
      <c r="GC21" s="667"/>
      <c r="GD21" s="667"/>
      <c r="GE21" s="667"/>
      <c r="GF21" s="667"/>
      <c r="GG21" s="667"/>
      <c r="GH21" s="667"/>
      <c r="GI21" s="667"/>
      <c r="GJ21" s="667"/>
      <c r="GK21" s="667"/>
      <c r="GL21" s="667"/>
      <c r="GM21" s="667"/>
      <c r="GN21" s="667"/>
      <c r="GO21" s="667"/>
      <c r="GP21" s="667"/>
      <c r="GQ21" s="667"/>
      <c r="GR21" s="667"/>
      <c r="GS21" s="667"/>
      <c r="GT21" s="667"/>
      <c r="GU21" s="667"/>
      <c r="GV21" s="667"/>
      <c r="GW21" s="667"/>
      <c r="GX21" s="667"/>
      <c r="GY21" s="667"/>
      <c r="GZ21" s="667"/>
      <c r="HA21" s="667"/>
      <c r="HB21" s="667"/>
      <c r="HC21" s="667"/>
      <c r="HD21" s="667"/>
      <c r="HE21" s="667"/>
      <c r="HF21" s="667"/>
      <c r="HG21" s="667"/>
      <c r="HH21" s="667"/>
      <c r="HI21" s="667"/>
      <c r="HJ21" s="667"/>
      <c r="HK21" s="667"/>
      <c r="HL21" s="667"/>
      <c r="HM21" s="667"/>
      <c r="HN21" s="667"/>
      <c r="HO21" s="667"/>
      <c r="HP21" s="667"/>
      <c r="HQ21" s="667"/>
      <c r="HR21" s="667"/>
      <c r="HS21" s="667"/>
      <c r="HT21" s="667"/>
      <c r="HU21" s="667"/>
      <c r="HV21" s="667"/>
      <c r="HW21" s="667"/>
    </row>
    <row r="22" spans="1:231" ht="15.6" customHeight="1">
      <c r="A22" s="678" t="s">
        <v>425</v>
      </c>
      <c r="B22" s="7">
        <v>18542000</v>
      </c>
      <c r="C22" s="7">
        <f>ROUND(18576970.89,-3)</f>
        <v>18577000</v>
      </c>
      <c r="D22" s="662"/>
      <c r="E22" s="680">
        <f t="shared" si="1"/>
        <v>1.887606514939133E-3</v>
      </c>
      <c r="F22" s="681"/>
      <c r="G22" s="662"/>
      <c r="H22" s="662"/>
      <c r="I22" s="662"/>
      <c r="J22" s="662"/>
      <c r="K22" s="715"/>
      <c r="L22" s="909"/>
      <c r="M22" s="910"/>
      <c r="N22" s="909"/>
      <c r="O22" s="909"/>
      <c r="P22" s="666"/>
      <c r="Q22" s="666"/>
      <c r="R22" s="666"/>
      <c r="S22" s="666"/>
      <c r="T22" s="666"/>
      <c r="U22" s="666"/>
      <c r="V22" s="666"/>
      <c r="W22" s="666"/>
      <c r="X22" s="667"/>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667"/>
      <c r="BB22" s="667"/>
      <c r="BC22" s="667"/>
      <c r="BD22" s="667"/>
      <c r="BE22" s="667"/>
      <c r="BF22" s="667"/>
      <c r="BG22" s="667"/>
      <c r="BH22" s="667"/>
      <c r="BI22" s="667"/>
      <c r="BJ22" s="667"/>
      <c r="BK22" s="667"/>
      <c r="BL22" s="667"/>
      <c r="BM22" s="667"/>
      <c r="BN22" s="667"/>
      <c r="BO22" s="667"/>
      <c r="BP22" s="667"/>
      <c r="BQ22" s="667"/>
      <c r="BR22" s="667"/>
      <c r="BS22" s="667"/>
      <c r="BT22" s="667"/>
      <c r="BU22" s="667"/>
      <c r="BV22" s="667"/>
      <c r="BW22" s="667"/>
      <c r="BX22" s="667"/>
      <c r="BY22" s="667"/>
      <c r="BZ22" s="667"/>
      <c r="CA22" s="667"/>
      <c r="CB22" s="667"/>
      <c r="CC22" s="667"/>
      <c r="CD22" s="667"/>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7"/>
      <c r="ED22" s="667"/>
      <c r="EE22" s="667"/>
      <c r="EF22" s="667"/>
      <c r="EG22" s="667"/>
      <c r="EH22" s="667"/>
      <c r="EI22" s="667"/>
      <c r="EJ22" s="667"/>
      <c r="EK22" s="667"/>
      <c r="EL22" s="667"/>
      <c r="EM22" s="667"/>
      <c r="EN22" s="667"/>
      <c r="EO22" s="667"/>
      <c r="EP22" s="667"/>
      <c r="EQ22" s="667"/>
      <c r="ER22" s="667"/>
      <c r="ES22" s="667"/>
      <c r="ET22" s="667"/>
      <c r="EU22" s="667"/>
      <c r="EV22" s="667"/>
      <c r="EW22" s="667"/>
      <c r="EX22" s="667"/>
      <c r="EY22" s="667"/>
      <c r="EZ22" s="667"/>
      <c r="FA22" s="667"/>
      <c r="FB22" s="667"/>
      <c r="FC22" s="667"/>
      <c r="FD22" s="667"/>
      <c r="FE22" s="667"/>
      <c r="FF22" s="667"/>
      <c r="FG22" s="667"/>
      <c r="FH22" s="667"/>
      <c r="FI22" s="667"/>
      <c r="FJ22" s="667"/>
      <c r="FK22" s="667"/>
      <c r="FL22" s="667"/>
      <c r="FM22" s="667"/>
      <c r="FN22" s="667"/>
      <c r="FO22" s="667"/>
      <c r="FP22" s="667"/>
      <c r="FQ22" s="667"/>
      <c r="FR22" s="667"/>
      <c r="FS22" s="667"/>
      <c r="FT22" s="667"/>
      <c r="FU22" s="667"/>
      <c r="FV22" s="667"/>
      <c r="FW22" s="667"/>
      <c r="FX22" s="667"/>
      <c r="FY22" s="667"/>
      <c r="FZ22" s="667"/>
      <c r="GA22" s="667"/>
      <c r="GB22" s="667"/>
      <c r="GC22" s="667"/>
      <c r="GD22" s="667"/>
      <c r="GE22" s="667"/>
      <c r="GF22" s="667"/>
      <c r="GG22" s="667"/>
      <c r="GH22" s="667"/>
      <c r="GI22" s="667"/>
      <c r="GJ22" s="667"/>
      <c r="GK22" s="667"/>
      <c r="GL22" s="667"/>
      <c r="GM22" s="667"/>
      <c r="GN22" s="667"/>
      <c r="GO22" s="667"/>
      <c r="GP22" s="667"/>
      <c r="GQ22" s="667"/>
      <c r="GR22" s="667"/>
      <c r="GS22" s="667"/>
      <c r="GT22" s="667"/>
      <c r="GU22" s="667"/>
      <c r="GV22" s="667"/>
      <c r="GW22" s="667"/>
      <c r="GX22" s="667"/>
      <c r="GY22" s="667"/>
      <c r="GZ22" s="667"/>
      <c r="HA22" s="667"/>
      <c r="HB22" s="667"/>
      <c r="HC22" s="667"/>
      <c r="HD22" s="667"/>
      <c r="HE22" s="667"/>
      <c r="HF22" s="667"/>
      <c r="HG22" s="667"/>
      <c r="HH22" s="667"/>
      <c r="HI22" s="667"/>
      <c r="HJ22" s="667"/>
      <c r="HK22" s="667"/>
      <c r="HL22" s="667"/>
      <c r="HM22" s="667"/>
      <c r="HN22" s="667"/>
      <c r="HO22" s="667"/>
      <c r="HP22" s="667"/>
      <c r="HQ22" s="667"/>
      <c r="HR22" s="667"/>
      <c r="HS22" s="667"/>
      <c r="HT22" s="667"/>
      <c r="HU22" s="667"/>
      <c r="HV22" s="667"/>
      <c r="HW22" s="667"/>
    </row>
    <row r="23" spans="1:231" ht="15.6" customHeight="1">
      <c r="A23" s="678" t="s">
        <v>426</v>
      </c>
      <c r="B23" s="691">
        <v>149000</v>
      </c>
      <c r="C23" s="691">
        <f>ROUND(159898.62,-3)</f>
        <v>160000</v>
      </c>
      <c r="D23" s="662"/>
      <c r="E23" s="680">
        <f t="shared" si="1"/>
        <v>7.3825503355704702E-2</v>
      </c>
      <c r="F23" s="681"/>
      <c r="G23" s="662"/>
      <c r="H23" s="662"/>
      <c r="I23" s="662"/>
      <c r="J23" s="662"/>
      <c r="K23" s="715"/>
      <c r="L23" s="909"/>
      <c r="M23" s="910"/>
      <c r="N23" s="909"/>
      <c r="O23" s="909"/>
      <c r="P23" s="666"/>
      <c r="Q23" s="666"/>
      <c r="R23" s="666"/>
      <c r="S23" s="666"/>
      <c r="T23" s="666"/>
      <c r="U23" s="666"/>
      <c r="V23" s="666"/>
      <c r="W23" s="666"/>
      <c r="X23" s="667"/>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c r="BC23" s="667"/>
      <c r="BD23" s="667"/>
      <c r="BE23" s="667"/>
      <c r="BF23" s="667"/>
      <c r="BG23" s="667"/>
      <c r="BH23" s="667"/>
      <c r="BI23" s="667"/>
      <c r="BJ23" s="667"/>
      <c r="BK23" s="667"/>
      <c r="BL23" s="667"/>
      <c r="BM23" s="667"/>
      <c r="BN23" s="667"/>
      <c r="BO23" s="667"/>
      <c r="BP23" s="667"/>
      <c r="BQ23" s="667"/>
      <c r="BR23" s="667"/>
      <c r="BS23" s="667"/>
      <c r="BT23" s="667"/>
      <c r="BU23" s="667"/>
      <c r="BV23" s="667"/>
      <c r="BW23" s="667"/>
      <c r="BX23" s="667"/>
      <c r="BY23" s="667"/>
      <c r="BZ23" s="667"/>
      <c r="CA23" s="667"/>
      <c r="CB23" s="667"/>
      <c r="CC23" s="667"/>
      <c r="CD23" s="667"/>
      <c r="CE23" s="667"/>
      <c r="CF23" s="667"/>
      <c r="CG23" s="667"/>
      <c r="CH23" s="667"/>
      <c r="CI23" s="667"/>
      <c r="CJ23" s="667"/>
      <c r="CK23" s="667"/>
      <c r="CL23" s="667"/>
      <c r="CM23" s="667"/>
      <c r="CN23" s="667"/>
      <c r="CO23" s="667"/>
      <c r="CP23" s="667"/>
      <c r="CQ23" s="667"/>
      <c r="CR23" s="667"/>
      <c r="CS23" s="667"/>
      <c r="CT23" s="667"/>
      <c r="CU23" s="667"/>
      <c r="CV23" s="667"/>
      <c r="CW23" s="667"/>
      <c r="CX23" s="667"/>
      <c r="CY23" s="667"/>
      <c r="CZ23" s="667"/>
      <c r="DA23" s="667"/>
      <c r="DB23" s="667"/>
      <c r="DC23" s="667"/>
      <c r="DD23" s="667"/>
      <c r="DE23" s="667"/>
      <c r="DF23" s="667"/>
      <c r="DG23" s="667"/>
      <c r="DH23" s="667"/>
      <c r="DI23" s="667"/>
      <c r="DJ23" s="667"/>
      <c r="DK23" s="667"/>
      <c r="DL23" s="667"/>
      <c r="DM23" s="667"/>
      <c r="DN23" s="667"/>
      <c r="DO23" s="667"/>
      <c r="DP23" s="667"/>
      <c r="DQ23" s="667"/>
      <c r="DR23" s="667"/>
      <c r="DS23" s="667"/>
      <c r="DT23" s="667"/>
      <c r="DU23" s="667"/>
      <c r="DV23" s="667"/>
      <c r="DW23" s="667"/>
      <c r="DX23" s="667"/>
      <c r="DY23" s="667"/>
      <c r="DZ23" s="667"/>
      <c r="EA23" s="667"/>
      <c r="EB23" s="667"/>
      <c r="EC23" s="667"/>
      <c r="ED23" s="667"/>
      <c r="EE23" s="667"/>
      <c r="EF23" s="667"/>
      <c r="EG23" s="667"/>
      <c r="EH23" s="667"/>
      <c r="EI23" s="667"/>
      <c r="EJ23" s="667"/>
      <c r="EK23" s="667"/>
      <c r="EL23" s="667"/>
      <c r="EM23" s="667"/>
      <c r="EN23" s="667"/>
      <c r="EO23" s="667"/>
      <c r="EP23" s="667"/>
      <c r="EQ23" s="667"/>
      <c r="ER23" s="667"/>
      <c r="ES23" s="667"/>
      <c r="ET23" s="667"/>
      <c r="EU23" s="667"/>
      <c r="EV23" s="667"/>
      <c r="EW23" s="667"/>
      <c r="EX23" s="667"/>
      <c r="EY23" s="667"/>
      <c r="EZ23" s="667"/>
      <c r="FA23" s="667"/>
      <c r="FB23" s="667"/>
      <c r="FC23" s="667"/>
      <c r="FD23" s="667"/>
      <c r="FE23" s="667"/>
      <c r="FF23" s="667"/>
      <c r="FG23" s="667"/>
      <c r="FH23" s="667"/>
      <c r="FI23" s="667"/>
      <c r="FJ23" s="667"/>
      <c r="FK23" s="667"/>
      <c r="FL23" s="667"/>
      <c r="FM23" s="667"/>
      <c r="FN23" s="667"/>
      <c r="FO23" s="667"/>
      <c r="FP23" s="667"/>
      <c r="FQ23" s="667"/>
      <c r="FR23" s="667"/>
      <c r="FS23" s="667"/>
      <c r="FT23" s="667"/>
      <c r="FU23" s="667"/>
      <c r="FV23" s="667"/>
      <c r="FW23" s="667"/>
      <c r="FX23" s="667"/>
      <c r="FY23" s="667"/>
      <c r="FZ23" s="667"/>
      <c r="GA23" s="667"/>
      <c r="GB23" s="667"/>
      <c r="GC23" s="667"/>
      <c r="GD23" s="667"/>
      <c r="GE23" s="667"/>
      <c r="GF23" s="667"/>
      <c r="GG23" s="667"/>
      <c r="GH23" s="667"/>
      <c r="GI23" s="667"/>
      <c r="GJ23" s="667"/>
      <c r="GK23" s="667"/>
      <c r="GL23" s="667"/>
      <c r="GM23" s="667"/>
      <c r="GN23" s="667"/>
      <c r="GO23" s="667"/>
      <c r="GP23" s="667"/>
      <c r="GQ23" s="667"/>
      <c r="GR23" s="667"/>
      <c r="GS23" s="667"/>
      <c r="GT23" s="667"/>
      <c r="GU23" s="667"/>
      <c r="GV23" s="667"/>
      <c r="GW23" s="667"/>
      <c r="GX23" s="667"/>
      <c r="GY23" s="667"/>
      <c r="GZ23" s="667"/>
      <c r="HA23" s="667"/>
      <c r="HB23" s="667"/>
      <c r="HC23" s="667"/>
      <c r="HD23" s="667"/>
      <c r="HE23" s="667"/>
      <c r="HF23" s="667"/>
      <c r="HG23" s="667"/>
      <c r="HH23" s="667"/>
      <c r="HI23" s="667"/>
      <c r="HJ23" s="667"/>
      <c r="HK23" s="667"/>
      <c r="HL23" s="667"/>
      <c r="HM23" s="667"/>
      <c r="HN23" s="667"/>
      <c r="HO23" s="667"/>
      <c r="HP23" s="667"/>
      <c r="HQ23" s="667"/>
      <c r="HR23" s="667"/>
      <c r="HS23" s="667"/>
      <c r="HT23" s="667"/>
      <c r="HU23" s="667"/>
      <c r="HV23" s="667"/>
      <c r="HW23" s="667"/>
    </row>
    <row r="24" spans="1:231" ht="15.6" customHeight="1">
      <c r="A24" s="678" t="s">
        <v>427</v>
      </c>
      <c r="B24" s="691">
        <v>1837000</v>
      </c>
      <c r="C24" s="691">
        <f>ROUND(1609654.13+426051.95, -3)</f>
        <v>2036000</v>
      </c>
      <c r="D24" s="662"/>
      <c r="E24" s="680">
        <f t="shared" si="1"/>
        <v>0.1083287969515514</v>
      </c>
      <c r="F24" s="681"/>
      <c r="G24" s="662"/>
      <c r="H24" s="662"/>
      <c r="I24" s="662"/>
      <c r="J24" s="662"/>
      <c r="K24" s="715"/>
      <c r="L24" s="909"/>
      <c r="M24" s="910"/>
      <c r="N24" s="909"/>
      <c r="O24" s="909"/>
      <c r="P24" s="666"/>
      <c r="Q24" s="666"/>
      <c r="R24" s="666"/>
      <c r="S24" s="666"/>
      <c r="T24" s="666"/>
      <c r="U24" s="666"/>
      <c r="V24" s="666"/>
      <c r="W24" s="666"/>
      <c r="X24" s="667"/>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7"/>
      <c r="AW24" s="667"/>
      <c r="AX24" s="667"/>
      <c r="AY24" s="667"/>
      <c r="AZ24" s="667"/>
      <c r="BA24" s="667"/>
      <c r="BB24" s="667"/>
      <c r="BC24" s="667"/>
      <c r="BD24" s="667"/>
      <c r="BE24" s="667"/>
      <c r="BF24" s="667"/>
      <c r="BG24" s="667"/>
      <c r="BH24" s="667"/>
      <c r="BI24" s="667"/>
      <c r="BJ24" s="667"/>
      <c r="BK24" s="667"/>
      <c r="BL24" s="667"/>
      <c r="BM24" s="667"/>
      <c r="BN24" s="667"/>
      <c r="BO24" s="667"/>
      <c r="BP24" s="667"/>
      <c r="BQ24" s="667"/>
      <c r="BR24" s="667"/>
      <c r="BS24" s="667"/>
      <c r="BT24" s="667"/>
      <c r="BU24" s="667"/>
      <c r="BV24" s="667"/>
      <c r="BW24" s="667"/>
      <c r="BX24" s="667"/>
      <c r="BY24" s="667"/>
      <c r="BZ24" s="667"/>
      <c r="CA24" s="667"/>
      <c r="CB24" s="667"/>
      <c r="CC24" s="667"/>
      <c r="CD24" s="667"/>
      <c r="CE24" s="667"/>
      <c r="CF24" s="667"/>
      <c r="CG24" s="667"/>
      <c r="CH24" s="667"/>
      <c r="CI24" s="667"/>
      <c r="CJ24" s="667"/>
      <c r="CK24" s="667"/>
      <c r="CL24" s="667"/>
      <c r="CM24" s="667"/>
      <c r="CN24" s="667"/>
      <c r="CO24" s="667"/>
      <c r="CP24" s="667"/>
      <c r="CQ24" s="667"/>
      <c r="CR24" s="667"/>
      <c r="CS24" s="667"/>
      <c r="CT24" s="667"/>
      <c r="CU24" s="667"/>
      <c r="CV24" s="667"/>
      <c r="CW24" s="667"/>
      <c r="CX24" s="667"/>
      <c r="CY24" s="667"/>
      <c r="CZ24" s="667"/>
      <c r="DA24" s="667"/>
      <c r="DB24" s="667"/>
      <c r="DC24" s="667"/>
      <c r="DD24" s="667"/>
      <c r="DE24" s="667"/>
      <c r="DF24" s="667"/>
      <c r="DG24" s="667"/>
      <c r="DH24" s="667"/>
      <c r="DI24" s="667"/>
      <c r="DJ24" s="667"/>
      <c r="DK24" s="667"/>
      <c r="DL24" s="667"/>
      <c r="DM24" s="667"/>
      <c r="DN24" s="667"/>
      <c r="DO24" s="667"/>
      <c r="DP24" s="667"/>
      <c r="DQ24" s="667"/>
      <c r="DR24" s="667"/>
      <c r="DS24" s="667"/>
      <c r="DT24" s="667"/>
      <c r="DU24" s="667"/>
      <c r="DV24" s="667"/>
      <c r="DW24" s="667"/>
      <c r="DX24" s="667"/>
      <c r="DY24" s="667"/>
      <c r="DZ24" s="667"/>
      <c r="EA24" s="667"/>
      <c r="EB24" s="667"/>
      <c r="EC24" s="667"/>
      <c r="ED24" s="667"/>
      <c r="EE24" s="667"/>
      <c r="EF24" s="667"/>
      <c r="EG24" s="667"/>
      <c r="EH24" s="667"/>
      <c r="EI24" s="667"/>
      <c r="EJ24" s="667"/>
      <c r="EK24" s="667"/>
      <c r="EL24" s="667"/>
      <c r="EM24" s="667"/>
      <c r="EN24" s="667"/>
      <c r="EO24" s="667"/>
      <c r="EP24" s="667"/>
      <c r="EQ24" s="667"/>
      <c r="ER24" s="667"/>
      <c r="ES24" s="667"/>
      <c r="ET24" s="667"/>
      <c r="EU24" s="667"/>
      <c r="EV24" s="667"/>
      <c r="EW24" s="667"/>
      <c r="EX24" s="667"/>
      <c r="EY24" s="667"/>
      <c r="EZ24" s="667"/>
      <c r="FA24" s="667"/>
      <c r="FB24" s="667"/>
      <c r="FC24" s="667"/>
      <c r="FD24" s="667"/>
      <c r="FE24" s="667"/>
      <c r="FF24" s="667"/>
      <c r="FG24" s="667"/>
      <c r="FH24" s="667"/>
      <c r="FI24" s="667"/>
      <c r="FJ24" s="667"/>
      <c r="FK24" s="667"/>
      <c r="FL24" s="667"/>
      <c r="FM24" s="667"/>
      <c r="FN24" s="667"/>
      <c r="FO24" s="667"/>
      <c r="FP24" s="667"/>
      <c r="FQ24" s="667"/>
      <c r="FR24" s="667"/>
      <c r="FS24" s="667"/>
      <c r="FT24" s="667"/>
      <c r="FU24" s="667"/>
      <c r="FV24" s="667"/>
      <c r="FW24" s="667"/>
      <c r="FX24" s="667"/>
      <c r="FY24" s="667"/>
      <c r="FZ24" s="667"/>
      <c r="GA24" s="667"/>
      <c r="GB24" s="667"/>
      <c r="GC24" s="667"/>
      <c r="GD24" s="667"/>
      <c r="GE24" s="667"/>
      <c r="GF24" s="667"/>
      <c r="GG24" s="667"/>
      <c r="GH24" s="667"/>
      <c r="GI24" s="667"/>
      <c r="GJ24" s="667"/>
      <c r="GK24" s="667"/>
      <c r="GL24" s="667"/>
      <c r="GM24" s="667"/>
      <c r="GN24" s="667"/>
      <c r="GO24" s="667"/>
      <c r="GP24" s="667"/>
      <c r="GQ24" s="667"/>
      <c r="GR24" s="667"/>
      <c r="GS24" s="667"/>
      <c r="GT24" s="667"/>
      <c r="GU24" s="667"/>
      <c r="GV24" s="667"/>
      <c r="GW24" s="667"/>
      <c r="GX24" s="667"/>
      <c r="GY24" s="667"/>
      <c r="GZ24" s="667"/>
      <c r="HA24" s="667"/>
      <c r="HB24" s="667"/>
      <c r="HC24" s="667"/>
      <c r="HD24" s="667"/>
      <c r="HE24" s="667"/>
      <c r="HF24" s="667"/>
      <c r="HG24" s="667"/>
      <c r="HH24" s="667"/>
      <c r="HI24" s="667"/>
      <c r="HJ24" s="667"/>
      <c r="HK24" s="667"/>
      <c r="HL24" s="667"/>
      <c r="HM24" s="667"/>
      <c r="HN24" s="667"/>
      <c r="HO24" s="667"/>
      <c r="HP24" s="667"/>
      <c r="HQ24" s="667"/>
      <c r="HR24" s="667"/>
      <c r="HS24" s="667"/>
      <c r="HT24" s="667"/>
      <c r="HU24" s="667"/>
      <c r="HV24" s="667"/>
      <c r="HW24" s="667"/>
    </row>
    <row r="25" spans="1:231" ht="15.6" customHeight="1">
      <c r="A25" s="678" t="s">
        <v>428</v>
      </c>
      <c r="B25" s="691">
        <v>172000</v>
      </c>
      <c r="C25" s="973">
        <f>ROUND(264911.05,-3)</f>
        <v>265000</v>
      </c>
      <c r="D25" s="974"/>
      <c r="E25" s="975">
        <f t="shared" si="1"/>
        <v>0.54069767441860472</v>
      </c>
      <c r="F25" s="681"/>
      <c r="G25" s="662"/>
      <c r="H25" s="662"/>
      <c r="I25" s="662"/>
      <c r="J25" s="662"/>
      <c r="K25" s="715"/>
      <c r="L25" s="909"/>
      <c r="M25" s="910"/>
      <c r="N25" s="909"/>
      <c r="O25" s="909"/>
      <c r="P25" s="666"/>
      <c r="Q25" s="666"/>
      <c r="R25" s="666"/>
      <c r="S25" s="666"/>
      <c r="T25" s="666"/>
      <c r="U25" s="666"/>
      <c r="V25" s="666"/>
      <c r="W25" s="666"/>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c r="BM25" s="667"/>
      <c r="BN25" s="667"/>
      <c r="BO25" s="667"/>
      <c r="BP25" s="667"/>
      <c r="BQ25" s="667"/>
      <c r="BR25" s="667"/>
      <c r="BS25" s="667"/>
      <c r="BT25" s="667"/>
      <c r="BU25" s="667"/>
      <c r="BV25" s="667"/>
      <c r="BW25" s="667"/>
      <c r="BX25" s="667"/>
      <c r="BY25" s="667"/>
      <c r="BZ25" s="667"/>
      <c r="CA25" s="667"/>
      <c r="CB25" s="667"/>
      <c r="CC25" s="667"/>
      <c r="CD25" s="667"/>
      <c r="CE25" s="667"/>
      <c r="CF25" s="667"/>
      <c r="CG25" s="667"/>
      <c r="CH25" s="667"/>
      <c r="CI25" s="667"/>
      <c r="CJ25" s="667"/>
      <c r="CK25" s="667"/>
      <c r="CL25" s="667"/>
      <c r="CM25" s="667"/>
      <c r="CN25" s="667"/>
      <c r="CO25" s="667"/>
      <c r="CP25" s="667"/>
      <c r="CQ25" s="667"/>
      <c r="CR25" s="667"/>
      <c r="CS25" s="667"/>
      <c r="CT25" s="667"/>
      <c r="CU25" s="667"/>
      <c r="CV25" s="667"/>
      <c r="CW25" s="667"/>
      <c r="CX25" s="667"/>
      <c r="CY25" s="667"/>
      <c r="CZ25" s="667"/>
      <c r="DA25" s="667"/>
      <c r="DB25" s="667"/>
      <c r="DC25" s="667"/>
      <c r="DD25" s="667"/>
      <c r="DE25" s="667"/>
      <c r="DF25" s="667"/>
      <c r="DG25" s="667"/>
      <c r="DH25" s="667"/>
      <c r="DI25" s="667"/>
      <c r="DJ25" s="667"/>
      <c r="DK25" s="667"/>
      <c r="DL25" s="667"/>
      <c r="DM25" s="667"/>
      <c r="DN25" s="667"/>
      <c r="DO25" s="667"/>
      <c r="DP25" s="667"/>
      <c r="DQ25" s="667"/>
      <c r="DR25" s="667"/>
      <c r="DS25" s="667"/>
      <c r="DT25" s="667"/>
      <c r="DU25" s="667"/>
      <c r="DV25" s="667"/>
      <c r="DW25" s="667"/>
      <c r="DX25" s="667"/>
      <c r="DY25" s="667"/>
      <c r="DZ25" s="667"/>
      <c r="EA25" s="667"/>
      <c r="EB25" s="667"/>
      <c r="EC25" s="667"/>
      <c r="ED25" s="667"/>
      <c r="EE25" s="667"/>
      <c r="EF25" s="667"/>
      <c r="EG25" s="667"/>
      <c r="EH25" s="667"/>
      <c r="EI25" s="667"/>
      <c r="EJ25" s="667"/>
      <c r="EK25" s="667"/>
      <c r="EL25" s="667"/>
      <c r="EM25" s="667"/>
      <c r="EN25" s="667"/>
      <c r="EO25" s="667"/>
      <c r="EP25" s="667"/>
      <c r="EQ25" s="667"/>
      <c r="ER25" s="667"/>
      <c r="ES25" s="667"/>
      <c r="ET25" s="667"/>
      <c r="EU25" s="667"/>
      <c r="EV25" s="667"/>
      <c r="EW25" s="667"/>
      <c r="EX25" s="667"/>
      <c r="EY25" s="667"/>
      <c r="EZ25" s="667"/>
      <c r="FA25" s="667"/>
      <c r="FB25" s="667"/>
      <c r="FC25" s="667"/>
      <c r="FD25" s="667"/>
      <c r="FE25" s="667"/>
      <c r="FF25" s="667"/>
      <c r="FG25" s="667"/>
      <c r="FH25" s="667"/>
      <c r="FI25" s="667"/>
      <c r="FJ25" s="667"/>
      <c r="FK25" s="667"/>
      <c r="FL25" s="667"/>
      <c r="FM25" s="667"/>
      <c r="FN25" s="667"/>
      <c r="FO25" s="667"/>
      <c r="FP25" s="667"/>
      <c r="FQ25" s="667"/>
      <c r="FR25" s="667"/>
      <c r="FS25" s="667"/>
      <c r="FT25" s="667"/>
      <c r="FU25" s="667"/>
      <c r="FV25" s="667"/>
      <c r="FW25" s="667"/>
      <c r="FX25" s="667"/>
      <c r="FY25" s="667"/>
      <c r="FZ25" s="667"/>
      <c r="GA25" s="667"/>
      <c r="GB25" s="667"/>
      <c r="GC25" s="667"/>
      <c r="GD25" s="667"/>
      <c r="GE25" s="667"/>
      <c r="GF25" s="667"/>
      <c r="GG25" s="667"/>
      <c r="GH25" s="667"/>
      <c r="GI25" s="667"/>
      <c r="GJ25" s="667"/>
      <c r="GK25" s="667"/>
      <c r="GL25" s="667"/>
      <c r="GM25" s="667"/>
      <c r="GN25" s="667"/>
      <c r="GO25" s="667"/>
      <c r="GP25" s="667"/>
      <c r="GQ25" s="667"/>
      <c r="GR25" s="667"/>
      <c r="GS25" s="667"/>
      <c r="GT25" s="667"/>
      <c r="GU25" s="667"/>
      <c r="GV25" s="667"/>
      <c r="GW25" s="667"/>
      <c r="GX25" s="667"/>
      <c r="GY25" s="667"/>
      <c r="GZ25" s="667"/>
      <c r="HA25" s="667"/>
      <c r="HB25" s="667"/>
      <c r="HC25" s="667"/>
      <c r="HD25" s="667"/>
      <c r="HE25" s="667"/>
      <c r="HF25" s="667"/>
      <c r="HG25" s="667"/>
      <c r="HH25" s="667"/>
      <c r="HI25" s="667"/>
      <c r="HJ25" s="667"/>
      <c r="HK25" s="667"/>
      <c r="HL25" s="667"/>
      <c r="HM25" s="667"/>
      <c r="HN25" s="667"/>
      <c r="HO25" s="667"/>
      <c r="HP25" s="667"/>
      <c r="HQ25" s="667"/>
      <c r="HR25" s="667"/>
      <c r="HS25" s="667"/>
      <c r="HT25" s="667"/>
      <c r="HU25" s="667"/>
      <c r="HV25" s="667"/>
      <c r="HW25" s="667"/>
    </row>
    <row r="26" spans="1:231" ht="15.6" customHeight="1">
      <c r="A26" s="678" t="s">
        <v>429</v>
      </c>
      <c r="B26" s="691">
        <v>596000</v>
      </c>
      <c r="C26" s="973">
        <f>ROUND(894575.84,-3)</f>
        <v>895000</v>
      </c>
      <c r="D26" s="974"/>
      <c r="E26" s="975">
        <f t="shared" si="1"/>
        <v>0.50167785234899331</v>
      </c>
      <c r="F26" s="681"/>
      <c r="G26" s="662"/>
      <c r="H26" s="662"/>
      <c r="I26" s="662"/>
      <c r="J26" s="662"/>
      <c r="K26" s="715"/>
      <c r="L26" s="909"/>
      <c r="M26" s="910"/>
      <c r="N26" s="909"/>
      <c r="O26" s="909"/>
      <c r="P26" s="666"/>
      <c r="Q26" s="666"/>
      <c r="R26" s="666"/>
      <c r="S26" s="666"/>
      <c r="T26" s="666"/>
      <c r="U26" s="666"/>
      <c r="V26" s="666"/>
      <c r="W26" s="666"/>
      <c r="X26" s="667"/>
      <c r="Y26" s="667"/>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7"/>
      <c r="AX26" s="667"/>
      <c r="AY26" s="667"/>
      <c r="AZ26" s="667"/>
      <c r="BA26" s="667"/>
      <c r="BB26" s="667"/>
      <c r="BC26" s="667"/>
      <c r="BD26" s="667"/>
      <c r="BE26" s="667"/>
      <c r="BF26" s="667"/>
      <c r="BG26" s="667"/>
      <c r="BH26" s="667"/>
      <c r="BI26" s="667"/>
      <c r="BJ26" s="667"/>
      <c r="BK26" s="667"/>
      <c r="BL26" s="667"/>
      <c r="BM26" s="667"/>
      <c r="BN26" s="667"/>
      <c r="BO26" s="667"/>
      <c r="BP26" s="667"/>
      <c r="BQ26" s="667"/>
      <c r="BR26" s="667"/>
      <c r="BS26" s="667"/>
      <c r="BT26" s="667"/>
      <c r="BU26" s="667"/>
      <c r="BV26" s="667"/>
      <c r="BW26" s="667"/>
      <c r="BX26" s="667"/>
      <c r="BY26" s="667"/>
      <c r="BZ26" s="667"/>
      <c r="CA26" s="667"/>
      <c r="CB26" s="667"/>
      <c r="CC26" s="667"/>
      <c r="CD26" s="667"/>
      <c r="CE26" s="667"/>
      <c r="CF26" s="667"/>
      <c r="CG26" s="667"/>
      <c r="CH26" s="667"/>
      <c r="CI26" s="667"/>
      <c r="CJ26" s="667"/>
      <c r="CK26" s="667"/>
      <c r="CL26" s="667"/>
      <c r="CM26" s="667"/>
      <c r="CN26" s="667"/>
      <c r="CO26" s="667"/>
      <c r="CP26" s="667"/>
      <c r="CQ26" s="667"/>
      <c r="CR26" s="667"/>
      <c r="CS26" s="667"/>
      <c r="CT26" s="667"/>
      <c r="CU26" s="667"/>
      <c r="CV26" s="667"/>
      <c r="CW26" s="667"/>
      <c r="CX26" s="667"/>
      <c r="CY26" s="667"/>
      <c r="CZ26" s="667"/>
      <c r="DA26" s="667"/>
      <c r="DB26" s="667"/>
      <c r="DC26" s="667"/>
      <c r="DD26" s="667"/>
      <c r="DE26" s="667"/>
      <c r="DF26" s="667"/>
      <c r="DG26" s="667"/>
      <c r="DH26" s="667"/>
      <c r="DI26" s="667"/>
      <c r="DJ26" s="667"/>
      <c r="DK26" s="667"/>
      <c r="DL26" s="667"/>
      <c r="DM26" s="667"/>
      <c r="DN26" s="667"/>
      <c r="DO26" s="667"/>
      <c r="DP26" s="667"/>
      <c r="DQ26" s="667"/>
      <c r="DR26" s="667"/>
      <c r="DS26" s="667"/>
      <c r="DT26" s="667"/>
      <c r="DU26" s="667"/>
      <c r="DV26" s="667"/>
      <c r="DW26" s="667"/>
      <c r="DX26" s="667"/>
      <c r="DY26" s="667"/>
      <c r="DZ26" s="667"/>
      <c r="EA26" s="667"/>
      <c r="EB26" s="667"/>
      <c r="EC26" s="667"/>
      <c r="ED26" s="667"/>
      <c r="EE26" s="667"/>
      <c r="EF26" s="667"/>
      <c r="EG26" s="667"/>
      <c r="EH26" s="667"/>
      <c r="EI26" s="667"/>
      <c r="EJ26" s="667"/>
      <c r="EK26" s="667"/>
      <c r="EL26" s="667"/>
      <c r="EM26" s="667"/>
      <c r="EN26" s="667"/>
      <c r="EO26" s="667"/>
      <c r="EP26" s="667"/>
      <c r="EQ26" s="667"/>
      <c r="ER26" s="667"/>
      <c r="ES26" s="667"/>
      <c r="ET26" s="667"/>
      <c r="EU26" s="667"/>
      <c r="EV26" s="667"/>
      <c r="EW26" s="667"/>
      <c r="EX26" s="667"/>
      <c r="EY26" s="667"/>
      <c r="EZ26" s="667"/>
      <c r="FA26" s="667"/>
      <c r="FB26" s="667"/>
      <c r="FC26" s="667"/>
      <c r="FD26" s="667"/>
      <c r="FE26" s="667"/>
      <c r="FF26" s="667"/>
      <c r="FG26" s="667"/>
      <c r="FH26" s="667"/>
      <c r="FI26" s="667"/>
      <c r="FJ26" s="667"/>
      <c r="FK26" s="667"/>
      <c r="FL26" s="667"/>
      <c r="FM26" s="667"/>
      <c r="FN26" s="667"/>
      <c r="FO26" s="667"/>
      <c r="FP26" s="667"/>
      <c r="FQ26" s="667"/>
      <c r="FR26" s="667"/>
      <c r="FS26" s="667"/>
      <c r="FT26" s="667"/>
      <c r="FU26" s="667"/>
      <c r="FV26" s="667"/>
      <c r="FW26" s="667"/>
      <c r="FX26" s="667"/>
      <c r="FY26" s="667"/>
      <c r="FZ26" s="667"/>
      <c r="GA26" s="667"/>
      <c r="GB26" s="667"/>
      <c r="GC26" s="667"/>
      <c r="GD26" s="667"/>
      <c r="GE26" s="667"/>
      <c r="GF26" s="667"/>
      <c r="GG26" s="667"/>
      <c r="GH26" s="667"/>
      <c r="GI26" s="667"/>
      <c r="GJ26" s="667"/>
      <c r="GK26" s="667"/>
      <c r="GL26" s="667"/>
      <c r="GM26" s="667"/>
      <c r="GN26" s="667"/>
      <c r="GO26" s="667"/>
      <c r="GP26" s="667"/>
      <c r="GQ26" s="667"/>
      <c r="GR26" s="667"/>
      <c r="GS26" s="667"/>
      <c r="GT26" s="667"/>
      <c r="GU26" s="667"/>
      <c r="GV26" s="667"/>
      <c r="GW26" s="667"/>
      <c r="GX26" s="667"/>
      <c r="GY26" s="667"/>
      <c r="GZ26" s="667"/>
      <c r="HA26" s="667"/>
      <c r="HB26" s="667"/>
      <c r="HC26" s="667"/>
      <c r="HD26" s="667"/>
      <c r="HE26" s="667"/>
      <c r="HF26" s="667"/>
      <c r="HG26" s="667"/>
      <c r="HH26" s="667"/>
      <c r="HI26" s="667"/>
      <c r="HJ26" s="667"/>
      <c r="HK26" s="667"/>
      <c r="HL26" s="667"/>
      <c r="HM26" s="667"/>
      <c r="HN26" s="667"/>
      <c r="HO26" s="667"/>
      <c r="HP26" s="667"/>
      <c r="HQ26" s="667"/>
      <c r="HR26" s="667"/>
      <c r="HS26" s="667"/>
      <c r="HT26" s="667"/>
      <c r="HU26" s="667"/>
      <c r="HV26" s="667"/>
      <c r="HW26" s="667"/>
    </row>
    <row r="27" spans="1:231" ht="15.6" customHeight="1">
      <c r="A27" s="678" t="s">
        <v>424</v>
      </c>
      <c r="B27" s="691">
        <v>503070000</v>
      </c>
      <c r="C27" s="691">
        <f>ROUND(521180389.66,-3)</f>
        <v>521180000</v>
      </c>
      <c r="D27" s="662"/>
      <c r="E27" s="680">
        <f t="shared" si="1"/>
        <v>3.5998966346631578E-2</v>
      </c>
      <c r="F27" s="681"/>
      <c r="G27" s="662"/>
      <c r="H27" s="662"/>
      <c r="I27" s="662"/>
      <c r="J27" s="662"/>
      <c r="K27" s="715"/>
      <c r="L27" s="950"/>
      <c r="M27" s="951"/>
      <c r="N27" s="950"/>
      <c r="O27" s="950"/>
      <c r="P27" s="666"/>
      <c r="Q27" s="666"/>
      <c r="R27" s="666"/>
      <c r="S27" s="666"/>
      <c r="T27" s="666"/>
      <c r="U27" s="666"/>
      <c r="V27" s="666"/>
      <c r="W27" s="666"/>
      <c r="X27" s="667"/>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667"/>
      <c r="BG27" s="667"/>
      <c r="BH27" s="667"/>
      <c r="BI27" s="667"/>
      <c r="BJ27" s="667"/>
      <c r="BK27" s="667"/>
      <c r="BL27" s="667"/>
      <c r="BM27" s="667"/>
      <c r="BN27" s="667"/>
      <c r="BO27" s="667"/>
      <c r="BP27" s="667"/>
      <c r="BQ27" s="667"/>
      <c r="BR27" s="667"/>
      <c r="BS27" s="667"/>
      <c r="BT27" s="667"/>
      <c r="BU27" s="667"/>
      <c r="BV27" s="667"/>
      <c r="BW27" s="667"/>
      <c r="BX27" s="667"/>
      <c r="BY27" s="667"/>
      <c r="BZ27" s="667"/>
      <c r="CA27" s="667"/>
      <c r="CB27" s="667"/>
      <c r="CC27" s="667"/>
      <c r="CD27" s="667"/>
      <c r="CE27" s="667"/>
      <c r="CF27" s="667"/>
      <c r="CG27" s="667"/>
      <c r="CH27" s="667"/>
      <c r="CI27" s="667"/>
      <c r="CJ27" s="667"/>
      <c r="CK27" s="667"/>
      <c r="CL27" s="667"/>
      <c r="CM27" s="667"/>
      <c r="CN27" s="667"/>
      <c r="CO27" s="667"/>
      <c r="CP27" s="667"/>
      <c r="CQ27" s="667"/>
      <c r="CR27" s="667"/>
      <c r="CS27" s="667"/>
      <c r="CT27" s="667"/>
      <c r="CU27" s="667"/>
      <c r="CV27" s="667"/>
      <c r="CW27" s="667"/>
      <c r="CX27" s="667"/>
      <c r="CY27" s="667"/>
      <c r="CZ27" s="667"/>
      <c r="DA27" s="667"/>
      <c r="DB27" s="667"/>
      <c r="DC27" s="667"/>
      <c r="DD27" s="667"/>
      <c r="DE27" s="667"/>
      <c r="DF27" s="667"/>
      <c r="DG27" s="667"/>
      <c r="DH27" s="667"/>
      <c r="DI27" s="667"/>
      <c r="DJ27" s="667"/>
      <c r="DK27" s="667"/>
      <c r="DL27" s="667"/>
      <c r="DM27" s="667"/>
      <c r="DN27" s="667"/>
      <c r="DO27" s="667"/>
      <c r="DP27" s="667"/>
      <c r="DQ27" s="667"/>
      <c r="DR27" s="667"/>
      <c r="DS27" s="667"/>
      <c r="DT27" s="667"/>
      <c r="DU27" s="667"/>
      <c r="DV27" s="667"/>
      <c r="DW27" s="667"/>
      <c r="DX27" s="667"/>
      <c r="DY27" s="667"/>
      <c r="DZ27" s="667"/>
      <c r="EA27" s="667"/>
      <c r="EB27" s="667"/>
      <c r="EC27" s="667"/>
      <c r="ED27" s="667"/>
      <c r="EE27" s="667"/>
      <c r="EF27" s="667"/>
      <c r="EG27" s="667"/>
      <c r="EH27" s="667"/>
      <c r="EI27" s="667"/>
      <c r="EJ27" s="667"/>
      <c r="EK27" s="667"/>
      <c r="EL27" s="667"/>
      <c r="EM27" s="667"/>
      <c r="EN27" s="667"/>
      <c r="EO27" s="667"/>
      <c r="EP27" s="667"/>
      <c r="EQ27" s="667"/>
      <c r="ER27" s="667"/>
      <c r="ES27" s="667"/>
      <c r="ET27" s="667"/>
      <c r="EU27" s="667"/>
      <c r="EV27" s="667"/>
      <c r="EW27" s="667"/>
      <c r="EX27" s="667"/>
      <c r="EY27" s="667"/>
      <c r="EZ27" s="667"/>
      <c r="FA27" s="667"/>
      <c r="FB27" s="667"/>
      <c r="FC27" s="667"/>
      <c r="FD27" s="667"/>
      <c r="FE27" s="667"/>
      <c r="FF27" s="667"/>
      <c r="FG27" s="667"/>
      <c r="FH27" s="667"/>
      <c r="FI27" s="667"/>
      <c r="FJ27" s="667"/>
      <c r="FK27" s="667"/>
      <c r="FL27" s="667"/>
      <c r="FM27" s="667"/>
      <c r="FN27" s="667"/>
      <c r="FO27" s="667"/>
      <c r="FP27" s="667"/>
      <c r="FQ27" s="667"/>
      <c r="FR27" s="667"/>
      <c r="FS27" s="667"/>
      <c r="FT27" s="667"/>
      <c r="FU27" s="667"/>
      <c r="FV27" s="667"/>
      <c r="FW27" s="667"/>
      <c r="FX27" s="667"/>
      <c r="FY27" s="667"/>
      <c r="FZ27" s="667"/>
      <c r="GA27" s="667"/>
      <c r="GB27" s="667"/>
      <c r="GC27" s="667"/>
      <c r="GD27" s="667"/>
      <c r="GE27" s="667"/>
      <c r="GF27" s="667"/>
      <c r="GG27" s="667"/>
      <c r="GH27" s="667"/>
      <c r="GI27" s="667"/>
      <c r="GJ27" s="667"/>
      <c r="GK27" s="667"/>
      <c r="GL27" s="667"/>
      <c r="GM27" s="667"/>
      <c r="GN27" s="667"/>
      <c r="GO27" s="667"/>
      <c r="GP27" s="667"/>
      <c r="GQ27" s="667"/>
      <c r="GR27" s="667"/>
      <c r="GS27" s="667"/>
      <c r="GT27" s="667"/>
      <c r="GU27" s="667"/>
      <c r="GV27" s="667"/>
      <c r="GW27" s="667"/>
      <c r="GX27" s="667"/>
      <c r="GY27" s="667"/>
      <c r="GZ27" s="667"/>
      <c r="HA27" s="667"/>
      <c r="HB27" s="667"/>
      <c r="HC27" s="667"/>
      <c r="HD27" s="667"/>
      <c r="HE27" s="667"/>
      <c r="HF27" s="667"/>
      <c r="HG27" s="667"/>
      <c r="HH27" s="667"/>
      <c r="HI27" s="667"/>
      <c r="HJ27" s="667"/>
      <c r="HK27" s="667"/>
      <c r="HL27" s="667"/>
      <c r="HM27" s="667"/>
      <c r="HN27" s="667"/>
      <c r="HO27" s="667"/>
      <c r="HP27" s="667"/>
      <c r="HQ27" s="667"/>
      <c r="HR27" s="667"/>
      <c r="HS27" s="667"/>
      <c r="HT27" s="667"/>
      <c r="HU27" s="667"/>
      <c r="HV27" s="667"/>
      <c r="HW27" s="667"/>
    </row>
    <row r="28" spans="1:231" ht="15.6" customHeight="1">
      <c r="A28" s="664" t="s">
        <v>430</v>
      </c>
      <c r="B28" s="691">
        <v>3412000</v>
      </c>
      <c r="C28" s="691">
        <f>ROUND(2543872.57,-3)</f>
        <v>2544000</v>
      </c>
      <c r="D28" s="662"/>
      <c r="E28" s="680">
        <f t="shared" si="1"/>
        <v>-0.25439624853458387</v>
      </c>
      <c r="F28" s="681"/>
      <c r="G28" s="662"/>
      <c r="H28" s="662"/>
      <c r="I28" s="662"/>
      <c r="J28" s="662"/>
      <c r="K28" s="715"/>
      <c r="L28" s="1041" t="s">
        <v>3</v>
      </c>
      <c r="M28" s="1041"/>
      <c r="N28" s="1046">
        <f>C13</f>
        <v>3219798000</v>
      </c>
      <c r="O28" s="1047">
        <f>N28/SUM($N$28:$N$31)</f>
        <v>0.19445359399963111</v>
      </c>
      <c r="P28" s="666"/>
      <c r="Q28" s="666"/>
      <c r="R28" s="666"/>
      <c r="S28" s="666"/>
      <c r="T28" s="666"/>
      <c r="U28" s="666"/>
      <c r="V28" s="666"/>
      <c r="W28" s="666"/>
      <c r="X28" s="667"/>
      <c r="Y28" s="667"/>
      <c r="Z28" s="667"/>
      <c r="AA28" s="667"/>
      <c r="AB28" s="667"/>
      <c r="AC28" s="667"/>
      <c r="AD28" s="667"/>
      <c r="AE28" s="667"/>
      <c r="AF28" s="667"/>
      <c r="AG28" s="667"/>
      <c r="AH28" s="667"/>
      <c r="AI28" s="667"/>
      <c r="AJ28" s="667"/>
      <c r="AK28" s="667"/>
      <c r="AL28" s="667"/>
      <c r="AM28" s="667"/>
      <c r="AN28" s="667"/>
      <c r="AO28" s="667"/>
      <c r="AP28" s="667"/>
      <c r="AQ28" s="667"/>
      <c r="AR28" s="667"/>
      <c r="AS28" s="667"/>
      <c r="AT28" s="667"/>
      <c r="AU28" s="667"/>
      <c r="AV28" s="667"/>
      <c r="AW28" s="667"/>
      <c r="AX28" s="667"/>
      <c r="AY28" s="667"/>
      <c r="AZ28" s="667"/>
      <c r="BA28" s="667"/>
      <c r="BB28" s="667"/>
      <c r="BC28" s="667"/>
      <c r="BD28" s="667"/>
      <c r="BE28" s="667"/>
      <c r="BF28" s="667"/>
      <c r="BG28" s="667"/>
      <c r="BH28" s="667"/>
      <c r="BI28" s="667"/>
      <c r="BJ28" s="667"/>
      <c r="BK28" s="667"/>
      <c r="BL28" s="667"/>
      <c r="BM28" s="667"/>
      <c r="BN28" s="667"/>
      <c r="BO28" s="667"/>
      <c r="BP28" s="667"/>
      <c r="BQ28" s="667"/>
      <c r="BR28" s="667"/>
      <c r="BS28" s="667"/>
      <c r="BT28" s="667"/>
      <c r="BU28" s="667"/>
      <c r="BV28" s="667"/>
      <c r="BW28" s="667"/>
      <c r="BX28" s="667"/>
      <c r="BY28" s="667"/>
      <c r="BZ28" s="667"/>
      <c r="CA28" s="667"/>
      <c r="CB28" s="667"/>
      <c r="CC28" s="667"/>
      <c r="CD28" s="667"/>
      <c r="CE28" s="667"/>
      <c r="CF28" s="667"/>
      <c r="CG28" s="667"/>
      <c r="CH28" s="667"/>
      <c r="CI28" s="667"/>
      <c r="CJ28" s="667"/>
      <c r="CK28" s="667"/>
      <c r="CL28" s="667"/>
      <c r="CM28" s="667"/>
      <c r="CN28" s="667"/>
      <c r="CO28" s="667"/>
      <c r="CP28" s="667"/>
      <c r="CQ28" s="667"/>
      <c r="CR28" s="667"/>
      <c r="CS28" s="667"/>
      <c r="CT28" s="667"/>
      <c r="CU28" s="667"/>
      <c r="CV28" s="667"/>
      <c r="CW28" s="667"/>
      <c r="CX28" s="667"/>
      <c r="CY28" s="667"/>
      <c r="CZ28" s="667"/>
      <c r="DA28" s="667"/>
      <c r="DB28" s="667"/>
      <c r="DC28" s="667"/>
      <c r="DD28" s="667"/>
      <c r="DE28" s="667"/>
      <c r="DF28" s="667"/>
      <c r="DG28" s="667"/>
      <c r="DH28" s="667"/>
      <c r="DI28" s="667"/>
      <c r="DJ28" s="667"/>
      <c r="DK28" s="667"/>
      <c r="DL28" s="667"/>
      <c r="DM28" s="667"/>
      <c r="DN28" s="667"/>
      <c r="DO28" s="667"/>
      <c r="DP28" s="667"/>
      <c r="DQ28" s="667"/>
      <c r="DR28" s="667"/>
      <c r="DS28" s="667"/>
      <c r="DT28" s="667"/>
      <c r="DU28" s="667"/>
      <c r="DV28" s="667"/>
      <c r="DW28" s="667"/>
      <c r="DX28" s="667"/>
      <c r="DY28" s="667"/>
      <c r="DZ28" s="667"/>
      <c r="EA28" s="667"/>
      <c r="EB28" s="667"/>
      <c r="EC28" s="667"/>
      <c r="ED28" s="667"/>
      <c r="EE28" s="667"/>
      <c r="EF28" s="667"/>
      <c r="EG28" s="667"/>
      <c r="EH28" s="667"/>
      <c r="EI28" s="667"/>
      <c r="EJ28" s="667"/>
      <c r="EK28" s="667"/>
      <c r="EL28" s="667"/>
      <c r="EM28" s="667"/>
      <c r="EN28" s="667"/>
      <c r="EO28" s="667"/>
      <c r="EP28" s="667"/>
      <c r="EQ28" s="667"/>
      <c r="ER28" s="667"/>
      <c r="ES28" s="667"/>
      <c r="ET28" s="667"/>
      <c r="EU28" s="667"/>
      <c r="EV28" s="667"/>
      <c r="EW28" s="667"/>
      <c r="EX28" s="667"/>
      <c r="EY28" s="667"/>
      <c r="EZ28" s="667"/>
      <c r="FA28" s="667"/>
      <c r="FB28" s="667"/>
      <c r="FC28" s="667"/>
      <c r="FD28" s="667"/>
      <c r="FE28" s="667"/>
      <c r="FF28" s="667"/>
      <c r="FG28" s="667"/>
      <c r="FH28" s="667"/>
      <c r="FI28" s="667"/>
      <c r="FJ28" s="667"/>
      <c r="FK28" s="667"/>
      <c r="FL28" s="667"/>
      <c r="FM28" s="667"/>
      <c r="FN28" s="667"/>
      <c r="FO28" s="667"/>
      <c r="FP28" s="667"/>
      <c r="FQ28" s="667"/>
      <c r="FR28" s="667"/>
      <c r="FS28" s="667"/>
      <c r="FT28" s="667"/>
      <c r="FU28" s="667"/>
      <c r="FV28" s="667"/>
      <c r="FW28" s="667"/>
      <c r="FX28" s="667"/>
      <c r="FY28" s="667"/>
      <c r="FZ28" s="667"/>
      <c r="GA28" s="667"/>
      <c r="GB28" s="667"/>
      <c r="GC28" s="667"/>
      <c r="GD28" s="667"/>
      <c r="GE28" s="667"/>
      <c r="GF28" s="667"/>
      <c r="GG28" s="667"/>
      <c r="GH28" s="667"/>
      <c r="GI28" s="667"/>
      <c r="GJ28" s="667"/>
      <c r="GK28" s="667"/>
      <c r="GL28" s="667"/>
      <c r="GM28" s="667"/>
      <c r="GN28" s="667"/>
      <c r="GO28" s="667"/>
      <c r="GP28" s="667"/>
      <c r="GQ28" s="667"/>
      <c r="GR28" s="667"/>
      <c r="GS28" s="667"/>
      <c r="GT28" s="667"/>
      <c r="GU28" s="667"/>
      <c r="GV28" s="667"/>
      <c r="GW28" s="667"/>
      <c r="GX28" s="667"/>
      <c r="GY28" s="667"/>
      <c r="GZ28" s="667"/>
      <c r="HA28" s="667"/>
      <c r="HB28" s="667"/>
      <c r="HC28" s="667"/>
      <c r="HD28" s="667"/>
      <c r="HE28" s="667"/>
      <c r="HF28" s="667"/>
      <c r="HG28" s="667"/>
      <c r="HH28" s="667"/>
      <c r="HI28" s="667"/>
      <c r="HJ28" s="667"/>
      <c r="HK28" s="667"/>
      <c r="HL28" s="667"/>
      <c r="HM28" s="667"/>
      <c r="HN28" s="667"/>
      <c r="HO28" s="667"/>
      <c r="HP28" s="667"/>
      <c r="HQ28" s="667"/>
      <c r="HR28" s="667"/>
      <c r="HS28" s="667"/>
      <c r="HT28" s="667"/>
      <c r="HU28" s="667"/>
      <c r="HV28" s="667"/>
      <c r="HW28" s="667"/>
    </row>
    <row r="29" spans="1:231" ht="15.6" customHeight="1">
      <c r="A29" s="664" t="s">
        <v>432</v>
      </c>
      <c r="B29" s="661">
        <v>78351000</v>
      </c>
      <c r="C29" s="661">
        <f>ROUND(79820047.63,-3)</f>
        <v>79820000</v>
      </c>
      <c r="D29" s="662"/>
      <c r="E29" s="680">
        <f t="shared" si="1"/>
        <v>1.8748962999834085E-2</v>
      </c>
      <c r="F29" s="681"/>
      <c r="G29" s="662"/>
      <c r="H29" s="662"/>
      <c r="I29" s="662"/>
      <c r="J29" s="662"/>
      <c r="K29" s="715"/>
      <c r="L29" s="1041" t="s">
        <v>4</v>
      </c>
      <c r="M29" s="1041"/>
      <c r="N29" s="1046">
        <f>C9</f>
        <v>11339965000</v>
      </c>
      <c r="O29" s="1047">
        <f>N29/SUM($N$28:$N$31)</f>
        <v>0.68485568041225786</v>
      </c>
      <c r="P29" s="666"/>
      <c r="Q29" s="666"/>
      <c r="R29" s="666"/>
      <c r="S29" s="666"/>
      <c r="T29" s="666"/>
      <c r="U29" s="666"/>
      <c r="V29" s="666"/>
      <c r="W29" s="666"/>
      <c r="X29" s="667"/>
      <c r="Y29" s="667"/>
      <c r="Z29" s="667"/>
      <c r="AA29" s="667"/>
      <c r="AB29" s="667"/>
      <c r="AC29" s="667"/>
      <c r="AD29" s="667"/>
      <c r="AE29" s="667"/>
      <c r="AF29" s="667"/>
      <c r="AG29" s="667"/>
      <c r="AH29" s="667"/>
      <c r="AI29" s="667"/>
      <c r="AJ29" s="667"/>
      <c r="AK29" s="667"/>
      <c r="AL29" s="667"/>
      <c r="AM29" s="667"/>
      <c r="AN29" s="667"/>
      <c r="AO29" s="667"/>
      <c r="AP29" s="667"/>
      <c r="AQ29" s="667"/>
      <c r="AR29" s="667"/>
      <c r="AS29" s="667"/>
      <c r="AT29" s="667"/>
      <c r="AU29" s="667"/>
      <c r="AV29" s="667"/>
      <c r="AW29" s="667"/>
      <c r="AX29" s="667"/>
      <c r="AY29" s="667"/>
      <c r="AZ29" s="667"/>
      <c r="BA29" s="667"/>
      <c r="BB29" s="667"/>
      <c r="BC29" s="667"/>
      <c r="BD29" s="667"/>
      <c r="BE29" s="667"/>
      <c r="BF29" s="667"/>
      <c r="BG29" s="667"/>
      <c r="BH29" s="667"/>
      <c r="BI29" s="667"/>
      <c r="BJ29" s="667"/>
      <c r="BK29" s="667"/>
      <c r="BL29" s="667"/>
      <c r="BM29" s="667"/>
      <c r="BN29" s="667"/>
      <c r="BO29" s="667"/>
      <c r="BP29" s="667"/>
      <c r="BQ29" s="667"/>
      <c r="BR29" s="667"/>
      <c r="BS29" s="667"/>
      <c r="BT29" s="667"/>
      <c r="BU29" s="667"/>
      <c r="BV29" s="667"/>
      <c r="BW29" s="667"/>
      <c r="BX29" s="667"/>
      <c r="BY29" s="667"/>
      <c r="BZ29" s="667"/>
      <c r="CA29" s="667"/>
      <c r="CB29" s="667"/>
      <c r="CC29" s="667"/>
      <c r="CD29" s="667"/>
      <c r="CE29" s="667"/>
      <c r="CF29" s="667"/>
      <c r="CG29" s="667"/>
      <c r="CH29" s="667"/>
      <c r="CI29" s="667"/>
      <c r="CJ29" s="667"/>
      <c r="CK29" s="667"/>
      <c r="CL29" s="667"/>
      <c r="CM29" s="667"/>
      <c r="CN29" s="667"/>
      <c r="CO29" s="667"/>
      <c r="CP29" s="667"/>
      <c r="CQ29" s="667"/>
      <c r="CR29" s="667"/>
      <c r="CS29" s="667"/>
      <c r="CT29" s="667"/>
      <c r="CU29" s="667"/>
      <c r="CV29" s="667"/>
      <c r="CW29" s="667"/>
      <c r="CX29" s="667"/>
      <c r="CY29" s="667"/>
      <c r="CZ29" s="667"/>
      <c r="DA29" s="667"/>
      <c r="DB29" s="667"/>
      <c r="DC29" s="667"/>
      <c r="DD29" s="667"/>
      <c r="DE29" s="667"/>
      <c r="DF29" s="667"/>
      <c r="DG29" s="667"/>
      <c r="DH29" s="667"/>
      <c r="DI29" s="667"/>
      <c r="DJ29" s="667"/>
      <c r="DK29" s="667"/>
      <c r="DL29" s="667"/>
      <c r="DM29" s="667"/>
      <c r="DN29" s="667"/>
      <c r="DO29" s="667"/>
      <c r="DP29" s="667"/>
      <c r="DQ29" s="667"/>
      <c r="DR29" s="667"/>
      <c r="DS29" s="667"/>
      <c r="DT29" s="667"/>
      <c r="DU29" s="667"/>
      <c r="DV29" s="667"/>
      <c r="DW29" s="667"/>
      <c r="DX29" s="667"/>
      <c r="DY29" s="667"/>
      <c r="DZ29" s="667"/>
      <c r="EA29" s="667"/>
      <c r="EB29" s="667"/>
      <c r="EC29" s="667"/>
      <c r="ED29" s="667"/>
      <c r="EE29" s="667"/>
      <c r="EF29" s="667"/>
      <c r="EG29" s="667"/>
      <c r="EH29" s="667"/>
      <c r="EI29" s="667"/>
      <c r="EJ29" s="667"/>
      <c r="EK29" s="667"/>
      <c r="EL29" s="667"/>
      <c r="EM29" s="667"/>
      <c r="EN29" s="667"/>
      <c r="EO29" s="667"/>
      <c r="EP29" s="667"/>
      <c r="EQ29" s="667"/>
      <c r="ER29" s="667"/>
      <c r="ES29" s="667"/>
      <c r="ET29" s="667"/>
      <c r="EU29" s="667"/>
      <c r="EV29" s="667"/>
      <c r="EW29" s="667"/>
      <c r="EX29" s="667"/>
      <c r="EY29" s="667"/>
      <c r="EZ29" s="667"/>
      <c r="FA29" s="667"/>
      <c r="FB29" s="667"/>
      <c r="FC29" s="667"/>
      <c r="FD29" s="667"/>
      <c r="FE29" s="667"/>
      <c r="FF29" s="667"/>
      <c r="FG29" s="667"/>
      <c r="FH29" s="667"/>
      <c r="FI29" s="667"/>
      <c r="FJ29" s="667"/>
      <c r="FK29" s="667"/>
      <c r="FL29" s="667"/>
      <c r="FM29" s="667"/>
      <c r="FN29" s="667"/>
      <c r="FO29" s="667"/>
      <c r="FP29" s="667"/>
      <c r="FQ29" s="667"/>
      <c r="FR29" s="667"/>
      <c r="FS29" s="667"/>
      <c r="FT29" s="667"/>
      <c r="FU29" s="667"/>
      <c r="FV29" s="667"/>
      <c r="FW29" s="667"/>
      <c r="FX29" s="667"/>
      <c r="FY29" s="667"/>
      <c r="FZ29" s="667"/>
      <c r="GA29" s="667"/>
      <c r="GB29" s="667"/>
      <c r="GC29" s="667"/>
      <c r="GD29" s="667"/>
      <c r="GE29" s="667"/>
      <c r="GF29" s="667"/>
      <c r="GG29" s="667"/>
      <c r="GH29" s="667"/>
      <c r="GI29" s="667"/>
      <c r="GJ29" s="667"/>
      <c r="GK29" s="667"/>
      <c r="GL29" s="667"/>
      <c r="GM29" s="667"/>
      <c r="GN29" s="667"/>
      <c r="GO29" s="667"/>
      <c r="GP29" s="667"/>
      <c r="GQ29" s="667"/>
      <c r="GR29" s="667"/>
      <c r="GS29" s="667"/>
      <c r="GT29" s="667"/>
      <c r="GU29" s="667"/>
      <c r="GV29" s="667"/>
      <c r="GW29" s="667"/>
      <c r="GX29" s="667"/>
      <c r="GY29" s="667"/>
      <c r="GZ29" s="667"/>
      <c r="HA29" s="667"/>
      <c r="HB29" s="667"/>
      <c r="HC29" s="667"/>
      <c r="HD29" s="667"/>
      <c r="HE29" s="667"/>
      <c r="HF29" s="667"/>
      <c r="HG29" s="667"/>
      <c r="HH29" s="667"/>
      <c r="HI29" s="667"/>
      <c r="HJ29" s="667"/>
      <c r="HK29" s="667"/>
      <c r="HL29" s="667"/>
      <c r="HM29" s="667"/>
      <c r="HN29" s="667"/>
      <c r="HO29" s="667"/>
      <c r="HP29" s="667"/>
      <c r="HQ29" s="667"/>
      <c r="HR29" s="667"/>
      <c r="HS29" s="667"/>
      <c r="HT29" s="667"/>
      <c r="HU29" s="667"/>
      <c r="HV29" s="667"/>
      <c r="HW29" s="667"/>
    </row>
    <row r="30" spans="1:231" ht="15.6" customHeight="1">
      <c r="A30" s="664" t="s">
        <v>434</v>
      </c>
      <c r="B30" s="691">
        <v>301000</v>
      </c>
      <c r="C30" s="691">
        <f>ROUND(290990.01,-3)</f>
        <v>291000</v>
      </c>
      <c r="D30" s="662"/>
      <c r="E30" s="680">
        <f t="shared" si="1"/>
        <v>-3.3222591362126241E-2</v>
      </c>
      <c r="F30" s="681"/>
      <c r="G30" s="662"/>
      <c r="H30" s="662"/>
      <c r="I30" s="662"/>
      <c r="J30" s="662"/>
      <c r="K30" s="715"/>
      <c r="L30" s="1048" t="s">
        <v>431</v>
      </c>
      <c r="M30" s="1048"/>
      <c r="N30" s="1046">
        <f>C8</f>
        <v>796728000</v>
      </c>
      <c r="O30" s="1047">
        <f>N30/SUM($N$28:$N$31)</f>
        <v>4.8116876599133891E-2</v>
      </c>
      <c r="P30" s="666"/>
      <c r="Q30" s="666"/>
      <c r="R30" s="666"/>
      <c r="S30" s="666"/>
      <c r="T30" s="666"/>
      <c r="U30" s="666"/>
      <c r="V30" s="666"/>
      <c r="W30" s="666"/>
      <c r="X30" s="667"/>
      <c r="Y30" s="667"/>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7"/>
      <c r="AZ30" s="667"/>
      <c r="BA30" s="667"/>
      <c r="BB30" s="667"/>
      <c r="BC30" s="667"/>
      <c r="BD30" s="667"/>
      <c r="BE30" s="667"/>
      <c r="BF30" s="667"/>
      <c r="BG30" s="667"/>
      <c r="BH30" s="667"/>
      <c r="BI30" s="667"/>
      <c r="BJ30" s="667"/>
      <c r="BK30" s="667"/>
      <c r="BL30" s="667"/>
      <c r="BM30" s="667"/>
      <c r="BN30" s="667"/>
      <c r="BO30" s="667"/>
      <c r="BP30" s="667"/>
      <c r="BQ30" s="667"/>
      <c r="BR30" s="667"/>
      <c r="BS30" s="667"/>
      <c r="BT30" s="667"/>
      <c r="BU30" s="667"/>
      <c r="BV30" s="667"/>
      <c r="BW30" s="667"/>
      <c r="BX30" s="667"/>
      <c r="BY30" s="667"/>
      <c r="BZ30" s="667"/>
      <c r="CA30" s="667"/>
      <c r="CB30" s="667"/>
      <c r="CC30" s="667"/>
      <c r="CD30" s="667"/>
      <c r="CE30" s="667"/>
      <c r="CF30" s="667"/>
      <c r="CG30" s="667"/>
      <c r="CH30" s="667"/>
      <c r="CI30" s="667"/>
      <c r="CJ30" s="667"/>
      <c r="CK30" s="667"/>
      <c r="CL30" s="667"/>
      <c r="CM30" s="667"/>
      <c r="CN30" s="667"/>
      <c r="CO30" s="667"/>
      <c r="CP30" s="667"/>
      <c r="CQ30" s="667"/>
      <c r="CR30" s="667"/>
      <c r="CS30" s="667"/>
      <c r="CT30" s="667"/>
      <c r="CU30" s="667"/>
      <c r="CV30" s="667"/>
      <c r="CW30" s="667"/>
      <c r="CX30" s="667"/>
      <c r="CY30" s="667"/>
      <c r="CZ30" s="667"/>
      <c r="DA30" s="667"/>
      <c r="DB30" s="667"/>
      <c r="DC30" s="667"/>
      <c r="DD30" s="667"/>
      <c r="DE30" s="667"/>
      <c r="DF30" s="667"/>
      <c r="DG30" s="667"/>
      <c r="DH30" s="667"/>
      <c r="DI30" s="667"/>
      <c r="DJ30" s="667"/>
      <c r="DK30" s="667"/>
      <c r="DL30" s="667"/>
      <c r="DM30" s="667"/>
      <c r="DN30" s="667"/>
      <c r="DO30" s="667"/>
      <c r="DP30" s="667"/>
      <c r="DQ30" s="667"/>
      <c r="DR30" s="667"/>
      <c r="DS30" s="667"/>
      <c r="DT30" s="667"/>
      <c r="DU30" s="667"/>
      <c r="DV30" s="667"/>
      <c r="DW30" s="667"/>
      <c r="DX30" s="667"/>
      <c r="DY30" s="667"/>
      <c r="DZ30" s="667"/>
      <c r="EA30" s="667"/>
      <c r="EB30" s="667"/>
      <c r="EC30" s="667"/>
      <c r="ED30" s="667"/>
      <c r="EE30" s="667"/>
      <c r="EF30" s="667"/>
      <c r="EG30" s="667"/>
      <c r="EH30" s="667"/>
      <c r="EI30" s="667"/>
      <c r="EJ30" s="667"/>
      <c r="EK30" s="667"/>
      <c r="EL30" s="667"/>
      <c r="EM30" s="667"/>
      <c r="EN30" s="667"/>
      <c r="EO30" s="667"/>
      <c r="EP30" s="667"/>
      <c r="EQ30" s="667"/>
      <c r="ER30" s="667"/>
      <c r="ES30" s="667"/>
      <c r="ET30" s="667"/>
      <c r="EU30" s="667"/>
      <c r="EV30" s="667"/>
      <c r="EW30" s="667"/>
      <c r="EX30" s="667"/>
      <c r="EY30" s="667"/>
      <c r="EZ30" s="667"/>
      <c r="FA30" s="667"/>
      <c r="FB30" s="667"/>
      <c r="FC30" s="667"/>
      <c r="FD30" s="667"/>
      <c r="FE30" s="667"/>
      <c r="FF30" s="667"/>
      <c r="FG30" s="667"/>
      <c r="FH30" s="667"/>
      <c r="FI30" s="667"/>
      <c r="FJ30" s="667"/>
      <c r="FK30" s="667"/>
      <c r="FL30" s="667"/>
      <c r="FM30" s="667"/>
      <c r="FN30" s="667"/>
      <c r="FO30" s="667"/>
      <c r="FP30" s="667"/>
      <c r="FQ30" s="667"/>
      <c r="FR30" s="667"/>
      <c r="FS30" s="667"/>
      <c r="FT30" s="667"/>
      <c r="FU30" s="667"/>
      <c r="FV30" s="667"/>
      <c r="FW30" s="667"/>
      <c r="FX30" s="667"/>
      <c r="FY30" s="667"/>
      <c r="FZ30" s="667"/>
      <c r="GA30" s="667"/>
      <c r="GB30" s="667"/>
      <c r="GC30" s="667"/>
      <c r="GD30" s="667"/>
      <c r="GE30" s="667"/>
      <c r="GF30" s="667"/>
      <c r="GG30" s="667"/>
      <c r="GH30" s="667"/>
      <c r="GI30" s="667"/>
      <c r="GJ30" s="667"/>
      <c r="GK30" s="667"/>
      <c r="GL30" s="667"/>
      <c r="GM30" s="667"/>
      <c r="GN30" s="667"/>
      <c r="GO30" s="667"/>
      <c r="GP30" s="667"/>
      <c r="GQ30" s="667"/>
      <c r="GR30" s="667"/>
      <c r="GS30" s="667"/>
      <c r="GT30" s="667"/>
      <c r="GU30" s="667"/>
      <c r="GV30" s="667"/>
      <c r="GW30" s="667"/>
      <c r="GX30" s="667"/>
      <c r="GY30" s="667"/>
      <c r="GZ30" s="667"/>
      <c r="HA30" s="667"/>
      <c r="HB30" s="667"/>
      <c r="HC30" s="667"/>
      <c r="HD30" s="667"/>
      <c r="HE30" s="667"/>
      <c r="HF30" s="667"/>
      <c r="HG30" s="667"/>
      <c r="HH30" s="667"/>
      <c r="HI30" s="667"/>
      <c r="HJ30" s="667"/>
      <c r="HK30" s="667"/>
      <c r="HL30" s="667"/>
      <c r="HM30" s="667"/>
      <c r="HN30" s="667"/>
      <c r="HO30" s="667"/>
      <c r="HP30" s="667"/>
      <c r="HQ30" s="667"/>
      <c r="HR30" s="667"/>
      <c r="HS30" s="667"/>
      <c r="HT30" s="667"/>
      <c r="HU30" s="667"/>
      <c r="HV30" s="667"/>
      <c r="HW30" s="667"/>
    </row>
    <row r="31" spans="1:231" ht="15.6" customHeight="1">
      <c r="A31" s="664" t="s">
        <v>435</v>
      </c>
      <c r="B31" s="691">
        <v>537000</v>
      </c>
      <c r="C31" s="691">
        <f>ROUND(500060.93,-3)</f>
        <v>500000</v>
      </c>
      <c r="D31" s="662"/>
      <c r="E31" s="680">
        <f t="shared" si="1"/>
        <v>-6.8901303538175029E-2</v>
      </c>
      <c r="F31" s="681"/>
      <c r="G31" s="662"/>
      <c r="H31" s="662"/>
      <c r="I31" s="662"/>
      <c r="J31" s="662"/>
      <c r="K31" s="715"/>
      <c r="L31" s="1041" t="s">
        <v>433</v>
      </c>
      <c r="M31" s="1041"/>
      <c r="N31" s="1046">
        <f>C40-SUM(N28:N30)</f>
        <v>1201691000</v>
      </c>
      <c r="O31" s="1047">
        <f>N31/SUM($N$28:$N$31)</f>
        <v>7.2573848988977174E-2</v>
      </c>
      <c r="P31" s="666"/>
      <c r="Q31" s="666"/>
      <c r="R31" s="666"/>
      <c r="S31" s="666"/>
      <c r="T31" s="666"/>
      <c r="U31" s="666"/>
      <c r="V31" s="666"/>
      <c r="W31" s="666"/>
      <c r="X31" s="667"/>
      <c r="Y31" s="667"/>
      <c r="Z31" s="667"/>
      <c r="AA31" s="667"/>
      <c r="AB31" s="667"/>
      <c r="AC31" s="667"/>
      <c r="AD31" s="667"/>
      <c r="AE31" s="667"/>
      <c r="AF31" s="667"/>
      <c r="AG31" s="667"/>
      <c r="AH31" s="667"/>
      <c r="AI31" s="667"/>
      <c r="AJ31" s="667"/>
      <c r="AK31" s="667"/>
      <c r="AL31" s="667"/>
      <c r="AM31" s="667"/>
      <c r="AN31" s="667"/>
      <c r="AO31" s="667"/>
      <c r="AP31" s="667"/>
      <c r="AQ31" s="667"/>
      <c r="AR31" s="667"/>
      <c r="AS31" s="667"/>
      <c r="AT31" s="667"/>
      <c r="AU31" s="667"/>
      <c r="AV31" s="667"/>
      <c r="AW31" s="667"/>
      <c r="AX31" s="667"/>
      <c r="AY31" s="667"/>
      <c r="AZ31" s="667"/>
      <c r="BA31" s="667"/>
      <c r="BB31" s="667"/>
      <c r="BC31" s="667"/>
      <c r="BD31" s="667"/>
      <c r="BE31" s="667"/>
      <c r="BF31" s="667"/>
      <c r="BG31" s="667"/>
      <c r="BH31" s="667"/>
      <c r="BI31" s="667"/>
      <c r="BJ31" s="667"/>
      <c r="BK31" s="667"/>
      <c r="BL31" s="667"/>
      <c r="BM31" s="667"/>
      <c r="BN31" s="667"/>
      <c r="BO31" s="667"/>
      <c r="BP31" s="667"/>
      <c r="BQ31" s="667"/>
      <c r="BR31" s="667"/>
      <c r="BS31" s="667"/>
      <c r="BT31" s="667"/>
      <c r="BU31" s="667"/>
      <c r="BV31" s="667"/>
      <c r="BW31" s="667"/>
      <c r="BX31" s="667"/>
      <c r="BY31" s="667"/>
      <c r="BZ31" s="667"/>
      <c r="CA31" s="667"/>
      <c r="CB31" s="667"/>
      <c r="CC31" s="667"/>
      <c r="CD31" s="667"/>
      <c r="CE31" s="667"/>
      <c r="CF31" s="667"/>
      <c r="CG31" s="667"/>
      <c r="CH31" s="667"/>
      <c r="CI31" s="667"/>
      <c r="CJ31" s="667"/>
      <c r="CK31" s="667"/>
      <c r="CL31" s="667"/>
      <c r="CM31" s="667"/>
      <c r="CN31" s="667"/>
      <c r="CO31" s="667"/>
      <c r="CP31" s="667"/>
      <c r="CQ31" s="667"/>
      <c r="CR31" s="667"/>
      <c r="CS31" s="667"/>
      <c r="CT31" s="667"/>
      <c r="CU31" s="667"/>
      <c r="CV31" s="667"/>
      <c r="CW31" s="667"/>
      <c r="CX31" s="667"/>
      <c r="CY31" s="667"/>
      <c r="CZ31" s="667"/>
      <c r="DA31" s="667"/>
      <c r="DB31" s="667"/>
      <c r="DC31" s="667"/>
      <c r="DD31" s="667"/>
      <c r="DE31" s="667"/>
      <c r="DF31" s="667"/>
      <c r="DG31" s="667"/>
      <c r="DH31" s="667"/>
      <c r="DI31" s="667"/>
      <c r="DJ31" s="667"/>
      <c r="DK31" s="667"/>
      <c r="DL31" s="667"/>
      <c r="DM31" s="667"/>
      <c r="DN31" s="667"/>
      <c r="DO31" s="667"/>
      <c r="DP31" s="667"/>
      <c r="DQ31" s="667"/>
      <c r="DR31" s="667"/>
      <c r="DS31" s="667"/>
      <c r="DT31" s="667"/>
      <c r="DU31" s="667"/>
      <c r="DV31" s="667"/>
      <c r="DW31" s="667"/>
      <c r="DX31" s="667"/>
      <c r="DY31" s="667"/>
      <c r="DZ31" s="667"/>
      <c r="EA31" s="667"/>
      <c r="EB31" s="667"/>
      <c r="EC31" s="667"/>
      <c r="ED31" s="667"/>
      <c r="EE31" s="667"/>
      <c r="EF31" s="667"/>
      <c r="EG31" s="667"/>
      <c r="EH31" s="667"/>
      <c r="EI31" s="667"/>
      <c r="EJ31" s="667"/>
      <c r="EK31" s="667"/>
      <c r="EL31" s="667"/>
      <c r="EM31" s="667"/>
      <c r="EN31" s="667"/>
      <c r="EO31" s="667"/>
      <c r="EP31" s="667"/>
      <c r="EQ31" s="667"/>
      <c r="ER31" s="667"/>
      <c r="ES31" s="667"/>
      <c r="ET31" s="667"/>
      <c r="EU31" s="667"/>
      <c r="EV31" s="667"/>
      <c r="EW31" s="667"/>
      <c r="EX31" s="667"/>
      <c r="EY31" s="667"/>
      <c r="EZ31" s="667"/>
      <c r="FA31" s="667"/>
      <c r="FB31" s="667"/>
      <c r="FC31" s="667"/>
      <c r="FD31" s="667"/>
      <c r="FE31" s="667"/>
      <c r="FF31" s="667"/>
      <c r="FG31" s="667"/>
      <c r="FH31" s="667"/>
      <c r="FI31" s="667"/>
      <c r="FJ31" s="667"/>
      <c r="FK31" s="667"/>
      <c r="FL31" s="667"/>
      <c r="FM31" s="667"/>
      <c r="FN31" s="667"/>
      <c r="FO31" s="667"/>
      <c r="FP31" s="667"/>
      <c r="FQ31" s="667"/>
      <c r="FR31" s="667"/>
      <c r="FS31" s="667"/>
      <c r="FT31" s="667"/>
      <c r="FU31" s="667"/>
      <c r="FV31" s="667"/>
      <c r="FW31" s="667"/>
      <c r="FX31" s="667"/>
      <c r="FY31" s="667"/>
      <c r="FZ31" s="667"/>
      <c r="GA31" s="667"/>
      <c r="GB31" s="667"/>
      <c r="GC31" s="667"/>
      <c r="GD31" s="667"/>
      <c r="GE31" s="667"/>
      <c r="GF31" s="667"/>
      <c r="GG31" s="667"/>
      <c r="GH31" s="667"/>
      <c r="GI31" s="667"/>
      <c r="GJ31" s="667"/>
      <c r="GK31" s="667"/>
      <c r="GL31" s="667"/>
      <c r="GM31" s="667"/>
      <c r="GN31" s="667"/>
      <c r="GO31" s="667"/>
      <c r="GP31" s="667"/>
      <c r="GQ31" s="667"/>
      <c r="GR31" s="667"/>
      <c r="GS31" s="667"/>
      <c r="GT31" s="667"/>
      <c r="GU31" s="667"/>
      <c r="GV31" s="667"/>
      <c r="GW31" s="667"/>
      <c r="GX31" s="667"/>
      <c r="GY31" s="667"/>
      <c r="GZ31" s="667"/>
      <c r="HA31" s="667"/>
      <c r="HB31" s="667"/>
      <c r="HC31" s="667"/>
      <c r="HD31" s="667"/>
      <c r="HE31" s="667"/>
      <c r="HF31" s="667"/>
      <c r="HG31" s="667"/>
      <c r="HH31" s="667"/>
      <c r="HI31" s="667"/>
      <c r="HJ31" s="667"/>
      <c r="HK31" s="667"/>
      <c r="HL31" s="667"/>
      <c r="HM31" s="667"/>
      <c r="HN31" s="667"/>
      <c r="HO31" s="667"/>
      <c r="HP31" s="667"/>
      <c r="HQ31" s="667"/>
      <c r="HR31" s="667"/>
      <c r="HS31" s="667"/>
      <c r="HT31" s="667"/>
      <c r="HU31" s="667"/>
      <c r="HV31" s="667"/>
      <c r="HW31" s="667"/>
    </row>
    <row r="32" spans="1:231" ht="15.6" customHeight="1">
      <c r="A32" s="664" t="s">
        <v>408</v>
      </c>
      <c r="B32" s="691">
        <v>8000</v>
      </c>
      <c r="C32" s="691">
        <f>ROUND(8879.08,-3)</f>
        <v>9000</v>
      </c>
      <c r="D32" s="662"/>
      <c r="E32" s="680">
        <f t="shared" si="1"/>
        <v>0.125</v>
      </c>
      <c r="F32" s="681"/>
      <c r="G32" s="662"/>
      <c r="H32" s="662"/>
      <c r="I32" s="662"/>
      <c r="J32" s="662"/>
      <c r="K32" s="715"/>
      <c r="L32" s="1041"/>
      <c r="M32" s="1049"/>
      <c r="N32" s="1041"/>
      <c r="O32" s="1041"/>
      <c r="P32" s="666"/>
      <c r="Q32" s="666"/>
      <c r="R32" s="666"/>
      <c r="S32" s="666"/>
      <c r="T32" s="666"/>
      <c r="U32" s="666"/>
      <c r="V32" s="666"/>
      <c r="W32" s="666"/>
      <c r="X32" s="667"/>
      <c r="Y32" s="667"/>
      <c r="Z32" s="667"/>
      <c r="AA32" s="667"/>
      <c r="AB32" s="667"/>
      <c r="AC32" s="667"/>
      <c r="AD32" s="667"/>
      <c r="AE32" s="667"/>
      <c r="AF32" s="667"/>
      <c r="AG32" s="667"/>
      <c r="AH32" s="667"/>
      <c r="AI32" s="667"/>
      <c r="AJ32" s="667"/>
      <c r="AK32" s="667"/>
      <c r="AL32" s="667"/>
      <c r="AM32" s="667"/>
      <c r="AN32" s="667"/>
      <c r="AO32" s="667"/>
      <c r="AP32" s="667"/>
      <c r="AQ32" s="667"/>
      <c r="AR32" s="667"/>
      <c r="AS32" s="667"/>
      <c r="AT32" s="667"/>
      <c r="AU32" s="667"/>
      <c r="AV32" s="667"/>
      <c r="AW32" s="667"/>
      <c r="AX32" s="667"/>
      <c r="AY32" s="667"/>
      <c r="AZ32" s="667"/>
      <c r="BA32" s="667"/>
      <c r="BB32" s="667"/>
      <c r="BC32" s="667"/>
      <c r="BD32" s="667"/>
      <c r="BE32" s="667"/>
      <c r="BF32" s="667"/>
      <c r="BG32" s="667"/>
      <c r="BH32" s="667"/>
      <c r="BI32" s="667"/>
      <c r="BJ32" s="667"/>
      <c r="BK32" s="667"/>
      <c r="BL32" s="667"/>
      <c r="BM32" s="667"/>
      <c r="BN32" s="667"/>
      <c r="BO32" s="667"/>
      <c r="BP32" s="667"/>
      <c r="BQ32" s="667"/>
      <c r="BR32" s="667"/>
      <c r="BS32" s="667"/>
      <c r="BT32" s="667"/>
      <c r="BU32" s="667"/>
      <c r="BV32" s="667"/>
      <c r="BW32" s="667"/>
      <c r="BX32" s="667"/>
      <c r="BY32" s="667"/>
      <c r="BZ32" s="667"/>
      <c r="CA32" s="667"/>
      <c r="CB32" s="667"/>
      <c r="CC32" s="667"/>
      <c r="CD32" s="667"/>
      <c r="CE32" s="667"/>
      <c r="CF32" s="667"/>
      <c r="CG32" s="667"/>
      <c r="CH32" s="667"/>
      <c r="CI32" s="667"/>
      <c r="CJ32" s="667"/>
      <c r="CK32" s="667"/>
      <c r="CL32" s="667"/>
      <c r="CM32" s="667"/>
      <c r="CN32" s="667"/>
      <c r="CO32" s="667"/>
      <c r="CP32" s="667"/>
      <c r="CQ32" s="667"/>
      <c r="CR32" s="667"/>
      <c r="CS32" s="667"/>
      <c r="CT32" s="667"/>
      <c r="CU32" s="667"/>
      <c r="CV32" s="667"/>
      <c r="CW32" s="667"/>
      <c r="CX32" s="667"/>
      <c r="CY32" s="667"/>
      <c r="CZ32" s="667"/>
      <c r="DA32" s="667"/>
      <c r="DB32" s="667"/>
      <c r="DC32" s="667"/>
      <c r="DD32" s="667"/>
      <c r="DE32" s="667"/>
      <c r="DF32" s="667"/>
      <c r="DG32" s="667"/>
      <c r="DH32" s="667"/>
      <c r="DI32" s="667"/>
      <c r="DJ32" s="667"/>
      <c r="DK32" s="667"/>
      <c r="DL32" s="667"/>
      <c r="DM32" s="667"/>
      <c r="DN32" s="667"/>
      <c r="DO32" s="667"/>
      <c r="DP32" s="667"/>
      <c r="DQ32" s="667"/>
      <c r="DR32" s="667"/>
      <c r="DS32" s="667"/>
      <c r="DT32" s="667"/>
      <c r="DU32" s="667"/>
      <c r="DV32" s="667"/>
      <c r="DW32" s="667"/>
      <c r="DX32" s="667"/>
      <c r="DY32" s="667"/>
      <c r="DZ32" s="667"/>
      <c r="EA32" s="667"/>
      <c r="EB32" s="667"/>
      <c r="EC32" s="667"/>
      <c r="ED32" s="667"/>
      <c r="EE32" s="667"/>
      <c r="EF32" s="667"/>
      <c r="EG32" s="667"/>
      <c r="EH32" s="667"/>
      <c r="EI32" s="667"/>
      <c r="EJ32" s="667"/>
      <c r="EK32" s="667"/>
      <c r="EL32" s="667"/>
      <c r="EM32" s="667"/>
      <c r="EN32" s="667"/>
      <c r="EO32" s="667"/>
      <c r="EP32" s="667"/>
      <c r="EQ32" s="667"/>
      <c r="ER32" s="667"/>
      <c r="ES32" s="667"/>
      <c r="ET32" s="667"/>
      <c r="EU32" s="667"/>
      <c r="EV32" s="667"/>
      <c r="EW32" s="667"/>
      <c r="EX32" s="667"/>
      <c r="EY32" s="667"/>
      <c r="EZ32" s="667"/>
      <c r="FA32" s="667"/>
      <c r="FB32" s="667"/>
      <c r="FC32" s="667"/>
      <c r="FD32" s="667"/>
      <c r="FE32" s="667"/>
      <c r="FF32" s="667"/>
      <c r="FG32" s="667"/>
      <c r="FH32" s="667"/>
      <c r="FI32" s="667"/>
      <c r="FJ32" s="667"/>
      <c r="FK32" s="667"/>
      <c r="FL32" s="667"/>
      <c r="FM32" s="667"/>
      <c r="FN32" s="667"/>
      <c r="FO32" s="667"/>
      <c r="FP32" s="667"/>
      <c r="FQ32" s="667"/>
      <c r="FR32" s="667"/>
      <c r="FS32" s="667"/>
      <c r="FT32" s="667"/>
      <c r="FU32" s="667"/>
      <c r="FV32" s="667"/>
      <c r="FW32" s="667"/>
      <c r="FX32" s="667"/>
      <c r="FY32" s="667"/>
      <c r="FZ32" s="667"/>
      <c r="GA32" s="667"/>
      <c r="GB32" s="667"/>
      <c r="GC32" s="667"/>
      <c r="GD32" s="667"/>
      <c r="GE32" s="667"/>
      <c r="GF32" s="667"/>
      <c r="GG32" s="667"/>
      <c r="GH32" s="667"/>
      <c r="GI32" s="667"/>
      <c r="GJ32" s="667"/>
      <c r="GK32" s="667"/>
      <c r="GL32" s="667"/>
      <c r="GM32" s="667"/>
      <c r="GN32" s="667"/>
      <c r="GO32" s="667"/>
      <c r="GP32" s="667"/>
      <c r="GQ32" s="667"/>
      <c r="GR32" s="667"/>
      <c r="GS32" s="667"/>
      <c r="GT32" s="667"/>
      <c r="GU32" s="667"/>
      <c r="GV32" s="667"/>
      <c r="GW32" s="667"/>
      <c r="GX32" s="667"/>
      <c r="GY32" s="667"/>
      <c r="GZ32" s="667"/>
      <c r="HA32" s="667"/>
      <c r="HB32" s="667"/>
      <c r="HC32" s="667"/>
      <c r="HD32" s="667"/>
      <c r="HE32" s="667"/>
      <c r="HF32" s="667"/>
      <c r="HG32" s="667"/>
      <c r="HH32" s="667"/>
      <c r="HI32" s="667"/>
      <c r="HJ32" s="667"/>
      <c r="HK32" s="667"/>
      <c r="HL32" s="667"/>
      <c r="HM32" s="667"/>
      <c r="HN32" s="667"/>
      <c r="HO32" s="667"/>
      <c r="HP32" s="667"/>
      <c r="HQ32" s="667"/>
      <c r="HR32" s="667"/>
      <c r="HS32" s="667"/>
      <c r="HT32" s="667"/>
      <c r="HU32" s="667"/>
      <c r="HV32" s="667"/>
      <c r="HW32" s="667"/>
    </row>
    <row r="33" spans="1:232" ht="15.6" customHeight="1">
      <c r="A33" s="664" t="s">
        <v>436</v>
      </c>
      <c r="B33" s="691">
        <v>931000</v>
      </c>
      <c r="C33" s="691">
        <f>ROUND(843740.9,-3)</f>
        <v>844000</v>
      </c>
      <c r="D33" s="662"/>
      <c r="E33" s="680">
        <f t="shared" si="1"/>
        <v>-9.3447905477980653E-2</v>
      </c>
      <c r="F33" s="681"/>
      <c r="G33" s="662"/>
      <c r="H33" s="662"/>
      <c r="I33" s="662"/>
      <c r="J33" s="662"/>
      <c r="K33" s="715"/>
      <c r="L33" s="667"/>
      <c r="M33" s="716"/>
      <c r="N33" s="667"/>
      <c r="O33" s="666"/>
      <c r="P33" s="666"/>
      <c r="Q33" s="666"/>
      <c r="R33" s="666"/>
      <c r="S33" s="666"/>
      <c r="T33" s="666"/>
      <c r="U33" s="666"/>
      <c r="V33" s="666"/>
      <c r="W33" s="666"/>
      <c r="X33" s="667"/>
      <c r="Y33" s="667"/>
      <c r="Z33" s="667"/>
      <c r="AA33" s="667"/>
      <c r="AB33" s="667"/>
      <c r="AC33" s="667"/>
      <c r="AD33" s="667"/>
      <c r="AE33" s="667"/>
      <c r="AF33" s="667"/>
      <c r="AG33" s="667"/>
      <c r="AH33" s="667"/>
      <c r="AI33" s="667"/>
      <c r="AJ33" s="667"/>
      <c r="AK33" s="667"/>
      <c r="AL33" s="667"/>
      <c r="AM33" s="667"/>
      <c r="AN33" s="667"/>
      <c r="AO33" s="667"/>
      <c r="AP33" s="667"/>
      <c r="AQ33" s="667"/>
      <c r="AR33" s="667"/>
      <c r="AS33" s="667"/>
      <c r="AT33" s="667"/>
      <c r="AU33" s="667"/>
      <c r="AV33" s="667"/>
      <c r="AW33" s="667"/>
      <c r="AX33" s="667"/>
      <c r="AY33" s="667"/>
      <c r="AZ33" s="667"/>
      <c r="BA33" s="667"/>
      <c r="BB33" s="667"/>
      <c r="BC33" s="667"/>
      <c r="BD33" s="667"/>
      <c r="BE33" s="667"/>
      <c r="BF33" s="667"/>
      <c r="BG33" s="667"/>
      <c r="BH33" s="667"/>
      <c r="BI33" s="667"/>
      <c r="BJ33" s="667"/>
      <c r="BK33" s="667"/>
      <c r="BL33" s="667"/>
      <c r="BM33" s="667"/>
      <c r="BN33" s="667"/>
      <c r="BO33" s="667"/>
      <c r="BP33" s="667"/>
      <c r="BQ33" s="667"/>
      <c r="BR33" s="667"/>
      <c r="BS33" s="667"/>
      <c r="BT33" s="667"/>
      <c r="BU33" s="667"/>
      <c r="BV33" s="667"/>
      <c r="BW33" s="667"/>
      <c r="BX33" s="667"/>
      <c r="BY33" s="667"/>
      <c r="BZ33" s="667"/>
      <c r="CA33" s="667"/>
      <c r="CB33" s="667"/>
      <c r="CC33" s="667"/>
      <c r="CD33" s="667"/>
      <c r="CE33" s="667"/>
      <c r="CF33" s="667"/>
      <c r="CG33" s="667"/>
      <c r="CH33" s="667"/>
      <c r="CI33" s="667"/>
      <c r="CJ33" s="667"/>
      <c r="CK33" s="667"/>
      <c r="CL33" s="667"/>
      <c r="CM33" s="667"/>
      <c r="CN33" s="667"/>
      <c r="CO33" s="667"/>
      <c r="CP33" s="667"/>
      <c r="CQ33" s="667"/>
      <c r="CR33" s="667"/>
      <c r="CS33" s="667"/>
      <c r="CT33" s="667"/>
      <c r="CU33" s="667"/>
      <c r="CV33" s="667"/>
      <c r="CW33" s="667"/>
      <c r="CX33" s="667"/>
      <c r="CY33" s="667"/>
      <c r="CZ33" s="667"/>
      <c r="DA33" s="667"/>
      <c r="DB33" s="667"/>
      <c r="DC33" s="667"/>
      <c r="DD33" s="667"/>
      <c r="DE33" s="667"/>
      <c r="DF33" s="667"/>
      <c r="DG33" s="667"/>
      <c r="DH33" s="667"/>
      <c r="DI33" s="667"/>
      <c r="DJ33" s="667"/>
      <c r="DK33" s="667"/>
      <c r="DL33" s="667"/>
      <c r="DM33" s="667"/>
      <c r="DN33" s="667"/>
      <c r="DO33" s="667"/>
      <c r="DP33" s="667"/>
      <c r="DQ33" s="667"/>
      <c r="DR33" s="667"/>
      <c r="DS33" s="667"/>
      <c r="DT33" s="667"/>
      <c r="DU33" s="667"/>
      <c r="DV33" s="667"/>
      <c r="DW33" s="667"/>
      <c r="DX33" s="667"/>
      <c r="DY33" s="667"/>
      <c r="DZ33" s="667"/>
      <c r="EA33" s="667"/>
      <c r="EB33" s="667"/>
      <c r="EC33" s="667"/>
      <c r="ED33" s="667"/>
      <c r="EE33" s="667"/>
      <c r="EF33" s="667"/>
      <c r="EG33" s="667"/>
      <c r="EH33" s="667"/>
      <c r="EI33" s="667"/>
      <c r="EJ33" s="667"/>
      <c r="EK33" s="667"/>
      <c r="EL33" s="667"/>
      <c r="EM33" s="667"/>
      <c r="EN33" s="667"/>
      <c r="EO33" s="667"/>
      <c r="EP33" s="667"/>
      <c r="EQ33" s="667"/>
      <c r="ER33" s="667"/>
      <c r="ES33" s="667"/>
      <c r="ET33" s="667"/>
      <c r="EU33" s="667"/>
      <c r="EV33" s="667"/>
      <c r="EW33" s="667"/>
      <c r="EX33" s="667"/>
      <c r="EY33" s="667"/>
      <c r="EZ33" s="667"/>
      <c r="FA33" s="667"/>
      <c r="FB33" s="667"/>
      <c r="FC33" s="667"/>
      <c r="FD33" s="667"/>
      <c r="FE33" s="667"/>
      <c r="FF33" s="667"/>
      <c r="FG33" s="667"/>
      <c r="FH33" s="667"/>
      <c r="FI33" s="667"/>
      <c r="FJ33" s="667"/>
      <c r="FK33" s="667"/>
      <c r="FL33" s="667"/>
      <c r="FM33" s="667"/>
      <c r="FN33" s="667"/>
      <c r="FO33" s="667"/>
      <c r="FP33" s="667"/>
      <c r="FQ33" s="667"/>
      <c r="FR33" s="667"/>
      <c r="FS33" s="667"/>
      <c r="FT33" s="667"/>
      <c r="FU33" s="667"/>
      <c r="FV33" s="667"/>
      <c r="FW33" s="667"/>
      <c r="FX33" s="667"/>
      <c r="FY33" s="667"/>
      <c r="FZ33" s="667"/>
      <c r="GA33" s="667"/>
      <c r="GB33" s="667"/>
      <c r="GC33" s="667"/>
      <c r="GD33" s="667"/>
      <c r="GE33" s="667"/>
      <c r="GF33" s="667"/>
      <c r="GG33" s="667"/>
      <c r="GH33" s="667"/>
      <c r="GI33" s="667"/>
      <c r="GJ33" s="667"/>
      <c r="GK33" s="667"/>
      <c r="GL33" s="667"/>
      <c r="GM33" s="667"/>
      <c r="GN33" s="667"/>
      <c r="GO33" s="667"/>
      <c r="GP33" s="667"/>
      <c r="GQ33" s="667"/>
      <c r="GR33" s="667"/>
      <c r="GS33" s="667"/>
      <c r="GT33" s="667"/>
      <c r="GU33" s="667"/>
      <c r="GV33" s="667"/>
      <c r="GW33" s="667"/>
      <c r="GX33" s="667"/>
      <c r="GY33" s="667"/>
      <c r="GZ33" s="667"/>
      <c r="HA33" s="667"/>
      <c r="HB33" s="667"/>
      <c r="HC33" s="667"/>
      <c r="HD33" s="667"/>
      <c r="HE33" s="667"/>
      <c r="HF33" s="667"/>
      <c r="HG33" s="667"/>
      <c r="HH33" s="667"/>
      <c r="HI33" s="667"/>
      <c r="HJ33" s="667"/>
      <c r="HK33" s="667"/>
      <c r="HL33" s="667"/>
      <c r="HM33" s="667"/>
      <c r="HN33" s="667"/>
      <c r="HO33" s="667"/>
      <c r="HP33" s="667"/>
      <c r="HQ33" s="667"/>
      <c r="HR33" s="667"/>
      <c r="HS33" s="667"/>
      <c r="HT33" s="667"/>
      <c r="HU33" s="667"/>
      <c r="HV33" s="667"/>
      <c r="HW33" s="667"/>
    </row>
    <row r="34" spans="1:232" ht="15.6" customHeight="1">
      <c r="A34" s="664" t="s">
        <v>437</v>
      </c>
      <c r="B34" s="691">
        <v>191000</v>
      </c>
      <c r="C34" s="691">
        <f>ROUND(194236.95,-3)</f>
        <v>194000</v>
      </c>
      <c r="D34" s="662"/>
      <c r="E34" s="680">
        <f t="shared" si="1"/>
        <v>1.5706806282722585E-2</v>
      </c>
      <c r="F34" s="681"/>
      <c r="G34" s="662"/>
      <c r="H34" s="662"/>
      <c r="I34" s="662"/>
      <c r="J34" s="662"/>
      <c r="K34" s="682"/>
      <c r="L34" s="666"/>
      <c r="M34" s="683"/>
      <c r="N34" s="666"/>
      <c r="O34" s="909"/>
      <c r="P34" s="666"/>
      <c r="Q34" s="666"/>
      <c r="R34" s="666"/>
      <c r="S34" s="666"/>
      <c r="T34" s="666"/>
      <c r="U34" s="666"/>
      <c r="V34" s="666"/>
      <c r="W34" s="666"/>
      <c r="X34" s="667"/>
      <c r="Y34" s="667"/>
      <c r="Z34" s="667"/>
      <c r="AA34" s="667"/>
      <c r="AB34" s="667"/>
      <c r="AC34" s="667"/>
      <c r="AD34" s="667"/>
      <c r="AE34" s="667"/>
      <c r="AF34" s="667"/>
      <c r="AG34" s="667"/>
      <c r="AH34" s="667"/>
      <c r="AI34" s="667"/>
      <c r="AJ34" s="667"/>
      <c r="AK34" s="667"/>
      <c r="AL34" s="667"/>
      <c r="AM34" s="667"/>
      <c r="AN34" s="667"/>
      <c r="AO34" s="667"/>
      <c r="AP34" s="667"/>
      <c r="AQ34" s="667"/>
      <c r="AR34" s="667"/>
      <c r="AS34" s="667"/>
      <c r="AT34" s="667"/>
      <c r="AU34" s="667"/>
      <c r="AV34" s="667"/>
      <c r="AW34" s="667"/>
      <c r="AX34" s="667"/>
      <c r="AY34" s="667"/>
      <c r="AZ34" s="667"/>
      <c r="BA34" s="667"/>
      <c r="BB34" s="667"/>
      <c r="BC34" s="667"/>
      <c r="BD34" s="667"/>
      <c r="BE34" s="667"/>
      <c r="BF34" s="667"/>
      <c r="BG34" s="667"/>
      <c r="BH34" s="667"/>
      <c r="BI34" s="667"/>
      <c r="BJ34" s="667"/>
      <c r="BK34" s="667"/>
      <c r="BL34" s="667"/>
      <c r="BM34" s="667"/>
      <c r="BN34" s="667"/>
      <c r="BO34" s="667"/>
      <c r="BP34" s="667"/>
      <c r="BQ34" s="667"/>
      <c r="BR34" s="667"/>
      <c r="BS34" s="667"/>
      <c r="BT34" s="667"/>
      <c r="BU34" s="667"/>
      <c r="BV34" s="667"/>
      <c r="BW34" s="667"/>
      <c r="BX34" s="667"/>
      <c r="BY34" s="667"/>
      <c r="BZ34" s="667"/>
      <c r="CA34" s="667"/>
      <c r="CB34" s="667"/>
      <c r="CC34" s="667"/>
      <c r="CD34" s="667"/>
      <c r="CE34" s="667"/>
      <c r="CF34" s="667"/>
      <c r="CG34" s="667"/>
      <c r="CH34" s="667"/>
      <c r="CI34" s="667"/>
      <c r="CJ34" s="667"/>
      <c r="CK34" s="667"/>
      <c r="CL34" s="667"/>
      <c r="CM34" s="667"/>
      <c r="CN34" s="667"/>
      <c r="CO34" s="667"/>
      <c r="CP34" s="667"/>
      <c r="CQ34" s="667"/>
      <c r="CR34" s="667"/>
      <c r="CS34" s="667"/>
      <c r="CT34" s="667"/>
      <c r="CU34" s="667"/>
      <c r="CV34" s="667"/>
      <c r="CW34" s="667"/>
      <c r="CX34" s="667"/>
      <c r="CY34" s="667"/>
      <c r="CZ34" s="667"/>
      <c r="DA34" s="667"/>
      <c r="DB34" s="667"/>
      <c r="DC34" s="667"/>
      <c r="DD34" s="667"/>
      <c r="DE34" s="667"/>
      <c r="DF34" s="667"/>
      <c r="DG34" s="667"/>
      <c r="DH34" s="667"/>
      <c r="DI34" s="667"/>
      <c r="DJ34" s="667"/>
      <c r="DK34" s="667"/>
      <c r="DL34" s="667"/>
      <c r="DM34" s="667"/>
      <c r="DN34" s="667"/>
      <c r="DO34" s="667"/>
      <c r="DP34" s="667"/>
      <c r="DQ34" s="667"/>
      <c r="DR34" s="667"/>
      <c r="DS34" s="667"/>
      <c r="DT34" s="667"/>
      <c r="DU34" s="667"/>
      <c r="DV34" s="667"/>
      <c r="DW34" s="667"/>
      <c r="DX34" s="667"/>
      <c r="DY34" s="667"/>
      <c r="DZ34" s="667"/>
      <c r="EA34" s="667"/>
      <c r="EB34" s="667"/>
      <c r="EC34" s="667"/>
      <c r="ED34" s="667"/>
      <c r="EE34" s="667"/>
      <c r="EF34" s="667"/>
      <c r="EG34" s="667"/>
      <c r="EH34" s="667"/>
      <c r="EI34" s="667"/>
      <c r="EJ34" s="667"/>
      <c r="EK34" s="667"/>
      <c r="EL34" s="667"/>
      <c r="EM34" s="667"/>
      <c r="EN34" s="667"/>
      <c r="EO34" s="667"/>
      <c r="EP34" s="667"/>
      <c r="EQ34" s="667"/>
      <c r="ER34" s="667"/>
      <c r="ES34" s="667"/>
      <c r="ET34" s="667"/>
      <c r="EU34" s="667"/>
      <c r="EV34" s="667"/>
      <c r="EW34" s="667"/>
      <c r="EX34" s="667"/>
      <c r="EY34" s="667"/>
      <c r="EZ34" s="667"/>
      <c r="FA34" s="667"/>
      <c r="FB34" s="667"/>
      <c r="FC34" s="667"/>
      <c r="FD34" s="667"/>
      <c r="FE34" s="667"/>
      <c r="FF34" s="667"/>
      <c r="FG34" s="667"/>
      <c r="FH34" s="667"/>
      <c r="FI34" s="667"/>
      <c r="FJ34" s="667"/>
      <c r="FK34" s="667"/>
      <c r="FL34" s="667"/>
      <c r="FM34" s="667"/>
      <c r="FN34" s="667"/>
      <c r="FO34" s="667"/>
      <c r="FP34" s="667"/>
      <c r="FQ34" s="667"/>
      <c r="FR34" s="667"/>
      <c r="FS34" s="667"/>
      <c r="FT34" s="667"/>
      <c r="FU34" s="667"/>
      <c r="FV34" s="667"/>
      <c r="FW34" s="667"/>
      <c r="FX34" s="667"/>
      <c r="FY34" s="667"/>
      <c r="FZ34" s="667"/>
      <c r="GA34" s="667"/>
      <c r="GB34" s="667"/>
      <c r="GC34" s="667"/>
      <c r="GD34" s="667"/>
      <c r="GE34" s="667"/>
      <c r="GF34" s="667"/>
      <c r="GG34" s="667"/>
      <c r="GH34" s="667"/>
      <c r="GI34" s="667"/>
      <c r="GJ34" s="667"/>
      <c r="GK34" s="667"/>
      <c r="GL34" s="667"/>
      <c r="GM34" s="667"/>
      <c r="GN34" s="667"/>
      <c r="GO34" s="667"/>
      <c r="GP34" s="667"/>
      <c r="GQ34" s="667"/>
      <c r="GR34" s="667"/>
      <c r="GS34" s="667"/>
      <c r="GT34" s="667"/>
      <c r="GU34" s="667"/>
      <c r="GV34" s="667"/>
      <c r="GW34" s="667"/>
      <c r="GX34" s="667"/>
      <c r="GY34" s="667"/>
      <c r="GZ34" s="667"/>
      <c r="HA34" s="667"/>
      <c r="HB34" s="667"/>
      <c r="HC34" s="667"/>
      <c r="HD34" s="667"/>
      <c r="HE34" s="667"/>
      <c r="HF34" s="667"/>
      <c r="HG34" s="667"/>
      <c r="HH34" s="667"/>
      <c r="HI34" s="667"/>
      <c r="HJ34" s="667"/>
      <c r="HK34" s="667"/>
      <c r="HL34" s="667"/>
      <c r="HM34" s="667"/>
      <c r="HN34" s="667"/>
      <c r="HO34" s="667"/>
      <c r="HP34" s="667"/>
      <c r="HQ34" s="667"/>
      <c r="HR34" s="667"/>
      <c r="HS34" s="667"/>
      <c r="HT34" s="667"/>
      <c r="HU34" s="667"/>
      <c r="HV34" s="667"/>
      <c r="HW34" s="667"/>
    </row>
    <row r="35" spans="1:232" ht="15.6" customHeight="1">
      <c r="A35" s="664" t="s">
        <v>407</v>
      </c>
      <c r="B35" s="691">
        <v>131000</v>
      </c>
      <c r="C35" s="691">
        <f>ROUND(167769.03,-3)</f>
        <v>168000</v>
      </c>
      <c r="D35" s="662"/>
      <c r="E35" s="680">
        <f t="shared" si="1"/>
        <v>0.28244274809160297</v>
      </c>
      <c r="F35" s="681"/>
      <c r="G35" s="662"/>
      <c r="H35" s="662"/>
      <c r="I35" s="662"/>
      <c r="J35" s="662"/>
      <c r="K35" s="682"/>
      <c r="L35" s="666"/>
      <c r="M35" s="683"/>
      <c r="N35" s="666"/>
      <c r="O35" s="666"/>
      <c r="P35" s="666"/>
      <c r="Q35" s="666"/>
      <c r="R35" s="666"/>
      <c r="S35" s="666"/>
      <c r="T35" s="666"/>
      <c r="U35" s="666"/>
      <c r="V35" s="666"/>
      <c r="W35" s="666"/>
      <c r="X35" s="667"/>
      <c r="Y35" s="667"/>
      <c r="Z35" s="667"/>
      <c r="AA35" s="667"/>
      <c r="AB35" s="667"/>
      <c r="AC35" s="667"/>
      <c r="AD35" s="667"/>
      <c r="AE35" s="667"/>
      <c r="AF35" s="667"/>
      <c r="AG35" s="667"/>
      <c r="AH35" s="667"/>
      <c r="AI35" s="667"/>
      <c r="AJ35" s="667"/>
      <c r="AK35" s="667"/>
      <c r="AL35" s="667"/>
      <c r="AM35" s="667"/>
      <c r="AN35" s="667"/>
      <c r="AO35" s="667"/>
      <c r="AP35" s="667"/>
      <c r="AQ35" s="667"/>
      <c r="AR35" s="667"/>
      <c r="AS35" s="667"/>
      <c r="AT35" s="667"/>
      <c r="AU35" s="667"/>
      <c r="AV35" s="667"/>
      <c r="AW35" s="667"/>
      <c r="AX35" s="667"/>
      <c r="AY35" s="667"/>
      <c r="AZ35" s="667"/>
      <c r="BA35" s="667"/>
      <c r="BB35" s="667"/>
      <c r="BC35" s="667"/>
      <c r="BD35" s="667"/>
      <c r="BE35" s="667"/>
      <c r="BF35" s="667"/>
      <c r="BG35" s="667"/>
      <c r="BH35" s="667"/>
      <c r="BI35" s="667"/>
      <c r="BJ35" s="667"/>
      <c r="BK35" s="667"/>
      <c r="BL35" s="667"/>
      <c r="BM35" s="667"/>
      <c r="BN35" s="667"/>
      <c r="BO35" s="667"/>
      <c r="BP35" s="667"/>
      <c r="BQ35" s="667"/>
      <c r="BR35" s="667"/>
      <c r="BS35" s="667"/>
      <c r="BT35" s="667"/>
      <c r="BU35" s="667"/>
      <c r="BV35" s="667"/>
      <c r="BW35" s="667"/>
      <c r="BX35" s="667"/>
      <c r="BY35" s="667"/>
      <c r="BZ35" s="667"/>
      <c r="CA35" s="667"/>
      <c r="CB35" s="667"/>
      <c r="CC35" s="667"/>
      <c r="CD35" s="667"/>
      <c r="CE35" s="667"/>
      <c r="CF35" s="667"/>
      <c r="CG35" s="667"/>
      <c r="CH35" s="667"/>
      <c r="CI35" s="667"/>
      <c r="CJ35" s="667"/>
      <c r="CK35" s="667"/>
      <c r="CL35" s="667"/>
      <c r="CM35" s="667"/>
      <c r="CN35" s="667"/>
      <c r="CO35" s="667"/>
      <c r="CP35" s="667"/>
      <c r="CQ35" s="667"/>
      <c r="CR35" s="667"/>
      <c r="CS35" s="667"/>
      <c r="CT35" s="667"/>
      <c r="CU35" s="667"/>
      <c r="CV35" s="667"/>
      <c r="CW35" s="667"/>
      <c r="CX35" s="667"/>
      <c r="CY35" s="667"/>
      <c r="CZ35" s="667"/>
      <c r="DA35" s="667"/>
      <c r="DB35" s="667"/>
      <c r="DC35" s="667"/>
      <c r="DD35" s="667"/>
      <c r="DE35" s="667"/>
      <c r="DF35" s="667"/>
      <c r="DG35" s="667"/>
      <c r="DH35" s="667"/>
      <c r="DI35" s="667"/>
      <c r="DJ35" s="667"/>
      <c r="DK35" s="667"/>
      <c r="DL35" s="667"/>
      <c r="DM35" s="667"/>
      <c r="DN35" s="667"/>
      <c r="DO35" s="667"/>
      <c r="DP35" s="667"/>
      <c r="DQ35" s="667"/>
      <c r="DR35" s="667"/>
      <c r="DS35" s="667"/>
      <c r="DT35" s="667"/>
      <c r="DU35" s="667"/>
      <c r="DV35" s="667"/>
      <c r="DW35" s="667"/>
      <c r="DX35" s="667"/>
      <c r="DY35" s="667"/>
      <c r="DZ35" s="667"/>
      <c r="EA35" s="667"/>
      <c r="EB35" s="667"/>
      <c r="EC35" s="667"/>
      <c r="ED35" s="667"/>
      <c r="EE35" s="667"/>
      <c r="EF35" s="667"/>
      <c r="EG35" s="667"/>
      <c r="EH35" s="667"/>
      <c r="EI35" s="667"/>
      <c r="EJ35" s="667"/>
      <c r="EK35" s="667"/>
      <c r="EL35" s="667"/>
      <c r="EM35" s="667"/>
      <c r="EN35" s="667"/>
      <c r="EO35" s="667"/>
      <c r="EP35" s="667"/>
      <c r="EQ35" s="667"/>
      <c r="ER35" s="667"/>
      <c r="ES35" s="667"/>
      <c r="ET35" s="667"/>
      <c r="EU35" s="667"/>
      <c r="EV35" s="667"/>
      <c r="EW35" s="667"/>
      <c r="EX35" s="667"/>
      <c r="EY35" s="667"/>
      <c r="EZ35" s="667"/>
      <c r="FA35" s="667"/>
      <c r="FB35" s="667"/>
      <c r="FC35" s="667"/>
      <c r="FD35" s="667"/>
      <c r="FE35" s="667"/>
      <c r="FF35" s="667"/>
      <c r="FG35" s="667"/>
      <c r="FH35" s="667"/>
      <c r="FI35" s="667"/>
      <c r="FJ35" s="667"/>
      <c r="FK35" s="667"/>
      <c r="FL35" s="667"/>
      <c r="FM35" s="667"/>
      <c r="FN35" s="667"/>
      <c r="FO35" s="667"/>
      <c r="FP35" s="667"/>
      <c r="FQ35" s="667"/>
      <c r="FR35" s="667"/>
      <c r="FS35" s="667"/>
      <c r="FT35" s="667"/>
      <c r="FU35" s="667"/>
      <c r="FV35" s="667"/>
      <c r="FW35" s="667"/>
      <c r="FX35" s="667"/>
      <c r="FY35" s="667"/>
      <c r="FZ35" s="667"/>
      <c r="GA35" s="667"/>
      <c r="GB35" s="667"/>
      <c r="GC35" s="667"/>
      <c r="GD35" s="667"/>
      <c r="GE35" s="667"/>
      <c r="GF35" s="667"/>
      <c r="GG35" s="667"/>
      <c r="GH35" s="667"/>
      <c r="GI35" s="667"/>
      <c r="GJ35" s="667"/>
      <c r="GK35" s="667"/>
      <c r="GL35" s="667"/>
      <c r="GM35" s="667"/>
      <c r="GN35" s="667"/>
      <c r="GO35" s="667"/>
      <c r="GP35" s="667"/>
      <c r="GQ35" s="667"/>
      <c r="GR35" s="667"/>
      <c r="GS35" s="667"/>
      <c r="GT35" s="667"/>
      <c r="GU35" s="667"/>
      <c r="GV35" s="667"/>
      <c r="GW35" s="667"/>
      <c r="GX35" s="667"/>
      <c r="GY35" s="667"/>
      <c r="GZ35" s="667"/>
      <c r="HA35" s="667"/>
      <c r="HB35" s="667"/>
      <c r="HC35" s="667"/>
      <c r="HD35" s="667"/>
      <c r="HE35" s="667"/>
      <c r="HF35" s="667"/>
      <c r="HG35" s="667"/>
      <c r="HH35" s="667"/>
      <c r="HI35" s="667"/>
      <c r="HJ35" s="667"/>
      <c r="HK35" s="667"/>
      <c r="HL35" s="667"/>
      <c r="HM35" s="667"/>
      <c r="HN35" s="667"/>
      <c r="HO35" s="667"/>
      <c r="HP35" s="667"/>
      <c r="HQ35" s="667"/>
      <c r="HR35" s="667"/>
      <c r="HS35" s="667"/>
      <c r="HT35" s="667"/>
      <c r="HU35" s="667"/>
      <c r="HV35" s="667"/>
      <c r="HW35" s="667"/>
    </row>
    <row r="36" spans="1:232" ht="15.6" customHeight="1">
      <c r="A36" s="664" t="s">
        <v>405</v>
      </c>
      <c r="B36" s="691">
        <v>123000</v>
      </c>
      <c r="C36" s="691">
        <f>ROUND(93171.85,-3)</f>
        <v>93000</v>
      </c>
      <c r="D36" s="662"/>
      <c r="E36" s="680">
        <f t="shared" si="1"/>
        <v>-0.24390243902439024</v>
      </c>
      <c r="F36" s="681"/>
      <c r="G36" s="662"/>
      <c r="H36" s="662"/>
      <c r="I36" s="662"/>
      <c r="J36" s="662"/>
      <c r="K36" s="682"/>
      <c r="L36" s="666"/>
      <c r="M36" s="683"/>
      <c r="N36" s="666"/>
      <c r="O36" s="666"/>
      <c r="P36" s="666"/>
      <c r="Q36" s="666"/>
      <c r="R36" s="666"/>
      <c r="S36" s="666"/>
      <c r="T36" s="666"/>
      <c r="U36" s="666"/>
      <c r="V36" s="666"/>
      <c r="W36" s="666"/>
      <c r="X36" s="667"/>
      <c r="Y36" s="667"/>
      <c r="Z36" s="667"/>
      <c r="AA36" s="667"/>
      <c r="AB36" s="667"/>
      <c r="AC36" s="667"/>
      <c r="AD36" s="667"/>
      <c r="AE36" s="667"/>
      <c r="AF36" s="667"/>
      <c r="AG36" s="667"/>
      <c r="AH36" s="667"/>
      <c r="AI36" s="667"/>
      <c r="AJ36" s="667"/>
      <c r="AK36" s="667"/>
      <c r="AL36" s="667"/>
      <c r="AM36" s="667"/>
      <c r="AN36" s="667"/>
      <c r="AO36" s="667"/>
      <c r="AP36" s="667"/>
      <c r="AQ36" s="667"/>
      <c r="AR36" s="667"/>
      <c r="AS36" s="667"/>
      <c r="AT36" s="667"/>
      <c r="AU36" s="667"/>
      <c r="AV36" s="667"/>
      <c r="AW36" s="667"/>
      <c r="AX36" s="667"/>
      <c r="AY36" s="667"/>
      <c r="AZ36" s="667"/>
      <c r="BA36" s="667"/>
      <c r="BB36" s="667"/>
      <c r="BC36" s="667"/>
      <c r="BD36" s="667"/>
      <c r="BE36" s="667"/>
      <c r="BF36" s="667"/>
      <c r="BG36" s="667"/>
      <c r="BH36" s="667"/>
      <c r="BI36" s="667"/>
      <c r="BJ36" s="667"/>
      <c r="BK36" s="667"/>
      <c r="BL36" s="667"/>
      <c r="BM36" s="667"/>
      <c r="BN36" s="667"/>
      <c r="BO36" s="667"/>
      <c r="BP36" s="667"/>
      <c r="BQ36" s="667"/>
      <c r="BR36" s="667"/>
      <c r="BS36" s="667"/>
      <c r="BT36" s="667"/>
      <c r="BU36" s="667"/>
      <c r="BV36" s="667"/>
      <c r="BW36" s="667"/>
      <c r="BX36" s="667"/>
      <c r="BY36" s="667"/>
      <c r="BZ36" s="667"/>
      <c r="CA36" s="667"/>
      <c r="CB36" s="667"/>
      <c r="CC36" s="667"/>
      <c r="CD36" s="667"/>
      <c r="CE36" s="667"/>
      <c r="CF36" s="667"/>
      <c r="CG36" s="667"/>
      <c r="CH36" s="667"/>
      <c r="CI36" s="667"/>
      <c r="CJ36" s="667"/>
      <c r="CK36" s="667"/>
      <c r="CL36" s="667"/>
      <c r="CM36" s="667"/>
      <c r="CN36" s="667"/>
      <c r="CO36" s="667"/>
      <c r="CP36" s="667"/>
      <c r="CQ36" s="667"/>
      <c r="CR36" s="667"/>
      <c r="CS36" s="667"/>
      <c r="CT36" s="667"/>
      <c r="CU36" s="667"/>
      <c r="CV36" s="667"/>
      <c r="CW36" s="667"/>
      <c r="CX36" s="667"/>
      <c r="CY36" s="667"/>
      <c r="CZ36" s="667"/>
      <c r="DA36" s="667"/>
      <c r="DB36" s="667"/>
      <c r="DC36" s="667"/>
      <c r="DD36" s="667"/>
      <c r="DE36" s="667"/>
      <c r="DF36" s="667"/>
      <c r="DG36" s="667"/>
      <c r="DH36" s="667"/>
      <c r="DI36" s="667"/>
      <c r="DJ36" s="667"/>
      <c r="DK36" s="667"/>
      <c r="DL36" s="667"/>
      <c r="DM36" s="667"/>
      <c r="DN36" s="667"/>
      <c r="DO36" s="667"/>
      <c r="DP36" s="667"/>
      <c r="DQ36" s="667"/>
      <c r="DR36" s="667"/>
      <c r="DS36" s="667"/>
      <c r="DT36" s="667"/>
      <c r="DU36" s="667"/>
      <c r="DV36" s="667"/>
      <c r="DW36" s="667"/>
      <c r="DX36" s="667"/>
      <c r="DY36" s="667"/>
      <c r="DZ36" s="667"/>
      <c r="EA36" s="667"/>
      <c r="EB36" s="667"/>
      <c r="EC36" s="667"/>
      <c r="ED36" s="667"/>
      <c r="EE36" s="667"/>
      <c r="EF36" s="667"/>
      <c r="EG36" s="667"/>
      <c r="EH36" s="667"/>
      <c r="EI36" s="667"/>
      <c r="EJ36" s="667"/>
      <c r="EK36" s="667"/>
      <c r="EL36" s="667"/>
      <c r="EM36" s="667"/>
      <c r="EN36" s="667"/>
      <c r="EO36" s="667"/>
      <c r="EP36" s="667"/>
      <c r="EQ36" s="667"/>
      <c r="ER36" s="667"/>
      <c r="ES36" s="667"/>
      <c r="ET36" s="667"/>
      <c r="EU36" s="667"/>
      <c r="EV36" s="667"/>
      <c r="EW36" s="667"/>
      <c r="EX36" s="667"/>
      <c r="EY36" s="667"/>
      <c r="EZ36" s="667"/>
      <c r="FA36" s="667"/>
      <c r="FB36" s="667"/>
      <c r="FC36" s="667"/>
      <c r="FD36" s="667"/>
      <c r="FE36" s="667"/>
      <c r="FF36" s="667"/>
      <c r="FG36" s="667"/>
      <c r="FH36" s="667"/>
      <c r="FI36" s="667"/>
      <c r="FJ36" s="667"/>
      <c r="FK36" s="667"/>
      <c r="FL36" s="667"/>
      <c r="FM36" s="667"/>
      <c r="FN36" s="667"/>
      <c r="FO36" s="667"/>
      <c r="FP36" s="667"/>
      <c r="FQ36" s="667"/>
      <c r="FR36" s="667"/>
      <c r="FS36" s="667"/>
      <c r="FT36" s="667"/>
      <c r="FU36" s="667"/>
      <c r="FV36" s="667"/>
      <c r="FW36" s="667"/>
      <c r="FX36" s="667"/>
      <c r="FY36" s="667"/>
      <c r="FZ36" s="667"/>
      <c r="GA36" s="667"/>
      <c r="GB36" s="667"/>
      <c r="GC36" s="667"/>
      <c r="GD36" s="667"/>
      <c r="GE36" s="667"/>
      <c r="GF36" s="667"/>
      <c r="GG36" s="667"/>
      <c r="GH36" s="667"/>
      <c r="GI36" s="667"/>
      <c r="GJ36" s="667"/>
      <c r="GK36" s="667"/>
      <c r="GL36" s="667"/>
      <c r="GM36" s="667"/>
      <c r="GN36" s="667"/>
      <c r="GO36" s="667"/>
      <c r="GP36" s="667"/>
      <c r="GQ36" s="667"/>
      <c r="GR36" s="667"/>
      <c r="GS36" s="667"/>
      <c r="GT36" s="667"/>
      <c r="GU36" s="667"/>
      <c r="GV36" s="667"/>
      <c r="GW36" s="667"/>
      <c r="GX36" s="667"/>
      <c r="GY36" s="667"/>
      <c r="GZ36" s="667"/>
      <c r="HA36" s="667"/>
      <c r="HB36" s="667"/>
      <c r="HC36" s="667"/>
      <c r="HD36" s="667"/>
      <c r="HE36" s="667"/>
      <c r="HF36" s="667"/>
      <c r="HG36" s="667"/>
      <c r="HH36" s="667"/>
      <c r="HI36" s="667"/>
      <c r="HJ36" s="667"/>
      <c r="HK36" s="667"/>
      <c r="HL36" s="667"/>
      <c r="HM36" s="667"/>
      <c r="HN36" s="667"/>
      <c r="HO36" s="667"/>
      <c r="HP36" s="667"/>
      <c r="HQ36" s="667"/>
      <c r="HR36" s="667"/>
      <c r="HS36" s="667"/>
      <c r="HT36" s="667"/>
      <c r="HU36" s="667"/>
      <c r="HV36" s="667"/>
      <c r="HW36" s="667"/>
    </row>
    <row r="37" spans="1:232" ht="15.6" customHeight="1">
      <c r="A37" s="685"/>
      <c r="B37" s="661"/>
      <c r="C37" s="661"/>
      <c r="D37" s="662"/>
      <c r="E37" s="680"/>
      <c r="F37" s="662"/>
      <c r="G37" s="662"/>
      <c r="H37" s="662"/>
      <c r="I37" s="662"/>
      <c r="J37" s="662"/>
      <c r="K37" s="682"/>
      <c r="L37" s="666"/>
      <c r="M37" s="683"/>
      <c r="N37" s="666"/>
      <c r="O37" s="666"/>
      <c r="P37" s="666"/>
      <c r="Q37" s="666"/>
      <c r="R37" s="666"/>
      <c r="S37" s="666"/>
      <c r="T37" s="666"/>
      <c r="U37" s="666"/>
      <c r="V37" s="666"/>
      <c r="W37" s="666"/>
      <c r="X37" s="667"/>
      <c r="Y37" s="667"/>
      <c r="Z37" s="667"/>
      <c r="AA37" s="667"/>
      <c r="AB37" s="667"/>
      <c r="AC37" s="667"/>
      <c r="AD37" s="667"/>
      <c r="AE37" s="667"/>
      <c r="AF37" s="667"/>
      <c r="AG37" s="667"/>
      <c r="AH37" s="667"/>
      <c r="AI37" s="667"/>
      <c r="AJ37" s="667"/>
      <c r="AK37" s="667"/>
      <c r="AL37" s="667"/>
      <c r="AM37" s="667"/>
      <c r="AN37" s="667"/>
      <c r="AO37" s="667"/>
      <c r="AP37" s="667"/>
      <c r="AQ37" s="667"/>
      <c r="AR37" s="667"/>
      <c r="AS37" s="667"/>
      <c r="AT37" s="667"/>
      <c r="AU37" s="667"/>
      <c r="AV37" s="667"/>
      <c r="AW37" s="667"/>
      <c r="AX37" s="667"/>
      <c r="AY37" s="667"/>
      <c r="AZ37" s="667"/>
      <c r="BA37" s="667"/>
      <c r="BB37" s="667"/>
      <c r="BC37" s="667"/>
      <c r="BD37" s="667"/>
      <c r="BE37" s="667"/>
      <c r="BF37" s="667"/>
      <c r="BG37" s="667"/>
      <c r="BH37" s="667"/>
      <c r="BI37" s="667"/>
      <c r="BJ37" s="667"/>
      <c r="BK37" s="667"/>
      <c r="BL37" s="667"/>
      <c r="BM37" s="667"/>
      <c r="BN37" s="667"/>
      <c r="BO37" s="667"/>
      <c r="BP37" s="667"/>
      <c r="BQ37" s="667"/>
      <c r="BR37" s="667"/>
      <c r="BS37" s="667"/>
      <c r="BT37" s="667"/>
      <c r="BU37" s="667"/>
      <c r="BV37" s="667"/>
      <c r="BW37" s="667"/>
      <c r="BX37" s="667"/>
      <c r="BY37" s="667"/>
      <c r="BZ37" s="667"/>
      <c r="CA37" s="667"/>
      <c r="CB37" s="667"/>
      <c r="CC37" s="667"/>
      <c r="CD37" s="667"/>
      <c r="CE37" s="667"/>
      <c r="CF37" s="667"/>
      <c r="CG37" s="667"/>
      <c r="CH37" s="667"/>
      <c r="CI37" s="667"/>
      <c r="CJ37" s="667"/>
      <c r="CK37" s="667"/>
      <c r="CL37" s="667"/>
      <c r="CM37" s="667"/>
      <c r="CN37" s="667"/>
      <c r="CO37" s="667"/>
      <c r="CP37" s="667"/>
      <c r="CQ37" s="667"/>
      <c r="CR37" s="667"/>
      <c r="CS37" s="667"/>
      <c r="CT37" s="667"/>
      <c r="CU37" s="667"/>
      <c r="CV37" s="667"/>
      <c r="CW37" s="667"/>
      <c r="CX37" s="667"/>
      <c r="CY37" s="667"/>
      <c r="CZ37" s="667"/>
      <c r="DA37" s="667"/>
      <c r="DB37" s="667"/>
      <c r="DC37" s="667"/>
      <c r="DD37" s="667"/>
      <c r="DE37" s="667"/>
      <c r="DF37" s="667"/>
      <c r="DG37" s="667"/>
      <c r="DH37" s="667"/>
      <c r="DI37" s="667"/>
      <c r="DJ37" s="667"/>
      <c r="DK37" s="667"/>
      <c r="DL37" s="667"/>
      <c r="DM37" s="667"/>
      <c r="DN37" s="667"/>
      <c r="DO37" s="667"/>
      <c r="DP37" s="667"/>
      <c r="DQ37" s="667"/>
      <c r="DR37" s="667"/>
      <c r="DS37" s="667"/>
      <c r="DT37" s="667"/>
      <c r="DU37" s="667"/>
      <c r="DV37" s="667"/>
      <c r="DW37" s="667"/>
      <c r="DX37" s="667"/>
      <c r="DY37" s="667"/>
      <c r="DZ37" s="667"/>
      <c r="EA37" s="667"/>
      <c r="EB37" s="667"/>
      <c r="EC37" s="667"/>
      <c r="ED37" s="667"/>
      <c r="EE37" s="667"/>
      <c r="EF37" s="667"/>
      <c r="EG37" s="667"/>
      <c r="EH37" s="667"/>
      <c r="EI37" s="667"/>
      <c r="EJ37" s="667"/>
      <c r="EK37" s="667"/>
      <c r="EL37" s="667"/>
      <c r="EM37" s="667"/>
      <c r="EN37" s="667"/>
      <c r="EO37" s="667"/>
      <c r="EP37" s="667"/>
      <c r="EQ37" s="667"/>
      <c r="ER37" s="667"/>
      <c r="ES37" s="667"/>
      <c r="ET37" s="667"/>
      <c r="EU37" s="667"/>
      <c r="EV37" s="667"/>
      <c r="EW37" s="667"/>
      <c r="EX37" s="667"/>
      <c r="EY37" s="667"/>
      <c r="EZ37" s="667"/>
      <c r="FA37" s="667"/>
      <c r="FB37" s="667"/>
      <c r="FC37" s="667"/>
      <c r="FD37" s="667"/>
      <c r="FE37" s="667"/>
      <c r="FF37" s="667"/>
      <c r="FG37" s="667"/>
      <c r="FH37" s="667"/>
      <c r="FI37" s="667"/>
      <c r="FJ37" s="667"/>
      <c r="FK37" s="667"/>
      <c r="FL37" s="667"/>
      <c r="FM37" s="667"/>
      <c r="FN37" s="667"/>
      <c r="FO37" s="667"/>
      <c r="FP37" s="667"/>
      <c r="FQ37" s="667"/>
      <c r="FR37" s="667"/>
      <c r="FS37" s="667"/>
      <c r="FT37" s="667"/>
      <c r="FU37" s="667"/>
      <c r="FV37" s="667"/>
      <c r="FW37" s="667"/>
      <c r="FX37" s="667"/>
      <c r="FY37" s="667"/>
      <c r="FZ37" s="667"/>
      <c r="GA37" s="667"/>
      <c r="GB37" s="667"/>
      <c r="GC37" s="667"/>
      <c r="GD37" s="667"/>
      <c r="GE37" s="667"/>
      <c r="GF37" s="667"/>
      <c r="GG37" s="667"/>
      <c r="GH37" s="667"/>
      <c r="GI37" s="667"/>
      <c r="GJ37" s="667"/>
      <c r="GK37" s="667"/>
      <c r="GL37" s="667"/>
      <c r="GM37" s="667"/>
      <c r="GN37" s="667"/>
      <c r="GO37" s="667"/>
      <c r="GP37" s="667"/>
      <c r="GQ37" s="667"/>
      <c r="GR37" s="667"/>
      <c r="GS37" s="667"/>
      <c r="GT37" s="667"/>
      <c r="GU37" s="667"/>
      <c r="GV37" s="667"/>
      <c r="GW37" s="667"/>
      <c r="GX37" s="667"/>
      <c r="GY37" s="667"/>
      <c r="GZ37" s="667"/>
      <c r="HA37" s="667"/>
      <c r="HB37" s="667"/>
      <c r="HC37" s="667"/>
      <c r="HD37" s="667"/>
      <c r="HE37" s="667"/>
      <c r="HF37" s="667"/>
      <c r="HG37" s="667"/>
      <c r="HH37" s="667"/>
      <c r="HI37" s="667"/>
      <c r="HJ37" s="667"/>
      <c r="HK37" s="667"/>
      <c r="HL37" s="667"/>
      <c r="HM37" s="667"/>
      <c r="HN37" s="667"/>
      <c r="HO37" s="667"/>
      <c r="HP37" s="667"/>
      <c r="HQ37" s="667"/>
      <c r="HR37" s="667"/>
      <c r="HS37" s="667"/>
      <c r="HT37" s="667"/>
      <c r="HU37" s="667"/>
      <c r="HV37" s="667"/>
      <c r="HW37" s="667"/>
    </row>
    <row r="38" spans="1:232" ht="15.6" customHeight="1">
      <c r="A38" s="671" t="s">
        <v>0</v>
      </c>
      <c r="B38" s="687">
        <f>SUM(B20:B36)</f>
        <v>786987000</v>
      </c>
      <c r="C38" s="687">
        <f>SUM(C20:C36)</f>
        <v>802626000</v>
      </c>
      <c r="D38" s="688"/>
      <c r="E38" s="689">
        <f>(C38/B38)-1</f>
        <v>1.9871992802930727E-2</v>
      </c>
      <c r="F38" s="681"/>
      <c r="G38" s="662"/>
      <c r="H38" s="662"/>
      <c r="I38" s="662"/>
      <c r="J38" s="662"/>
      <c r="K38" s="682"/>
      <c r="L38" s="666"/>
      <c r="M38" s="683"/>
      <c r="N38" s="666"/>
      <c r="O38" s="666"/>
      <c r="P38" s="666"/>
      <c r="Q38" s="666"/>
      <c r="R38" s="666"/>
      <c r="S38" s="666"/>
      <c r="T38" s="666"/>
      <c r="U38" s="666"/>
      <c r="V38" s="666"/>
      <c r="W38" s="666"/>
      <c r="X38" s="667"/>
      <c r="Y38" s="667"/>
      <c r="Z38" s="667"/>
      <c r="AA38" s="667"/>
      <c r="AB38" s="667"/>
      <c r="AC38" s="667"/>
      <c r="AD38" s="667"/>
      <c r="AE38" s="667"/>
      <c r="AF38" s="667"/>
      <c r="AG38" s="667"/>
      <c r="AH38" s="667"/>
      <c r="AI38" s="667"/>
      <c r="AJ38" s="667"/>
      <c r="AK38" s="667"/>
      <c r="AL38" s="667"/>
      <c r="AM38" s="667"/>
      <c r="AN38" s="667"/>
      <c r="AO38" s="667"/>
      <c r="AP38" s="667"/>
      <c r="AQ38" s="667"/>
      <c r="AR38" s="667"/>
      <c r="AS38" s="667"/>
      <c r="AT38" s="667"/>
      <c r="AU38" s="667"/>
      <c r="AV38" s="667"/>
      <c r="AW38" s="667"/>
      <c r="AX38" s="667"/>
      <c r="AY38" s="667"/>
      <c r="AZ38" s="667"/>
      <c r="BA38" s="667"/>
      <c r="BB38" s="667"/>
      <c r="BC38" s="667"/>
      <c r="BD38" s="667"/>
      <c r="BE38" s="667"/>
      <c r="BF38" s="667"/>
      <c r="BG38" s="667"/>
      <c r="BH38" s="667"/>
      <c r="BI38" s="667"/>
      <c r="BJ38" s="667"/>
      <c r="BK38" s="667"/>
      <c r="BL38" s="667"/>
      <c r="BM38" s="667"/>
      <c r="BN38" s="667"/>
      <c r="BO38" s="667"/>
      <c r="BP38" s="667"/>
      <c r="BQ38" s="667"/>
      <c r="BR38" s="667"/>
      <c r="BS38" s="667"/>
      <c r="BT38" s="667"/>
      <c r="BU38" s="667"/>
      <c r="BV38" s="667"/>
      <c r="BW38" s="667"/>
      <c r="BX38" s="667"/>
      <c r="BY38" s="667"/>
      <c r="BZ38" s="667"/>
      <c r="CA38" s="667"/>
      <c r="CB38" s="667"/>
      <c r="CC38" s="667"/>
      <c r="CD38" s="667"/>
      <c r="CE38" s="667"/>
      <c r="CF38" s="667"/>
      <c r="CG38" s="667"/>
      <c r="CH38" s="667"/>
      <c r="CI38" s="667"/>
      <c r="CJ38" s="667"/>
      <c r="CK38" s="667"/>
      <c r="CL38" s="667"/>
      <c r="CM38" s="667"/>
      <c r="CN38" s="667"/>
      <c r="CO38" s="667"/>
      <c r="CP38" s="667"/>
      <c r="CQ38" s="667"/>
      <c r="CR38" s="667"/>
      <c r="CS38" s="667"/>
      <c r="CT38" s="667"/>
      <c r="CU38" s="667"/>
      <c r="CV38" s="667"/>
      <c r="CW38" s="667"/>
      <c r="CX38" s="667"/>
      <c r="CY38" s="667"/>
      <c r="CZ38" s="667"/>
      <c r="DA38" s="667"/>
      <c r="DB38" s="667"/>
      <c r="DC38" s="667"/>
      <c r="DD38" s="667"/>
      <c r="DE38" s="667"/>
      <c r="DF38" s="667"/>
      <c r="DG38" s="667"/>
      <c r="DH38" s="667"/>
      <c r="DI38" s="667"/>
      <c r="DJ38" s="667"/>
      <c r="DK38" s="667"/>
      <c r="DL38" s="667"/>
      <c r="DM38" s="667"/>
      <c r="DN38" s="667"/>
      <c r="DO38" s="667"/>
      <c r="DP38" s="667"/>
      <c r="DQ38" s="667"/>
      <c r="DR38" s="667"/>
      <c r="DS38" s="667"/>
      <c r="DT38" s="667"/>
      <c r="DU38" s="667"/>
      <c r="DV38" s="667"/>
      <c r="DW38" s="667"/>
      <c r="DX38" s="667"/>
      <c r="DY38" s="667"/>
      <c r="DZ38" s="667"/>
      <c r="EA38" s="667"/>
      <c r="EB38" s="667"/>
      <c r="EC38" s="667"/>
      <c r="ED38" s="667"/>
      <c r="EE38" s="667"/>
      <c r="EF38" s="667"/>
      <c r="EG38" s="667"/>
      <c r="EH38" s="667"/>
      <c r="EI38" s="667"/>
      <c r="EJ38" s="667"/>
      <c r="EK38" s="667"/>
      <c r="EL38" s="667"/>
      <c r="EM38" s="667"/>
      <c r="EN38" s="667"/>
      <c r="EO38" s="667"/>
      <c r="EP38" s="667"/>
      <c r="EQ38" s="667"/>
      <c r="ER38" s="667"/>
      <c r="ES38" s="667"/>
      <c r="ET38" s="667"/>
      <c r="EU38" s="667"/>
      <c r="EV38" s="667"/>
      <c r="EW38" s="667"/>
      <c r="EX38" s="667"/>
      <c r="EY38" s="667"/>
      <c r="EZ38" s="667"/>
      <c r="FA38" s="667"/>
      <c r="FB38" s="667"/>
      <c r="FC38" s="667"/>
      <c r="FD38" s="667"/>
      <c r="FE38" s="667"/>
      <c r="FF38" s="667"/>
      <c r="FG38" s="667"/>
      <c r="FH38" s="667"/>
      <c r="FI38" s="667"/>
      <c r="FJ38" s="667"/>
      <c r="FK38" s="667"/>
      <c r="FL38" s="667"/>
      <c r="FM38" s="667"/>
      <c r="FN38" s="667"/>
      <c r="FO38" s="667"/>
      <c r="FP38" s="667"/>
      <c r="FQ38" s="667"/>
      <c r="FR38" s="667"/>
      <c r="FS38" s="667"/>
      <c r="FT38" s="667"/>
      <c r="FU38" s="667"/>
      <c r="FV38" s="667"/>
      <c r="FW38" s="667"/>
      <c r="FX38" s="667"/>
      <c r="FY38" s="667"/>
      <c r="FZ38" s="667"/>
      <c r="GA38" s="667"/>
      <c r="GB38" s="667"/>
      <c r="GC38" s="667"/>
      <c r="GD38" s="667"/>
      <c r="GE38" s="667"/>
      <c r="GF38" s="667"/>
      <c r="GG38" s="667"/>
      <c r="GH38" s="667"/>
      <c r="GI38" s="667"/>
      <c r="GJ38" s="667"/>
      <c r="GK38" s="667"/>
      <c r="GL38" s="667"/>
      <c r="GM38" s="667"/>
      <c r="GN38" s="667"/>
      <c r="GO38" s="667"/>
      <c r="GP38" s="667"/>
      <c r="GQ38" s="667"/>
      <c r="GR38" s="667"/>
      <c r="GS38" s="667"/>
      <c r="GT38" s="667"/>
      <c r="GU38" s="667"/>
      <c r="GV38" s="667"/>
      <c r="GW38" s="667"/>
      <c r="GX38" s="667"/>
      <c r="GY38" s="667"/>
      <c r="GZ38" s="667"/>
      <c r="HA38" s="667"/>
      <c r="HB38" s="667"/>
      <c r="HC38" s="667"/>
      <c r="HD38" s="667"/>
      <c r="HE38" s="667"/>
      <c r="HF38" s="667"/>
      <c r="HG38" s="667"/>
      <c r="HH38" s="667"/>
      <c r="HI38" s="667"/>
      <c r="HJ38" s="667"/>
      <c r="HK38" s="667"/>
      <c r="HL38" s="667"/>
      <c r="HM38" s="667"/>
      <c r="HN38" s="667"/>
      <c r="HO38" s="667"/>
      <c r="HP38" s="667"/>
      <c r="HQ38" s="667"/>
      <c r="HR38" s="667"/>
      <c r="HS38" s="667"/>
      <c r="HT38" s="667"/>
      <c r="HU38" s="667"/>
      <c r="HV38" s="667"/>
      <c r="HW38" s="667"/>
    </row>
    <row r="39" spans="1:232">
      <c r="A39" s="692"/>
      <c r="B39" s="693"/>
      <c r="C39" s="693"/>
      <c r="D39" s="694"/>
      <c r="E39" s="695"/>
      <c r="F39" s="662"/>
      <c r="G39" s="662"/>
      <c r="H39" s="662"/>
      <c r="I39" s="662"/>
      <c r="J39" s="662"/>
      <c r="K39" s="682"/>
      <c r="L39" s="666"/>
      <c r="M39" s="683"/>
      <c r="N39" s="666"/>
      <c r="O39" s="666"/>
      <c r="P39" s="666"/>
      <c r="Q39" s="666"/>
      <c r="R39" s="666"/>
      <c r="S39" s="666"/>
      <c r="T39" s="666"/>
      <c r="U39" s="666"/>
      <c r="V39" s="666"/>
      <c r="W39" s="666"/>
      <c r="X39" s="667"/>
      <c r="Y39" s="667"/>
      <c r="Z39" s="667"/>
      <c r="AA39" s="667"/>
      <c r="AB39" s="667"/>
      <c r="AC39" s="667"/>
      <c r="AD39" s="667"/>
      <c r="AE39" s="667"/>
      <c r="AF39" s="667"/>
      <c r="AG39" s="667"/>
      <c r="AH39" s="667"/>
      <c r="AI39" s="667"/>
      <c r="AJ39" s="667"/>
      <c r="AK39" s="667"/>
      <c r="AL39" s="667"/>
      <c r="AM39" s="667"/>
      <c r="AN39" s="667"/>
      <c r="AO39" s="667"/>
      <c r="AP39" s="667"/>
      <c r="AQ39" s="667"/>
      <c r="AR39" s="667"/>
      <c r="AS39" s="667"/>
      <c r="AT39" s="667"/>
      <c r="AU39" s="667"/>
      <c r="AV39" s="667"/>
      <c r="AW39" s="667"/>
      <c r="AX39" s="667"/>
      <c r="AY39" s="667"/>
      <c r="AZ39" s="667"/>
      <c r="BA39" s="667"/>
      <c r="BB39" s="667"/>
      <c r="BC39" s="667"/>
      <c r="BD39" s="667"/>
      <c r="BE39" s="667"/>
      <c r="BF39" s="667"/>
      <c r="BG39" s="667"/>
      <c r="BH39" s="667"/>
      <c r="BI39" s="667"/>
      <c r="BJ39" s="667"/>
      <c r="BK39" s="667"/>
      <c r="BL39" s="667"/>
      <c r="BM39" s="667"/>
      <c r="BN39" s="667"/>
      <c r="BO39" s="667"/>
      <c r="BP39" s="667"/>
      <c r="BQ39" s="667"/>
      <c r="BR39" s="667"/>
      <c r="BS39" s="667"/>
      <c r="BT39" s="667"/>
      <c r="BU39" s="667"/>
      <c r="BV39" s="667"/>
      <c r="BW39" s="667"/>
      <c r="BX39" s="667"/>
      <c r="BY39" s="667"/>
      <c r="BZ39" s="667"/>
      <c r="CA39" s="667"/>
      <c r="CB39" s="667"/>
      <c r="CC39" s="667"/>
      <c r="CD39" s="667"/>
      <c r="CE39" s="667"/>
      <c r="CF39" s="667"/>
      <c r="CG39" s="667"/>
      <c r="CH39" s="667"/>
      <c r="CI39" s="667"/>
      <c r="CJ39" s="667"/>
      <c r="CK39" s="667"/>
      <c r="CL39" s="667"/>
      <c r="CM39" s="667"/>
      <c r="CN39" s="667"/>
      <c r="CO39" s="667"/>
      <c r="CP39" s="667"/>
      <c r="CQ39" s="667"/>
      <c r="CR39" s="667"/>
      <c r="CS39" s="667"/>
      <c r="CT39" s="667"/>
      <c r="CU39" s="667"/>
      <c r="CV39" s="667"/>
      <c r="CW39" s="667"/>
      <c r="CX39" s="667"/>
      <c r="CY39" s="667"/>
      <c r="CZ39" s="667"/>
      <c r="DA39" s="667"/>
      <c r="DB39" s="667"/>
      <c r="DC39" s="667"/>
      <c r="DD39" s="667"/>
      <c r="DE39" s="667"/>
      <c r="DF39" s="667"/>
      <c r="DG39" s="667"/>
      <c r="DH39" s="667"/>
      <c r="DI39" s="667"/>
      <c r="DJ39" s="667"/>
      <c r="DK39" s="667"/>
      <c r="DL39" s="667"/>
      <c r="DM39" s="667"/>
      <c r="DN39" s="667"/>
      <c r="DO39" s="667"/>
      <c r="DP39" s="667"/>
      <c r="DQ39" s="667"/>
      <c r="DR39" s="667"/>
      <c r="DS39" s="667"/>
      <c r="DT39" s="667"/>
      <c r="DU39" s="667"/>
      <c r="DV39" s="667"/>
      <c r="DW39" s="667"/>
      <c r="DX39" s="667"/>
      <c r="DY39" s="667"/>
      <c r="DZ39" s="667"/>
      <c r="EA39" s="667"/>
      <c r="EB39" s="667"/>
      <c r="EC39" s="667"/>
      <c r="ED39" s="667"/>
      <c r="EE39" s="667"/>
      <c r="EF39" s="667"/>
      <c r="EG39" s="667"/>
      <c r="EH39" s="667"/>
      <c r="EI39" s="667"/>
      <c r="EJ39" s="667"/>
      <c r="EK39" s="667"/>
      <c r="EL39" s="667"/>
      <c r="EM39" s="667"/>
      <c r="EN39" s="667"/>
      <c r="EO39" s="667"/>
      <c r="EP39" s="667"/>
      <c r="EQ39" s="667"/>
      <c r="ER39" s="667"/>
      <c r="ES39" s="667"/>
      <c r="ET39" s="667"/>
      <c r="EU39" s="667"/>
      <c r="EV39" s="667"/>
      <c r="EW39" s="667"/>
      <c r="EX39" s="667"/>
      <c r="EY39" s="667"/>
      <c r="EZ39" s="667"/>
      <c r="FA39" s="667"/>
      <c r="FB39" s="667"/>
      <c r="FC39" s="667"/>
      <c r="FD39" s="667"/>
      <c r="FE39" s="667"/>
      <c r="FF39" s="667"/>
      <c r="FG39" s="667"/>
      <c r="FH39" s="667"/>
      <c r="FI39" s="667"/>
      <c r="FJ39" s="667"/>
      <c r="FK39" s="667"/>
      <c r="FL39" s="667"/>
      <c r="FM39" s="667"/>
      <c r="FN39" s="667"/>
      <c r="FO39" s="667"/>
      <c r="FP39" s="667"/>
      <c r="FQ39" s="667"/>
      <c r="FR39" s="667"/>
      <c r="FS39" s="667"/>
      <c r="FT39" s="667"/>
      <c r="FU39" s="667"/>
      <c r="FV39" s="667"/>
      <c r="FW39" s="667"/>
      <c r="FX39" s="667"/>
      <c r="FY39" s="667"/>
      <c r="FZ39" s="667"/>
      <c r="GA39" s="667"/>
      <c r="GB39" s="667"/>
      <c r="GC39" s="667"/>
      <c r="GD39" s="667"/>
      <c r="GE39" s="667"/>
      <c r="GF39" s="667"/>
      <c r="GG39" s="667"/>
      <c r="GH39" s="667"/>
      <c r="GI39" s="667"/>
      <c r="GJ39" s="667"/>
      <c r="GK39" s="667"/>
      <c r="GL39" s="667"/>
      <c r="GM39" s="667"/>
      <c r="GN39" s="667"/>
      <c r="GO39" s="667"/>
      <c r="GP39" s="667"/>
      <c r="GQ39" s="667"/>
      <c r="GR39" s="667"/>
      <c r="GS39" s="667"/>
      <c r="GT39" s="667"/>
      <c r="GU39" s="667"/>
      <c r="GV39" s="667"/>
      <c r="GW39" s="667"/>
      <c r="GX39" s="667"/>
      <c r="GY39" s="667"/>
      <c r="GZ39" s="667"/>
      <c r="HA39" s="667"/>
      <c r="HB39" s="667"/>
      <c r="HC39" s="667"/>
      <c r="HD39" s="667"/>
      <c r="HE39" s="667"/>
      <c r="HF39" s="667"/>
      <c r="HG39" s="667"/>
      <c r="HH39" s="667"/>
      <c r="HI39" s="667"/>
      <c r="HJ39" s="667"/>
      <c r="HK39" s="667"/>
      <c r="HL39" s="667"/>
      <c r="HM39" s="667"/>
      <c r="HN39" s="667"/>
      <c r="HO39" s="667"/>
      <c r="HP39" s="667"/>
      <c r="HQ39" s="667"/>
      <c r="HR39" s="667"/>
      <c r="HS39" s="667"/>
      <c r="HT39" s="667"/>
      <c r="HU39" s="667"/>
      <c r="HV39" s="667"/>
      <c r="HW39" s="667"/>
    </row>
    <row r="40" spans="1:232" ht="15.6">
      <c r="A40" s="696" t="s">
        <v>1</v>
      </c>
      <c r="B40" s="697">
        <f>SUM(B17,B38)</f>
        <v>15725076000</v>
      </c>
      <c r="C40" s="697">
        <f>SUM(C17,C38)</f>
        <v>16558182000</v>
      </c>
      <c r="D40" s="698"/>
      <c r="E40" s="699">
        <f>(C40/B40)-1</f>
        <v>5.2979457778137284E-2</v>
      </c>
      <c r="F40" s="662"/>
      <c r="G40" s="662"/>
      <c r="H40" s="662"/>
      <c r="I40" s="662"/>
      <c r="J40" s="662"/>
      <c r="K40" s="682"/>
      <c r="L40" s="666"/>
      <c r="M40" s="666"/>
      <c r="N40" s="666"/>
      <c r="O40" s="666"/>
      <c r="P40" s="666"/>
      <c r="Q40" s="676"/>
      <c r="R40" s="666"/>
      <c r="S40" s="666"/>
      <c r="T40" s="666"/>
      <c r="U40" s="666"/>
      <c r="V40" s="666"/>
      <c r="W40" s="666"/>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B40" s="667"/>
      <c r="BC40" s="667"/>
      <c r="BD40" s="667"/>
      <c r="BE40" s="667"/>
      <c r="BF40" s="667"/>
      <c r="BG40" s="667"/>
      <c r="BH40" s="667"/>
      <c r="BI40" s="667"/>
      <c r="BJ40" s="667"/>
      <c r="BK40" s="667"/>
      <c r="BL40" s="667"/>
      <c r="BM40" s="667"/>
      <c r="BN40" s="667"/>
      <c r="BO40" s="667"/>
      <c r="BP40" s="667"/>
      <c r="BQ40" s="667"/>
      <c r="BR40" s="667"/>
      <c r="BS40" s="667"/>
      <c r="BT40" s="667"/>
      <c r="BU40" s="667"/>
      <c r="BV40" s="667"/>
      <c r="BW40" s="667"/>
      <c r="BX40" s="667"/>
      <c r="BY40" s="667"/>
      <c r="BZ40" s="667"/>
      <c r="CA40" s="667"/>
      <c r="CB40" s="667"/>
      <c r="CC40" s="667"/>
      <c r="CD40" s="667"/>
      <c r="CE40" s="667"/>
      <c r="CF40" s="667"/>
      <c r="CG40" s="667"/>
      <c r="CH40" s="667"/>
      <c r="CI40" s="667"/>
      <c r="CJ40" s="667"/>
      <c r="CK40" s="667"/>
      <c r="CL40" s="667"/>
      <c r="CM40" s="667"/>
      <c r="CN40" s="667"/>
      <c r="CO40" s="667"/>
      <c r="CP40" s="667"/>
      <c r="CQ40" s="667"/>
      <c r="CR40" s="667"/>
      <c r="CS40" s="667"/>
      <c r="CT40" s="667"/>
      <c r="CU40" s="667"/>
      <c r="CV40" s="667"/>
      <c r="CW40" s="667"/>
      <c r="CX40" s="667"/>
      <c r="CY40" s="667"/>
      <c r="CZ40" s="667"/>
      <c r="DA40" s="667"/>
      <c r="DB40" s="667"/>
      <c r="DC40" s="667"/>
      <c r="DD40" s="667"/>
      <c r="DE40" s="667"/>
      <c r="DF40" s="667"/>
      <c r="DG40" s="667"/>
      <c r="DH40" s="667"/>
      <c r="DI40" s="667"/>
      <c r="DJ40" s="667"/>
      <c r="DK40" s="667"/>
      <c r="DL40" s="667"/>
      <c r="DM40" s="667"/>
      <c r="DN40" s="667"/>
      <c r="DO40" s="667"/>
      <c r="DP40" s="667"/>
      <c r="DQ40" s="667"/>
      <c r="DR40" s="667"/>
      <c r="DS40" s="667"/>
      <c r="DT40" s="667"/>
      <c r="DU40" s="667"/>
      <c r="DV40" s="667"/>
      <c r="DW40" s="667"/>
      <c r="DX40" s="667"/>
      <c r="DY40" s="667"/>
      <c r="DZ40" s="667"/>
      <c r="EA40" s="667"/>
      <c r="EB40" s="667"/>
      <c r="EC40" s="667"/>
      <c r="ED40" s="667"/>
      <c r="EE40" s="667"/>
      <c r="EF40" s="667"/>
      <c r="EG40" s="667"/>
      <c r="EH40" s="667"/>
      <c r="EI40" s="667"/>
      <c r="EJ40" s="667"/>
      <c r="EK40" s="667"/>
      <c r="EL40" s="667"/>
      <c r="EM40" s="667"/>
      <c r="EN40" s="667"/>
      <c r="EO40" s="667"/>
      <c r="EP40" s="667"/>
      <c r="EQ40" s="667"/>
      <c r="ER40" s="667"/>
      <c r="ES40" s="667"/>
      <c r="ET40" s="667"/>
      <c r="EU40" s="667"/>
      <c r="EV40" s="667"/>
      <c r="EW40" s="667"/>
      <c r="EX40" s="667"/>
      <c r="EY40" s="667"/>
      <c r="EZ40" s="667"/>
      <c r="FA40" s="667"/>
      <c r="FB40" s="667"/>
      <c r="FC40" s="667"/>
      <c r="FD40" s="667"/>
      <c r="FE40" s="667"/>
      <c r="FF40" s="667"/>
      <c r="FG40" s="667"/>
      <c r="FH40" s="667"/>
      <c r="FI40" s="667"/>
      <c r="FJ40" s="667"/>
      <c r="FK40" s="667"/>
      <c r="FL40" s="667"/>
      <c r="FM40" s="667"/>
      <c r="FN40" s="667"/>
      <c r="FO40" s="667"/>
      <c r="FP40" s="667"/>
      <c r="FQ40" s="667"/>
      <c r="FR40" s="667"/>
      <c r="FS40" s="667"/>
      <c r="FT40" s="667"/>
      <c r="FU40" s="667"/>
      <c r="FV40" s="667"/>
      <c r="FW40" s="667"/>
      <c r="FX40" s="667"/>
      <c r="FY40" s="667"/>
      <c r="FZ40" s="667"/>
      <c r="GA40" s="667"/>
      <c r="GB40" s="667"/>
      <c r="GC40" s="667"/>
      <c r="GD40" s="667"/>
      <c r="GE40" s="667"/>
      <c r="GF40" s="667"/>
      <c r="GG40" s="667"/>
      <c r="GH40" s="667"/>
      <c r="GI40" s="667"/>
      <c r="GJ40" s="667"/>
      <c r="GK40" s="667"/>
      <c r="GL40" s="667"/>
      <c r="GM40" s="667"/>
      <c r="GN40" s="667"/>
      <c r="GO40" s="667"/>
      <c r="GP40" s="667"/>
      <c r="GQ40" s="667"/>
      <c r="GR40" s="667"/>
      <c r="GS40" s="667"/>
      <c r="GT40" s="667"/>
      <c r="GU40" s="667"/>
      <c r="GV40" s="667"/>
      <c r="GW40" s="667"/>
      <c r="GX40" s="667"/>
      <c r="GY40" s="667"/>
      <c r="GZ40" s="667"/>
      <c r="HA40" s="667"/>
      <c r="HB40" s="667"/>
      <c r="HC40" s="667"/>
      <c r="HD40" s="667"/>
      <c r="HE40" s="667"/>
      <c r="HF40" s="667"/>
      <c r="HG40" s="667"/>
      <c r="HH40" s="667"/>
      <c r="HI40" s="667"/>
      <c r="HJ40" s="667"/>
      <c r="HK40" s="667"/>
      <c r="HL40" s="667"/>
      <c r="HM40" s="667"/>
      <c r="HN40" s="667"/>
      <c r="HO40" s="667"/>
      <c r="HP40" s="667"/>
      <c r="HQ40" s="667"/>
      <c r="HR40" s="667"/>
      <c r="HS40" s="667"/>
      <c r="HT40" s="667"/>
      <c r="HU40" s="667"/>
      <c r="HV40" s="667"/>
      <c r="HW40" s="667"/>
    </row>
    <row r="41" spans="1:232" ht="15.9" customHeight="1">
      <c r="A41" s="700"/>
      <c r="B41" s="701"/>
      <c r="C41" s="701"/>
      <c r="D41" s="694"/>
      <c r="E41" s="702"/>
      <c r="F41" s="662"/>
      <c r="G41" s="662"/>
      <c r="H41" s="662"/>
      <c r="I41" s="662"/>
      <c r="J41" s="662"/>
      <c r="K41" s="665"/>
      <c r="L41" s="666"/>
      <c r="M41" s="666"/>
      <c r="N41" s="666"/>
      <c r="O41" s="666"/>
      <c r="P41" s="666"/>
      <c r="Q41" s="666"/>
      <c r="R41" s="666"/>
      <c r="S41" s="666"/>
      <c r="T41" s="666"/>
      <c r="U41" s="666"/>
      <c r="V41" s="666"/>
      <c r="W41" s="666"/>
      <c r="X41" s="667"/>
      <c r="Y41" s="667"/>
      <c r="Z41" s="667"/>
      <c r="AA41" s="667"/>
      <c r="AB41" s="667"/>
      <c r="AC41" s="667"/>
      <c r="AD41" s="667"/>
      <c r="AE41" s="667"/>
      <c r="AF41" s="667"/>
      <c r="AG41" s="667"/>
      <c r="AH41" s="667"/>
      <c r="AI41" s="667"/>
      <c r="AJ41" s="667"/>
      <c r="AK41" s="667"/>
      <c r="AL41" s="667"/>
      <c r="AM41" s="667"/>
      <c r="AN41" s="667"/>
      <c r="AO41" s="667"/>
      <c r="AP41" s="667"/>
      <c r="AQ41" s="667"/>
      <c r="AR41" s="667"/>
      <c r="AS41" s="667"/>
      <c r="AT41" s="667"/>
      <c r="AU41" s="667"/>
      <c r="AV41" s="667"/>
      <c r="AW41" s="667"/>
      <c r="AX41" s="667"/>
      <c r="AY41" s="667"/>
      <c r="AZ41" s="667"/>
      <c r="BA41" s="667"/>
      <c r="BB41" s="667"/>
      <c r="BC41" s="667"/>
      <c r="BD41" s="667"/>
      <c r="BE41" s="667"/>
      <c r="BF41" s="667"/>
      <c r="BG41" s="667"/>
      <c r="BH41" s="667"/>
      <c r="BI41" s="667"/>
      <c r="BJ41" s="667"/>
      <c r="BK41" s="667"/>
      <c r="BL41" s="667"/>
      <c r="BM41" s="667"/>
      <c r="BN41" s="667"/>
      <c r="BO41" s="667"/>
      <c r="BP41" s="667"/>
      <c r="BQ41" s="667"/>
      <c r="BR41" s="667"/>
      <c r="BS41" s="667"/>
      <c r="BT41" s="667"/>
      <c r="BU41" s="667"/>
      <c r="BV41" s="667"/>
      <c r="BW41" s="667"/>
      <c r="BX41" s="667"/>
      <c r="BY41" s="667"/>
      <c r="BZ41" s="667"/>
      <c r="CA41" s="667"/>
      <c r="CB41" s="667"/>
      <c r="CC41" s="667"/>
      <c r="CD41" s="667"/>
      <c r="CE41" s="667"/>
      <c r="CF41" s="667"/>
      <c r="CG41" s="667"/>
      <c r="CH41" s="667"/>
      <c r="CI41" s="667"/>
      <c r="CJ41" s="667"/>
      <c r="CK41" s="667"/>
      <c r="CL41" s="667"/>
      <c r="CM41" s="667"/>
      <c r="CN41" s="667"/>
      <c r="CO41" s="667"/>
      <c r="CP41" s="667"/>
      <c r="CQ41" s="667"/>
      <c r="CR41" s="667"/>
      <c r="CS41" s="667"/>
      <c r="CT41" s="667"/>
      <c r="CU41" s="667"/>
      <c r="CV41" s="667"/>
      <c r="CW41" s="667"/>
      <c r="CX41" s="667"/>
      <c r="CY41" s="667"/>
      <c r="CZ41" s="667"/>
      <c r="DA41" s="667"/>
      <c r="DB41" s="667"/>
      <c r="DC41" s="667"/>
      <c r="DD41" s="667"/>
      <c r="DE41" s="667"/>
      <c r="DF41" s="667"/>
      <c r="DG41" s="667"/>
      <c r="DH41" s="667"/>
      <c r="DI41" s="667"/>
      <c r="DJ41" s="667"/>
      <c r="DK41" s="667"/>
      <c r="DL41" s="667"/>
      <c r="DM41" s="667"/>
      <c r="DN41" s="667"/>
      <c r="DO41" s="667"/>
      <c r="DP41" s="667"/>
      <c r="DQ41" s="667"/>
      <c r="DR41" s="667"/>
      <c r="DS41" s="667"/>
      <c r="DT41" s="667"/>
      <c r="DU41" s="667"/>
      <c r="DV41" s="667"/>
      <c r="DW41" s="667"/>
      <c r="DX41" s="667"/>
      <c r="DY41" s="667"/>
      <c r="DZ41" s="667"/>
      <c r="EA41" s="667"/>
      <c r="EB41" s="667"/>
      <c r="EC41" s="667"/>
      <c r="ED41" s="667"/>
      <c r="EE41" s="667"/>
      <c r="EF41" s="667"/>
      <c r="EG41" s="667"/>
      <c r="EH41" s="667"/>
      <c r="EI41" s="667"/>
      <c r="EJ41" s="667"/>
      <c r="EK41" s="667"/>
      <c r="EL41" s="667"/>
      <c r="EM41" s="667"/>
      <c r="EN41" s="667"/>
      <c r="EO41" s="667"/>
      <c r="EP41" s="667"/>
      <c r="EQ41" s="667"/>
      <c r="ER41" s="667"/>
      <c r="ES41" s="667"/>
      <c r="ET41" s="667"/>
      <c r="EU41" s="667"/>
      <c r="EV41" s="667"/>
      <c r="EW41" s="667"/>
      <c r="EX41" s="667"/>
      <c r="EY41" s="667"/>
      <c r="EZ41" s="667"/>
      <c r="FA41" s="667"/>
      <c r="FB41" s="667"/>
      <c r="FC41" s="667"/>
      <c r="FD41" s="667"/>
      <c r="FE41" s="667"/>
      <c r="FF41" s="667"/>
      <c r="FG41" s="667"/>
      <c r="FH41" s="667"/>
      <c r="FI41" s="667"/>
      <c r="FJ41" s="667"/>
      <c r="FK41" s="667"/>
      <c r="FL41" s="667"/>
      <c r="FM41" s="667"/>
      <c r="FN41" s="667"/>
      <c r="FO41" s="667"/>
      <c r="FP41" s="667"/>
      <c r="FQ41" s="667"/>
      <c r="FR41" s="667"/>
      <c r="FS41" s="667"/>
      <c r="FT41" s="667"/>
      <c r="FU41" s="667"/>
      <c r="FV41" s="667"/>
      <c r="FW41" s="667"/>
      <c r="FX41" s="667"/>
      <c r="FY41" s="667"/>
      <c r="FZ41" s="667"/>
      <c r="GA41" s="667"/>
      <c r="GB41" s="667"/>
      <c r="GC41" s="667"/>
      <c r="GD41" s="667"/>
      <c r="GE41" s="667"/>
      <c r="GF41" s="667"/>
      <c r="GG41" s="667"/>
      <c r="GH41" s="667"/>
      <c r="GI41" s="667"/>
      <c r="GJ41" s="667"/>
      <c r="GK41" s="667"/>
      <c r="GL41" s="667"/>
      <c r="GM41" s="667"/>
      <c r="GN41" s="667"/>
      <c r="GO41" s="667"/>
      <c r="GP41" s="667"/>
      <c r="GQ41" s="667"/>
      <c r="GR41" s="667"/>
      <c r="GS41" s="667"/>
      <c r="GT41" s="667"/>
      <c r="GU41" s="667"/>
      <c r="GV41" s="667"/>
      <c r="GW41" s="667"/>
      <c r="GX41" s="667"/>
      <c r="GY41" s="667"/>
      <c r="GZ41" s="667"/>
      <c r="HA41" s="667"/>
      <c r="HB41" s="667"/>
      <c r="HC41" s="667"/>
      <c r="HD41" s="667"/>
      <c r="HE41" s="667"/>
      <c r="HF41" s="667"/>
      <c r="HG41" s="667"/>
      <c r="HH41" s="667"/>
      <c r="HI41" s="667"/>
      <c r="HJ41" s="667"/>
      <c r="HK41" s="667"/>
      <c r="HL41" s="667"/>
      <c r="HM41" s="667"/>
      <c r="HN41" s="667"/>
      <c r="HO41" s="667"/>
      <c r="HP41" s="667"/>
      <c r="HQ41" s="667"/>
      <c r="HR41" s="667"/>
      <c r="HS41" s="667"/>
      <c r="HT41" s="667"/>
      <c r="HU41" s="667"/>
      <c r="HV41" s="667"/>
      <c r="HW41" s="667"/>
    </row>
    <row r="42" spans="1:232" ht="15.6" customHeight="1">
      <c r="A42" s="703" t="s">
        <v>2</v>
      </c>
      <c r="B42" s="703"/>
      <c r="C42" s="703"/>
      <c r="D42" s="704"/>
      <c r="E42" s="705"/>
      <c r="F42" s="662"/>
      <c r="G42" s="662"/>
      <c r="H42" s="662"/>
      <c r="I42" s="662"/>
      <c r="J42" s="662"/>
      <c r="K42" s="682"/>
      <c r="L42" s="666"/>
      <c r="M42" s="666"/>
      <c r="N42" s="706"/>
      <c r="O42" s="706"/>
      <c r="P42" s="669"/>
      <c r="Q42" s="669"/>
      <c r="R42" s="669"/>
      <c r="S42" s="669"/>
      <c r="T42" s="669"/>
      <c r="U42" s="666"/>
      <c r="V42" s="666"/>
      <c r="W42" s="666"/>
      <c r="X42" s="667"/>
      <c r="Y42" s="667"/>
      <c r="Z42" s="667"/>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c r="AY42" s="667"/>
      <c r="AZ42" s="667"/>
      <c r="BA42" s="667"/>
      <c r="BB42" s="667"/>
      <c r="BC42" s="667"/>
      <c r="BD42" s="667"/>
      <c r="BE42" s="667"/>
      <c r="BF42" s="667"/>
      <c r="BG42" s="667"/>
      <c r="BH42" s="667"/>
      <c r="BI42" s="667"/>
      <c r="BJ42" s="667"/>
      <c r="BK42" s="667"/>
      <c r="BL42" s="667"/>
      <c r="BM42" s="667"/>
      <c r="BN42" s="667"/>
      <c r="BO42" s="667"/>
      <c r="BP42" s="667"/>
      <c r="BQ42" s="667"/>
      <c r="BR42" s="667"/>
      <c r="BS42" s="667"/>
      <c r="BT42" s="667"/>
      <c r="BU42" s="667"/>
      <c r="BV42" s="667"/>
      <c r="BW42" s="667"/>
      <c r="BX42" s="667"/>
      <c r="BY42" s="667"/>
      <c r="BZ42" s="667"/>
      <c r="CA42" s="667"/>
      <c r="CB42" s="667"/>
      <c r="CC42" s="667"/>
      <c r="CD42" s="667"/>
      <c r="CE42" s="667"/>
      <c r="CF42" s="667"/>
      <c r="CG42" s="667"/>
      <c r="CH42" s="667"/>
      <c r="CI42" s="667"/>
      <c r="CJ42" s="667"/>
      <c r="CK42" s="667"/>
      <c r="CL42" s="667"/>
      <c r="CM42" s="667"/>
      <c r="CN42" s="667"/>
      <c r="CO42" s="667"/>
      <c r="CP42" s="667"/>
      <c r="CQ42" s="667"/>
      <c r="CR42" s="667"/>
      <c r="CS42" s="667"/>
      <c r="CT42" s="667"/>
      <c r="CU42" s="667"/>
      <c r="CV42" s="667"/>
      <c r="CW42" s="667"/>
      <c r="CX42" s="667"/>
      <c r="CY42" s="667"/>
      <c r="CZ42" s="667"/>
      <c r="DA42" s="667"/>
      <c r="DB42" s="667"/>
      <c r="DC42" s="667"/>
      <c r="DD42" s="667"/>
      <c r="DE42" s="667"/>
      <c r="DF42" s="667"/>
      <c r="DG42" s="667"/>
      <c r="DH42" s="667"/>
      <c r="DI42" s="667"/>
      <c r="DJ42" s="667"/>
      <c r="DK42" s="667"/>
      <c r="DL42" s="667"/>
      <c r="DM42" s="667"/>
      <c r="DN42" s="667"/>
      <c r="DO42" s="667"/>
      <c r="DP42" s="667"/>
      <c r="DQ42" s="667"/>
      <c r="DR42" s="667"/>
      <c r="DS42" s="667"/>
      <c r="DT42" s="667"/>
      <c r="DU42" s="667"/>
      <c r="DV42" s="667"/>
      <c r="DW42" s="667"/>
      <c r="DX42" s="667"/>
      <c r="DY42" s="667"/>
      <c r="DZ42" s="667"/>
      <c r="EA42" s="667"/>
      <c r="EB42" s="667"/>
      <c r="EC42" s="667"/>
      <c r="ED42" s="667"/>
      <c r="EE42" s="667"/>
      <c r="EF42" s="667"/>
      <c r="EG42" s="667"/>
      <c r="EH42" s="667"/>
      <c r="EI42" s="667"/>
      <c r="EJ42" s="667"/>
      <c r="EK42" s="667"/>
      <c r="EL42" s="667"/>
      <c r="EM42" s="667"/>
      <c r="EN42" s="667"/>
      <c r="EO42" s="667"/>
      <c r="EP42" s="667"/>
      <c r="EQ42" s="667"/>
      <c r="ER42" s="667"/>
      <c r="ES42" s="667"/>
      <c r="ET42" s="667"/>
      <c r="EU42" s="667"/>
      <c r="EV42" s="667"/>
      <c r="EW42" s="667"/>
      <c r="EX42" s="667"/>
      <c r="EY42" s="667"/>
      <c r="EZ42" s="667"/>
      <c r="FA42" s="667"/>
      <c r="FB42" s="667"/>
      <c r="FC42" s="667"/>
      <c r="FD42" s="667"/>
      <c r="FE42" s="667"/>
      <c r="FF42" s="667"/>
      <c r="FG42" s="667"/>
      <c r="FH42" s="667"/>
      <c r="FI42" s="667"/>
      <c r="FJ42" s="667"/>
      <c r="FK42" s="667"/>
      <c r="FL42" s="667"/>
      <c r="FM42" s="667"/>
      <c r="FN42" s="667"/>
      <c r="FO42" s="667"/>
      <c r="FP42" s="667"/>
      <c r="FQ42" s="667"/>
      <c r="FR42" s="667"/>
      <c r="FS42" s="667"/>
      <c r="FT42" s="667"/>
      <c r="FU42" s="667"/>
      <c r="FV42" s="667"/>
      <c r="FW42" s="667"/>
      <c r="FX42" s="667"/>
      <c r="FY42" s="667"/>
      <c r="FZ42" s="667"/>
      <c r="GA42" s="667"/>
      <c r="GB42" s="667"/>
      <c r="GC42" s="667"/>
      <c r="GD42" s="667"/>
      <c r="GE42" s="667"/>
      <c r="GF42" s="667"/>
      <c r="GG42" s="667"/>
      <c r="GH42" s="667"/>
      <c r="GI42" s="667"/>
      <c r="GJ42" s="667"/>
      <c r="GK42" s="667"/>
      <c r="GL42" s="667"/>
      <c r="GM42" s="667"/>
      <c r="GN42" s="667"/>
      <c r="GO42" s="667"/>
      <c r="GP42" s="667"/>
      <c r="GQ42" s="667"/>
      <c r="GR42" s="667"/>
      <c r="GS42" s="667"/>
      <c r="GT42" s="667"/>
      <c r="GU42" s="667"/>
      <c r="GV42" s="667"/>
      <c r="GW42" s="667"/>
      <c r="GX42" s="667"/>
      <c r="GY42" s="667"/>
      <c r="GZ42" s="667"/>
      <c r="HA42" s="667"/>
      <c r="HB42" s="667"/>
      <c r="HC42" s="667"/>
      <c r="HD42" s="667"/>
      <c r="HE42" s="667"/>
      <c r="HF42" s="667"/>
      <c r="HG42" s="667"/>
      <c r="HH42" s="667"/>
      <c r="HI42" s="667"/>
      <c r="HJ42" s="667"/>
      <c r="HK42" s="667"/>
      <c r="HL42" s="667"/>
      <c r="HM42" s="667"/>
      <c r="HN42" s="667"/>
      <c r="HO42" s="667"/>
      <c r="HP42" s="667"/>
      <c r="HQ42" s="667"/>
      <c r="HR42" s="667"/>
      <c r="HS42" s="667"/>
      <c r="HT42" s="667"/>
      <c r="HU42" s="667"/>
      <c r="HV42" s="667"/>
      <c r="HW42" s="667"/>
      <c r="HX42" s="667"/>
    </row>
    <row r="43" spans="1:232" ht="14.1" customHeight="1">
      <c r="A43" s="941" t="s">
        <v>406</v>
      </c>
      <c r="B43" s="705"/>
      <c r="C43" s="705"/>
      <c r="D43" s="704"/>
      <c r="E43" s="707"/>
      <c r="F43" s="664"/>
      <c r="G43" s="664"/>
      <c r="H43" s="664"/>
      <c r="I43" s="664"/>
      <c r="J43" s="662"/>
      <c r="K43" s="665"/>
      <c r="L43" s="666"/>
      <c r="M43" s="666"/>
      <c r="N43" s="666"/>
      <c r="O43" s="706"/>
      <c r="P43" s="669"/>
      <c r="Q43" s="669"/>
      <c r="R43" s="669"/>
      <c r="S43" s="669"/>
      <c r="T43" s="669"/>
      <c r="U43" s="666"/>
      <c r="V43" s="666"/>
      <c r="W43" s="666"/>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667"/>
      <c r="BD43" s="667"/>
      <c r="BE43" s="667"/>
      <c r="BF43" s="667"/>
      <c r="BG43" s="667"/>
      <c r="BH43" s="667"/>
      <c r="BI43" s="667"/>
      <c r="BJ43" s="667"/>
      <c r="BK43" s="667"/>
      <c r="BL43" s="667"/>
      <c r="BM43" s="667"/>
      <c r="BN43" s="667"/>
      <c r="BO43" s="667"/>
      <c r="BP43" s="667"/>
      <c r="BQ43" s="667"/>
      <c r="BR43" s="667"/>
      <c r="BS43" s="667"/>
      <c r="BT43" s="667"/>
      <c r="BU43" s="667"/>
      <c r="BV43" s="667"/>
      <c r="BW43" s="667"/>
      <c r="BX43" s="667"/>
      <c r="BY43" s="667"/>
      <c r="BZ43" s="667"/>
      <c r="CA43" s="667"/>
      <c r="CB43" s="667"/>
      <c r="CC43" s="667"/>
      <c r="CD43" s="667"/>
      <c r="CE43" s="667"/>
      <c r="CF43" s="667"/>
      <c r="CG43" s="667"/>
      <c r="CH43" s="667"/>
      <c r="CI43" s="667"/>
      <c r="CJ43" s="667"/>
      <c r="CK43" s="667"/>
      <c r="CL43" s="667"/>
      <c r="CM43" s="667"/>
      <c r="CN43" s="667"/>
      <c r="CO43" s="667"/>
      <c r="CP43" s="667"/>
      <c r="CQ43" s="667"/>
      <c r="CR43" s="667"/>
      <c r="CS43" s="667"/>
      <c r="CT43" s="667"/>
      <c r="CU43" s="667"/>
      <c r="CV43" s="667"/>
      <c r="CW43" s="667"/>
      <c r="CX43" s="667"/>
      <c r="CY43" s="667"/>
      <c r="CZ43" s="667"/>
      <c r="DA43" s="667"/>
      <c r="DB43" s="667"/>
      <c r="DC43" s="667"/>
      <c r="DD43" s="667"/>
      <c r="DE43" s="667"/>
      <c r="DF43" s="667"/>
      <c r="DG43" s="667"/>
      <c r="DH43" s="667"/>
      <c r="DI43" s="667"/>
      <c r="DJ43" s="667"/>
      <c r="DK43" s="667"/>
      <c r="DL43" s="667"/>
      <c r="DM43" s="667"/>
      <c r="DN43" s="667"/>
      <c r="DO43" s="667"/>
      <c r="DP43" s="667"/>
      <c r="DQ43" s="667"/>
      <c r="DR43" s="667"/>
      <c r="DS43" s="667"/>
      <c r="DT43" s="667"/>
      <c r="DU43" s="667"/>
      <c r="DV43" s="667"/>
      <c r="DW43" s="667"/>
      <c r="DX43" s="667"/>
      <c r="DY43" s="667"/>
      <c r="DZ43" s="667"/>
      <c r="EA43" s="667"/>
      <c r="EB43" s="667"/>
      <c r="EC43" s="667"/>
      <c r="ED43" s="667"/>
      <c r="EE43" s="667"/>
      <c r="EF43" s="667"/>
      <c r="EG43" s="667"/>
      <c r="EH43" s="667"/>
      <c r="EI43" s="667"/>
      <c r="EJ43" s="667"/>
      <c r="EK43" s="667"/>
      <c r="EL43" s="667"/>
      <c r="EM43" s="667"/>
      <c r="EN43" s="667"/>
      <c r="EO43" s="667"/>
      <c r="EP43" s="667"/>
      <c r="EQ43" s="667"/>
      <c r="ER43" s="667"/>
      <c r="ES43" s="667"/>
      <c r="ET43" s="667"/>
      <c r="EU43" s="667"/>
      <c r="EV43" s="667"/>
      <c r="EW43" s="667"/>
      <c r="EX43" s="667"/>
      <c r="EY43" s="667"/>
      <c r="EZ43" s="667"/>
      <c r="FA43" s="667"/>
      <c r="FB43" s="667"/>
      <c r="FC43" s="667"/>
      <c r="FD43" s="667"/>
      <c r="FE43" s="667"/>
      <c r="FF43" s="667"/>
      <c r="FG43" s="667"/>
      <c r="FH43" s="667"/>
      <c r="FI43" s="667"/>
      <c r="FJ43" s="667"/>
      <c r="FK43" s="667"/>
      <c r="FL43" s="667"/>
      <c r="FM43" s="667"/>
      <c r="FN43" s="667"/>
      <c r="FO43" s="667"/>
      <c r="FP43" s="667"/>
      <c r="FQ43" s="667"/>
      <c r="FR43" s="667"/>
      <c r="FS43" s="667"/>
      <c r="FT43" s="667"/>
      <c r="FU43" s="667"/>
      <c r="FV43" s="667"/>
      <c r="FW43" s="667"/>
      <c r="FX43" s="667"/>
      <c r="FY43" s="667"/>
      <c r="FZ43" s="667"/>
      <c r="GA43" s="667"/>
      <c r="GB43" s="667"/>
      <c r="GC43" s="667"/>
      <c r="GD43" s="667"/>
      <c r="GE43" s="667"/>
      <c r="GF43" s="667"/>
      <c r="GG43" s="667"/>
      <c r="GH43" s="667"/>
      <c r="GI43" s="667"/>
      <c r="GJ43" s="667"/>
      <c r="GK43" s="667"/>
      <c r="GL43" s="667"/>
      <c r="GM43" s="667"/>
      <c r="GN43" s="667"/>
      <c r="GO43" s="667"/>
      <c r="GP43" s="667"/>
      <c r="GQ43" s="667"/>
      <c r="GR43" s="667"/>
      <c r="GS43" s="667"/>
      <c r="GT43" s="667"/>
      <c r="GU43" s="667"/>
      <c r="GV43" s="667"/>
      <c r="GW43" s="667"/>
      <c r="GX43" s="667"/>
      <c r="GY43" s="667"/>
      <c r="GZ43" s="667"/>
      <c r="HA43" s="667"/>
      <c r="HB43" s="667"/>
      <c r="HC43" s="667"/>
      <c r="HD43" s="667"/>
      <c r="HE43" s="667"/>
      <c r="HF43" s="667"/>
      <c r="HG43" s="667"/>
      <c r="HH43" s="667"/>
      <c r="HI43" s="667"/>
      <c r="HJ43" s="667"/>
      <c r="HK43" s="667"/>
      <c r="HL43" s="667"/>
      <c r="HM43" s="667"/>
      <c r="HN43" s="667"/>
      <c r="HO43" s="667"/>
      <c r="HP43" s="667"/>
      <c r="HQ43" s="667"/>
      <c r="HR43" s="667"/>
      <c r="HS43" s="667"/>
      <c r="HT43" s="667"/>
      <c r="HU43" s="667"/>
      <c r="HV43" s="667"/>
      <c r="HW43" s="667"/>
      <c r="HX43" s="667"/>
    </row>
    <row r="44" spans="1:232" ht="14.1" customHeight="1">
      <c r="A44" s="703" t="s">
        <v>41</v>
      </c>
      <c r="B44" s="705"/>
      <c r="C44" s="705"/>
      <c r="D44" s="704"/>
      <c r="E44" s="707"/>
      <c r="F44" s="703"/>
      <c r="G44" s="703"/>
      <c r="H44" s="703"/>
      <c r="I44" s="703"/>
      <c r="J44" s="662"/>
      <c r="K44" s="665"/>
      <c r="L44" s="666"/>
      <c r="O44" s="676"/>
      <c r="P44" s="676"/>
      <c r="Q44" s="676"/>
      <c r="R44" s="676"/>
      <c r="S44" s="676"/>
      <c r="T44" s="676"/>
      <c r="U44" s="666"/>
      <c r="V44" s="666"/>
      <c r="W44" s="666"/>
      <c r="X44" s="667"/>
      <c r="Y44" s="667"/>
      <c r="Z44" s="667"/>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AY44" s="667"/>
      <c r="AZ44" s="667"/>
      <c r="BA44" s="667"/>
      <c r="BB44" s="667"/>
      <c r="BC44" s="667"/>
      <c r="BD44" s="667"/>
      <c r="BE44" s="667"/>
      <c r="BF44" s="667"/>
      <c r="BG44" s="667"/>
      <c r="BH44" s="667"/>
      <c r="BI44" s="667"/>
      <c r="BJ44" s="667"/>
      <c r="BK44" s="667"/>
      <c r="BL44" s="667"/>
      <c r="BM44" s="667"/>
      <c r="BN44" s="667"/>
      <c r="BO44" s="667"/>
      <c r="BP44" s="667"/>
      <c r="BQ44" s="667"/>
      <c r="BR44" s="667"/>
      <c r="BS44" s="667"/>
      <c r="BT44" s="667"/>
      <c r="BU44" s="667"/>
      <c r="BV44" s="667"/>
      <c r="BW44" s="667"/>
      <c r="BX44" s="667"/>
      <c r="BY44" s="667"/>
      <c r="BZ44" s="667"/>
      <c r="CA44" s="667"/>
      <c r="CB44" s="667"/>
      <c r="CC44" s="667"/>
      <c r="CD44" s="667"/>
      <c r="CE44" s="667"/>
      <c r="CF44" s="667"/>
      <c r="CG44" s="667"/>
      <c r="CH44" s="667"/>
      <c r="CI44" s="667"/>
      <c r="CJ44" s="667"/>
      <c r="CK44" s="667"/>
      <c r="CL44" s="667"/>
      <c r="CM44" s="667"/>
      <c r="CN44" s="667"/>
      <c r="CO44" s="667"/>
      <c r="CP44" s="667"/>
      <c r="CQ44" s="667"/>
      <c r="CR44" s="667"/>
      <c r="CS44" s="667"/>
      <c r="CT44" s="667"/>
      <c r="CU44" s="667"/>
      <c r="CV44" s="667"/>
      <c r="CW44" s="667"/>
      <c r="CX44" s="667"/>
      <c r="CY44" s="667"/>
      <c r="CZ44" s="667"/>
      <c r="DA44" s="667"/>
      <c r="DB44" s="667"/>
      <c r="DC44" s="667"/>
      <c r="DD44" s="667"/>
      <c r="DE44" s="667"/>
      <c r="DF44" s="667"/>
      <c r="DG44" s="667"/>
      <c r="DH44" s="667"/>
      <c r="DI44" s="667"/>
      <c r="DJ44" s="667"/>
      <c r="DK44" s="667"/>
      <c r="DL44" s="667"/>
      <c r="DM44" s="667"/>
      <c r="DN44" s="667"/>
      <c r="DO44" s="667"/>
      <c r="DP44" s="667"/>
      <c r="DQ44" s="667"/>
      <c r="DR44" s="667"/>
      <c r="DS44" s="667"/>
      <c r="DT44" s="667"/>
      <c r="DU44" s="667"/>
      <c r="DV44" s="667"/>
      <c r="DW44" s="667"/>
      <c r="DX44" s="667"/>
      <c r="DY44" s="667"/>
      <c r="DZ44" s="667"/>
      <c r="EA44" s="667"/>
      <c r="EB44" s="667"/>
      <c r="EC44" s="667"/>
      <c r="ED44" s="667"/>
      <c r="EE44" s="667"/>
      <c r="EF44" s="667"/>
      <c r="EG44" s="667"/>
      <c r="EH44" s="667"/>
      <c r="EI44" s="667"/>
      <c r="EJ44" s="667"/>
      <c r="EK44" s="667"/>
      <c r="EL44" s="667"/>
      <c r="EM44" s="667"/>
      <c r="EN44" s="667"/>
      <c r="EO44" s="667"/>
      <c r="EP44" s="667"/>
      <c r="EQ44" s="667"/>
      <c r="ER44" s="667"/>
      <c r="ES44" s="667"/>
      <c r="ET44" s="667"/>
      <c r="EU44" s="667"/>
      <c r="EV44" s="667"/>
      <c r="EW44" s="667"/>
      <c r="EX44" s="667"/>
      <c r="EY44" s="667"/>
      <c r="EZ44" s="667"/>
      <c r="FA44" s="667"/>
      <c r="FB44" s="667"/>
      <c r="FC44" s="667"/>
      <c r="FD44" s="667"/>
      <c r="FE44" s="667"/>
      <c r="FF44" s="667"/>
      <c r="FG44" s="667"/>
      <c r="FH44" s="667"/>
      <c r="FI44" s="667"/>
      <c r="FJ44" s="667"/>
      <c r="FK44" s="667"/>
      <c r="FL44" s="667"/>
      <c r="FM44" s="667"/>
      <c r="FN44" s="667"/>
      <c r="FO44" s="667"/>
      <c r="FP44" s="667"/>
      <c r="FQ44" s="667"/>
      <c r="FR44" s="667"/>
      <c r="FS44" s="667"/>
      <c r="FT44" s="667"/>
      <c r="FU44" s="667"/>
      <c r="FV44" s="667"/>
      <c r="FW44" s="667"/>
      <c r="FX44" s="667"/>
      <c r="FY44" s="667"/>
      <c r="FZ44" s="667"/>
      <c r="GA44" s="667"/>
      <c r="GB44" s="667"/>
      <c r="GC44" s="667"/>
      <c r="GD44" s="667"/>
      <c r="GE44" s="667"/>
      <c r="GF44" s="667"/>
      <c r="GG44" s="667"/>
      <c r="GH44" s="667"/>
      <c r="GI44" s="667"/>
      <c r="GJ44" s="667"/>
      <c r="GK44" s="667"/>
      <c r="GL44" s="667"/>
      <c r="GM44" s="667"/>
      <c r="GN44" s="667"/>
      <c r="GO44" s="667"/>
      <c r="GP44" s="667"/>
      <c r="GQ44" s="667"/>
      <c r="GR44" s="667"/>
      <c r="GS44" s="667"/>
      <c r="GT44" s="667"/>
      <c r="GU44" s="667"/>
      <c r="GV44" s="667"/>
      <c r="GW44" s="667"/>
      <c r="GX44" s="667"/>
      <c r="GY44" s="667"/>
      <c r="GZ44" s="667"/>
      <c r="HA44" s="667"/>
      <c r="HB44" s="667"/>
      <c r="HC44" s="667"/>
      <c r="HD44" s="667"/>
      <c r="HE44" s="667"/>
      <c r="HF44" s="667"/>
      <c r="HG44" s="667"/>
      <c r="HH44" s="667"/>
      <c r="HI44" s="667"/>
      <c r="HJ44" s="667"/>
      <c r="HK44" s="667"/>
      <c r="HL44" s="667"/>
      <c r="HM44" s="667"/>
      <c r="HN44" s="667"/>
      <c r="HO44" s="667"/>
      <c r="HP44" s="667"/>
      <c r="HQ44" s="667"/>
      <c r="HR44" s="667"/>
      <c r="HS44" s="667"/>
      <c r="HT44" s="667"/>
      <c r="HU44" s="667"/>
      <c r="HV44" s="667"/>
      <c r="HW44" s="667"/>
      <c r="HX44" s="667"/>
    </row>
    <row r="45" spans="1:232" ht="14.1" customHeight="1">
      <c r="A45" s="703" t="s">
        <v>42</v>
      </c>
      <c r="B45" s="705"/>
      <c r="C45" s="705"/>
      <c r="D45" s="704"/>
      <c r="E45" s="707"/>
      <c r="F45" s="703"/>
      <c r="G45" s="703"/>
      <c r="H45" s="703"/>
      <c r="I45" s="703"/>
      <c r="J45" s="662"/>
      <c r="K45" s="665"/>
      <c r="L45" s="666"/>
      <c r="M45" s="666"/>
      <c r="N45" s="666"/>
      <c r="O45" s="666"/>
      <c r="P45" s="666"/>
      <c r="Q45" s="708"/>
      <c r="R45" s="666"/>
      <c r="S45" s="666"/>
      <c r="T45" s="666"/>
      <c r="U45" s="666"/>
      <c r="V45" s="666"/>
      <c r="W45" s="666"/>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AY45" s="667"/>
      <c r="AZ45" s="667"/>
      <c r="BA45" s="667"/>
      <c r="BB45" s="667"/>
      <c r="BC45" s="667"/>
      <c r="BD45" s="667"/>
      <c r="BE45" s="667"/>
      <c r="BF45" s="667"/>
      <c r="BG45" s="667"/>
      <c r="BH45" s="667"/>
      <c r="BI45" s="667"/>
      <c r="BJ45" s="667"/>
      <c r="BK45" s="667"/>
      <c r="BL45" s="667"/>
      <c r="BM45" s="667"/>
      <c r="BN45" s="667"/>
      <c r="BO45" s="667"/>
      <c r="BP45" s="667"/>
      <c r="BQ45" s="667"/>
      <c r="BR45" s="667"/>
      <c r="BS45" s="667"/>
      <c r="BT45" s="667"/>
      <c r="BU45" s="667"/>
      <c r="BV45" s="667"/>
      <c r="BW45" s="667"/>
      <c r="BX45" s="667"/>
      <c r="BY45" s="667"/>
      <c r="BZ45" s="667"/>
      <c r="CA45" s="667"/>
      <c r="CB45" s="667"/>
      <c r="CC45" s="667"/>
      <c r="CD45" s="667"/>
      <c r="CE45" s="667"/>
      <c r="CF45" s="667"/>
      <c r="CG45" s="667"/>
      <c r="CH45" s="667"/>
      <c r="CI45" s="667"/>
      <c r="CJ45" s="667"/>
      <c r="CK45" s="667"/>
      <c r="CL45" s="667"/>
      <c r="CM45" s="667"/>
      <c r="CN45" s="667"/>
      <c r="CO45" s="667"/>
      <c r="CP45" s="667"/>
      <c r="CQ45" s="667"/>
      <c r="CR45" s="667"/>
      <c r="CS45" s="667"/>
      <c r="CT45" s="667"/>
      <c r="CU45" s="667"/>
      <c r="CV45" s="667"/>
      <c r="CW45" s="667"/>
      <c r="CX45" s="667"/>
      <c r="CY45" s="667"/>
      <c r="CZ45" s="667"/>
      <c r="DA45" s="667"/>
      <c r="DB45" s="667"/>
      <c r="DC45" s="667"/>
      <c r="DD45" s="667"/>
      <c r="DE45" s="667"/>
      <c r="DF45" s="667"/>
      <c r="DG45" s="667"/>
      <c r="DH45" s="667"/>
      <c r="DI45" s="667"/>
      <c r="DJ45" s="667"/>
      <c r="DK45" s="667"/>
      <c r="DL45" s="667"/>
      <c r="DM45" s="667"/>
      <c r="DN45" s="667"/>
      <c r="DO45" s="667"/>
      <c r="DP45" s="667"/>
      <c r="DQ45" s="667"/>
      <c r="DR45" s="667"/>
      <c r="DS45" s="667"/>
      <c r="DT45" s="667"/>
      <c r="DU45" s="667"/>
      <c r="DV45" s="667"/>
      <c r="DW45" s="667"/>
      <c r="DX45" s="667"/>
      <c r="DY45" s="667"/>
      <c r="DZ45" s="667"/>
      <c r="EA45" s="667"/>
      <c r="EB45" s="667"/>
      <c r="EC45" s="667"/>
      <c r="ED45" s="667"/>
      <c r="EE45" s="667"/>
      <c r="EF45" s="667"/>
      <c r="EG45" s="667"/>
      <c r="EH45" s="667"/>
      <c r="EI45" s="667"/>
      <c r="EJ45" s="667"/>
      <c r="EK45" s="667"/>
      <c r="EL45" s="667"/>
      <c r="EM45" s="667"/>
      <c r="EN45" s="667"/>
      <c r="EO45" s="667"/>
      <c r="EP45" s="667"/>
      <c r="EQ45" s="667"/>
      <c r="ER45" s="667"/>
      <c r="ES45" s="667"/>
      <c r="ET45" s="667"/>
      <c r="EU45" s="667"/>
      <c r="EV45" s="667"/>
      <c r="EW45" s="667"/>
      <c r="EX45" s="667"/>
      <c r="EY45" s="667"/>
      <c r="EZ45" s="667"/>
      <c r="FA45" s="667"/>
      <c r="FB45" s="667"/>
      <c r="FC45" s="667"/>
      <c r="FD45" s="667"/>
      <c r="FE45" s="667"/>
      <c r="FF45" s="667"/>
      <c r="FG45" s="667"/>
      <c r="FH45" s="667"/>
      <c r="FI45" s="667"/>
      <c r="FJ45" s="667"/>
      <c r="FK45" s="667"/>
      <c r="FL45" s="667"/>
      <c r="FM45" s="667"/>
      <c r="FN45" s="667"/>
      <c r="FO45" s="667"/>
      <c r="FP45" s="667"/>
      <c r="FQ45" s="667"/>
      <c r="FR45" s="667"/>
      <c r="FS45" s="667"/>
      <c r="FT45" s="667"/>
      <c r="FU45" s="667"/>
      <c r="FV45" s="667"/>
      <c r="FW45" s="667"/>
      <c r="FX45" s="667"/>
      <c r="FY45" s="667"/>
      <c r="FZ45" s="667"/>
      <c r="GA45" s="667"/>
      <c r="GB45" s="667"/>
      <c r="GC45" s="667"/>
      <c r="GD45" s="667"/>
      <c r="GE45" s="667"/>
      <c r="GF45" s="667"/>
      <c r="GG45" s="667"/>
      <c r="GH45" s="667"/>
      <c r="GI45" s="667"/>
      <c r="GJ45" s="667"/>
      <c r="GK45" s="667"/>
      <c r="GL45" s="667"/>
      <c r="GM45" s="667"/>
      <c r="GN45" s="667"/>
      <c r="GO45" s="667"/>
      <c r="GP45" s="667"/>
      <c r="GQ45" s="667"/>
      <c r="GR45" s="667"/>
      <c r="GS45" s="667"/>
      <c r="GT45" s="667"/>
      <c r="GU45" s="667"/>
      <c r="GV45" s="667"/>
      <c r="GW45" s="667"/>
      <c r="GX45" s="667"/>
      <c r="GY45" s="667"/>
      <c r="GZ45" s="667"/>
      <c r="HA45" s="667"/>
      <c r="HB45" s="667"/>
      <c r="HC45" s="667"/>
      <c r="HD45" s="667"/>
      <c r="HE45" s="667"/>
      <c r="HF45" s="667"/>
      <c r="HG45" s="667"/>
      <c r="HH45" s="667"/>
      <c r="HI45" s="667"/>
      <c r="HJ45" s="667"/>
      <c r="HK45" s="667"/>
      <c r="HL45" s="667"/>
      <c r="HM45" s="667"/>
      <c r="HN45" s="667"/>
      <c r="HO45" s="667"/>
      <c r="HP45" s="667"/>
      <c r="HQ45" s="667"/>
      <c r="HR45" s="667"/>
      <c r="HS45" s="667"/>
      <c r="HT45" s="667"/>
      <c r="HU45" s="667"/>
      <c r="HV45" s="667"/>
      <c r="HW45" s="667"/>
    </row>
    <row r="46" spans="1:232" ht="14.1" customHeight="1">
      <c r="A46" s="1089" t="s">
        <v>43</v>
      </c>
      <c r="B46" s="1090"/>
      <c r="C46" s="1090"/>
      <c r="D46" s="1090"/>
      <c r="E46" s="1090"/>
      <c r="F46" s="1090"/>
      <c r="G46" s="1090"/>
      <c r="H46" s="703"/>
      <c r="I46" s="703"/>
      <c r="J46" s="662"/>
      <c r="K46" s="665"/>
      <c r="L46" s="666"/>
      <c r="M46" s="666"/>
      <c r="N46" s="709"/>
      <c r="O46" s="709"/>
      <c r="P46" s="666"/>
      <c r="Q46" s="666"/>
      <c r="R46" s="666"/>
      <c r="S46" s="666"/>
      <c r="T46" s="666"/>
      <c r="U46" s="666"/>
      <c r="V46" s="666"/>
      <c r="W46" s="666"/>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c r="BE46" s="667"/>
      <c r="BF46" s="667"/>
      <c r="BG46" s="667"/>
      <c r="BH46" s="667"/>
      <c r="BI46" s="667"/>
      <c r="BJ46" s="667"/>
      <c r="BK46" s="667"/>
      <c r="BL46" s="667"/>
      <c r="BM46" s="667"/>
      <c r="BN46" s="667"/>
      <c r="BO46" s="667"/>
      <c r="BP46" s="667"/>
      <c r="BQ46" s="667"/>
      <c r="BR46" s="667"/>
      <c r="BS46" s="667"/>
      <c r="BT46" s="667"/>
      <c r="BU46" s="667"/>
      <c r="BV46" s="667"/>
      <c r="BW46" s="667"/>
      <c r="BX46" s="667"/>
      <c r="BY46" s="667"/>
      <c r="BZ46" s="667"/>
      <c r="CA46" s="667"/>
      <c r="CB46" s="667"/>
      <c r="CC46" s="667"/>
      <c r="CD46" s="667"/>
      <c r="CE46" s="667"/>
      <c r="CF46" s="667"/>
      <c r="CG46" s="667"/>
      <c r="CH46" s="667"/>
      <c r="CI46" s="667"/>
      <c r="CJ46" s="667"/>
      <c r="CK46" s="667"/>
      <c r="CL46" s="667"/>
      <c r="CM46" s="667"/>
      <c r="CN46" s="667"/>
      <c r="CO46" s="667"/>
      <c r="CP46" s="667"/>
      <c r="CQ46" s="667"/>
      <c r="CR46" s="667"/>
      <c r="CS46" s="667"/>
      <c r="CT46" s="667"/>
      <c r="CU46" s="667"/>
      <c r="CV46" s="667"/>
      <c r="CW46" s="667"/>
      <c r="CX46" s="667"/>
      <c r="CY46" s="667"/>
      <c r="CZ46" s="667"/>
      <c r="DA46" s="667"/>
      <c r="DB46" s="667"/>
      <c r="DC46" s="667"/>
      <c r="DD46" s="667"/>
      <c r="DE46" s="667"/>
      <c r="DF46" s="667"/>
      <c r="DG46" s="667"/>
      <c r="DH46" s="667"/>
      <c r="DI46" s="667"/>
      <c r="DJ46" s="667"/>
      <c r="DK46" s="667"/>
      <c r="DL46" s="667"/>
      <c r="DM46" s="667"/>
      <c r="DN46" s="667"/>
      <c r="DO46" s="667"/>
      <c r="DP46" s="667"/>
      <c r="DQ46" s="667"/>
      <c r="DR46" s="667"/>
      <c r="DS46" s="667"/>
      <c r="DT46" s="667"/>
      <c r="DU46" s="667"/>
      <c r="DV46" s="667"/>
      <c r="DW46" s="667"/>
      <c r="DX46" s="667"/>
      <c r="DY46" s="667"/>
      <c r="DZ46" s="667"/>
      <c r="EA46" s="667"/>
      <c r="EB46" s="667"/>
      <c r="EC46" s="667"/>
      <c r="ED46" s="667"/>
      <c r="EE46" s="667"/>
      <c r="EF46" s="667"/>
      <c r="EG46" s="667"/>
      <c r="EH46" s="667"/>
      <c r="EI46" s="667"/>
      <c r="EJ46" s="667"/>
      <c r="EK46" s="667"/>
      <c r="EL46" s="667"/>
      <c r="EM46" s="667"/>
      <c r="EN46" s="667"/>
      <c r="EO46" s="667"/>
      <c r="EP46" s="667"/>
      <c r="EQ46" s="667"/>
      <c r="ER46" s="667"/>
      <c r="ES46" s="667"/>
      <c r="ET46" s="667"/>
      <c r="EU46" s="667"/>
      <c r="EV46" s="667"/>
      <c r="EW46" s="667"/>
      <c r="EX46" s="667"/>
      <c r="EY46" s="667"/>
      <c r="EZ46" s="667"/>
      <c r="FA46" s="667"/>
      <c r="FB46" s="667"/>
      <c r="FC46" s="667"/>
      <c r="FD46" s="667"/>
      <c r="FE46" s="667"/>
      <c r="FF46" s="667"/>
      <c r="FG46" s="667"/>
      <c r="FH46" s="667"/>
      <c r="FI46" s="667"/>
      <c r="FJ46" s="667"/>
      <c r="FK46" s="667"/>
      <c r="FL46" s="667"/>
      <c r="FM46" s="667"/>
      <c r="FN46" s="667"/>
      <c r="FO46" s="667"/>
      <c r="FP46" s="667"/>
      <c r="FQ46" s="667"/>
      <c r="FR46" s="667"/>
      <c r="FS46" s="667"/>
      <c r="FT46" s="667"/>
      <c r="FU46" s="667"/>
      <c r="FV46" s="667"/>
      <c r="FW46" s="667"/>
      <c r="FX46" s="667"/>
      <c r="FY46" s="667"/>
      <c r="FZ46" s="667"/>
      <c r="GA46" s="667"/>
      <c r="GB46" s="667"/>
      <c r="GC46" s="667"/>
      <c r="GD46" s="667"/>
      <c r="GE46" s="667"/>
      <c r="GF46" s="667"/>
      <c r="GG46" s="667"/>
      <c r="GH46" s="667"/>
      <c r="GI46" s="667"/>
      <c r="GJ46" s="667"/>
      <c r="GK46" s="667"/>
      <c r="GL46" s="667"/>
      <c r="GM46" s="667"/>
      <c r="GN46" s="667"/>
      <c r="GO46" s="667"/>
      <c r="GP46" s="667"/>
      <c r="GQ46" s="667"/>
      <c r="GR46" s="667"/>
      <c r="GS46" s="667"/>
      <c r="GT46" s="667"/>
      <c r="GU46" s="667"/>
      <c r="GV46" s="667"/>
      <c r="GW46" s="667"/>
      <c r="GX46" s="667"/>
      <c r="GY46" s="667"/>
      <c r="GZ46" s="667"/>
      <c r="HA46" s="667"/>
      <c r="HB46" s="667"/>
      <c r="HC46" s="667"/>
      <c r="HD46" s="667"/>
      <c r="HE46" s="667"/>
      <c r="HF46" s="667"/>
      <c r="HG46" s="667"/>
      <c r="HH46" s="667"/>
      <c r="HI46" s="667"/>
      <c r="HJ46" s="667"/>
      <c r="HK46" s="667"/>
      <c r="HL46" s="667"/>
      <c r="HM46" s="667"/>
      <c r="HN46" s="667"/>
      <c r="HO46" s="667"/>
      <c r="HP46" s="667"/>
      <c r="HQ46" s="667"/>
      <c r="HR46" s="667"/>
      <c r="HS46" s="667"/>
      <c r="HT46" s="667"/>
      <c r="HU46" s="667"/>
      <c r="HV46" s="667"/>
      <c r="HW46" s="667"/>
    </row>
    <row r="47" spans="1:232" ht="14.1" customHeight="1">
      <c r="A47" s="703" t="s">
        <v>5</v>
      </c>
      <c r="B47" s="705"/>
      <c r="C47" s="705"/>
      <c r="D47" s="704"/>
      <c r="E47" s="707"/>
      <c r="F47" s="703"/>
      <c r="G47" s="703"/>
      <c r="H47" s="703"/>
      <c r="I47" s="703"/>
      <c r="J47" s="662"/>
      <c r="K47" s="665"/>
      <c r="L47" s="666"/>
      <c r="M47" s="666"/>
      <c r="N47" s="709"/>
      <c r="O47" s="709"/>
      <c r="P47" s="666"/>
      <c r="Q47" s="666"/>
      <c r="R47" s="666"/>
      <c r="S47" s="666"/>
      <c r="T47" s="666"/>
      <c r="U47" s="666"/>
      <c r="V47" s="666"/>
      <c r="W47" s="666"/>
      <c r="X47" s="667"/>
      <c r="Y47" s="667"/>
      <c r="Z47" s="667"/>
      <c r="AA47" s="667"/>
      <c r="AB47" s="667"/>
      <c r="AC47" s="667"/>
      <c r="AD47" s="667"/>
      <c r="AE47" s="667"/>
      <c r="AF47" s="667"/>
      <c r="AG47" s="667"/>
      <c r="AH47" s="667"/>
      <c r="AI47" s="667"/>
      <c r="AJ47" s="667"/>
      <c r="AK47" s="667"/>
      <c r="AL47" s="667"/>
      <c r="AM47" s="667"/>
      <c r="AN47" s="667"/>
      <c r="AO47" s="667"/>
      <c r="AP47" s="667"/>
      <c r="AQ47" s="667"/>
      <c r="AR47" s="667"/>
      <c r="AS47" s="667"/>
      <c r="AT47" s="667"/>
      <c r="AU47" s="667"/>
      <c r="AV47" s="667"/>
      <c r="AW47" s="667"/>
      <c r="AX47" s="667"/>
      <c r="AY47" s="667"/>
      <c r="AZ47" s="667"/>
      <c r="BA47" s="667"/>
      <c r="BB47" s="667"/>
      <c r="BC47" s="667"/>
      <c r="BD47" s="667"/>
      <c r="BE47" s="667"/>
      <c r="BF47" s="667"/>
      <c r="BG47" s="667"/>
      <c r="BH47" s="667"/>
      <c r="BI47" s="667"/>
      <c r="BJ47" s="667"/>
      <c r="BK47" s="667"/>
      <c r="BL47" s="667"/>
      <c r="BM47" s="667"/>
      <c r="BN47" s="667"/>
      <c r="BO47" s="667"/>
      <c r="BP47" s="667"/>
      <c r="BQ47" s="667"/>
      <c r="BR47" s="667"/>
      <c r="BS47" s="667"/>
      <c r="BT47" s="667"/>
      <c r="BU47" s="667"/>
      <c r="BV47" s="667"/>
      <c r="BW47" s="667"/>
      <c r="BX47" s="667"/>
      <c r="BY47" s="667"/>
      <c r="BZ47" s="667"/>
      <c r="CA47" s="667"/>
      <c r="CB47" s="667"/>
      <c r="CC47" s="667"/>
      <c r="CD47" s="667"/>
      <c r="CE47" s="667"/>
      <c r="CF47" s="667"/>
      <c r="CG47" s="667"/>
      <c r="CH47" s="667"/>
      <c r="CI47" s="667"/>
      <c r="CJ47" s="667"/>
      <c r="CK47" s="667"/>
      <c r="CL47" s="667"/>
      <c r="CM47" s="667"/>
      <c r="CN47" s="667"/>
      <c r="CO47" s="667"/>
      <c r="CP47" s="667"/>
      <c r="CQ47" s="667"/>
      <c r="CR47" s="667"/>
      <c r="CS47" s="667"/>
      <c r="CT47" s="667"/>
      <c r="CU47" s="667"/>
      <c r="CV47" s="667"/>
      <c r="CW47" s="667"/>
      <c r="CX47" s="667"/>
      <c r="CY47" s="667"/>
      <c r="CZ47" s="667"/>
      <c r="DA47" s="667"/>
      <c r="DB47" s="667"/>
      <c r="DC47" s="667"/>
      <c r="DD47" s="667"/>
      <c r="DE47" s="667"/>
      <c r="DF47" s="667"/>
      <c r="DG47" s="667"/>
      <c r="DH47" s="667"/>
      <c r="DI47" s="667"/>
      <c r="DJ47" s="667"/>
      <c r="DK47" s="667"/>
      <c r="DL47" s="667"/>
      <c r="DM47" s="667"/>
      <c r="DN47" s="667"/>
      <c r="DO47" s="667"/>
      <c r="DP47" s="667"/>
      <c r="DQ47" s="667"/>
      <c r="DR47" s="667"/>
      <c r="DS47" s="667"/>
      <c r="DT47" s="667"/>
      <c r="DU47" s="667"/>
      <c r="DV47" s="667"/>
      <c r="DW47" s="667"/>
      <c r="DX47" s="667"/>
      <c r="DY47" s="667"/>
      <c r="DZ47" s="667"/>
      <c r="EA47" s="667"/>
      <c r="EB47" s="667"/>
      <c r="EC47" s="667"/>
      <c r="ED47" s="667"/>
      <c r="EE47" s="667"/>
      <c r="EF47" s="667"/>
      <c r="EG47" s="667"/>
      <c r="EH47" s="667"/>
      <c r="EI47" s="667"/>
      <c r="EJ47" s="667"/>
      <c r="EK47" s="667"/>
      <c r="EL47" s="667"/>
      <c r="EM47" s="667"/>
      <c r="EN47" s="667"/>
      <c r="EO47" s="667"/>
      <c r="EP47" s="667"/>
      <c r="EQ47" s="667"/>
      <c r="ER47" s="667"/>
      <c r="ES47" s="667"/>
      <c r="ET47" s="667"/>
      <c r="EU47" s="667"/>
      <c r="EV47" s="667"/>
      <c r="EW47" s="667"/>
      <c r="EX47" s="667"/>
      <c r="EY47" s="667"/>
      <c r="EZ47" s="667"/>
      <c r="FA47" s="667"/>
      <c r="FB47" s="667"/>
      <c r="FC47" s="667"/>
      <c r="FD47" s="667"/>
      <c r="FE47" s="667"/>
      <c r="FF47" s="667"/>
      <c r="FG47" s="667"/>
      <c r="FH47" s="667"/>
      <c r="FI47" s="667"/>
      <c r="FJ47" s="667"/>
      <c r="FK47" s="667"/>
      <c r="FL47" s="667"/>
      <c r="FM47" s="667"/>
      <c r="FN47" s="667"/>
      <c r="FO47" s="667"/>
      <c r="FP47" s="667"/>
      <c r="FQ47" s="667"/>
      <c r="FR47" s="667"/>
      <c r="FS47" s="667"/>
      <c r="FT47" s="667"/>
      <c r="FU47" s="667"/>
      <c r="FV47" s="667"/>
      <c r="FW47" s="667"/>
      <c r="FX47" s="667"/>
      <c r="FY47" s="667"/>
      <c r="FZ47" s="667"/>
      <c r="GA47" s="667"/>
      <c r="GB47" s="667"/>
      <c r="GC47" s="667"/>
      <c r="GD47" s="667"/>
      <c r="GE47" s="667"/>
      <c r="GF47" s="667"/>
      <c r="GG47" s="667"/>
      <c r="GH47" s="667"/>
      <c r="GI47" s="667"/>
      <c r="GJ47" s="667"/>
      <c r="GK47" s="667"/>
      <c r="GL47" s="667"/>
      <c r="GM47" s="667"/>
      <c r="GN47" s="667"/>
      <c r="GO47" s="667"/>
      <c r="GP47" s="667"/>
      <c r="GQ47" s="667"/>
      <c r="GR47" s="667"/>
      <c r="GS47" s="667"/>
      <c r="GT47" s="667"/>
      <c r="GU47" s="667"/>
      <c r="GV47" s="667"/>
      <c r="GW47" s="667"/>
      <c r="GX47" s="667"/>
      <c r="GY47" s="667"/>
      <c r="GZ47" s="667"/>
      <c r="HA47" s="667"/>
      <c r="HB47" s="667"/>
      <c r="HC47" s="667"/>
      <c r="HD47" s="667"/>
      <c r="HE47" s="667"/>
      <c r="HF47" s="667"/>
      <c r="HG47" s="667"/>
      <c r="HH47" s="667"/>
      <c r="HI47" s="667"/>
      <c r="HJ47" s="667"/>
      <c r="HK47" s="667"/>
      <c r="HL47" s="667"/>
      <c r="HM47" s="667"/>
      <c r="HN47" s="667"/>
      <c r="HO47" s="667"/>
      <c r="HP47" s="667"/>
      <c r="HQ47" s="667"/>
      <c r="HR47" s="667"/>
      <c r="HS47" s="667"/>
      <c r="HT47" s="667"/>
      <c r="HU47" s="667"/>
      <c r="HV47" s="667"/>
      <c r="HW47" s="667"/>
    </row>
    <row r="48" spans="1:232" ht="12" customHeight="1">
      <c r="A48" s="710"/>
      <c r="B48" s="710"/>
      <c r="C48" s="710"/>
      <c r="D48" s="710"/>
      <c r="E48" s="710"/>
      <c r="F48" s="710"/>
      <c r="G48" s="710"/>
      <c r="H48" s="703"/>
      <c r="I48" s="703"/>
      <c r="J48" s="662"/>
      <c r="K48" s="665"/>
      <c r="N48" s="709"/>
      <c r="O48" s="709"/>
      <c r="P48" s="666"/>
      <c r="Q48" s="666"/>
      <c r="R48" s="666"/>
      <c r="S48" s="666"/>
      <c r="T48" s="666"/>
      <c r="U48" s="666"/>
      <c r="V48" s="666"/>
      <c r="W48" s="666"/>
      <c r="X48" s="667"/>
      <c r="Y48" s="667"/>
      <c r="Z48" s="667"/>
      <c r="AA48" s="667"/>
      <c r="AB48" s="667"/>
      <c r="AC48" s="667"/>
      <c r="AD48" s="667"/>
      <c r="AE48" s="667"/>
      <c r="AF48" s="667"/>
      <c r="AG48" s="667"/>
      <c r="AH48" s="667"/>
      <c r="AI48" s="667"/>
      <c r="AJ48" s="667"/>
      <c r="AK48" s="667"/>
      <c r="AL48" s="667"/>
      <c r="AM48" s="667"/>
      <c r="AN48" s="667"/>
      <c r="AO48" s="667"/>
      <c r="AP48" s="667"/>
      <c r="AQ48" s="667"/>
      <c r="AR48" s="667"/>
      <c r="AS48" s="667"/>
      <c r="AT48" s="667"/>
      <c r="AU48" s="667"/>
      <c r="AV48" s="667"/>
      <c r="AW48" s="667"/>
      <c r="AX48" s="667"/>
      <c r="AY48" s="667"/>
      <c r="AZ48" s="667"/>
      <c r="BA48" s="667"/>
      <c r="BB48" s="667"/>
      <c r="BC48" s="667"/>
      <c r="BD48" s="667"/>
      <c r="BE48" s="667"/>
      <c r="BF48" s="667"/>
      <c r="BG48" s="667"/>
      <c r="BH48" s="667"/>
      <c r="BI48" s="667"/>
      <c r="BJ48" s="667"/>
      <c r="BK48" s="667"/>
      <c r="BL48" s="667"/>
      <c r="BM48" s="667"/>
      <c r="BN48" s="667"/>
      <c r="BO48" s="667"/>
      <c r="BP48" s="667"/>
      <c r="BQ48" s="667"/>
      <c r="BR48" s="667"/>
      <c r="BS48" s="667"/>
      <c r="BT48" s="667"/>
      <c r="BU48" s="667"/>
      <c r="BV48" s="667"/>
      <c r="BW48" s="667"/>
      <c r="BX48" s="667"/>
      <c r="BY48" s="667"/>
      <c r="BZ48" s="667"/>
      <c r="CA48" s="667"/>
      <c r="CB48" s="667"/>
      <c r="CC48" s="667"/>
      <c r="CD48" s="667"/>
      <c r="CE48" s="667"/>
      <c r="CF48" s="667"/>
      <c r="CG48" s="667"/>
      <c r="CH48" s="667"/>
      <c r="CI48" s="667"/>
      <c r="CJ48" s="667"/>
      <c r="CK48" s="667"/>
      <c r="CL48" s="667"/>
      <c r="CM48" s="667"/>
      <c r="CN48" s="667"/>
      <c r="CO48" s="667"/>
      <c r="CP48" s="667"/>
      <c r="CQ48" s="667"/>
      <c r="CR48" s="667"/>
      <c r="CS48" s="667"/>
      <c r="CT48" s="667"/>
      <c r="CU48" s="667"/>
      <c r="CV48" s="667"/>
      <c r="CW48" s="667"/>
      <c r="CX48" s="667"/>
      <c r="CY48" s="667"/>
      <c r="CZ48" s="667"/>
      <c r="DA48" s="667"/>
      <c r="DB48" s="667"/>
      <c r="DC48" s="667"/>
      <c r="DD48" s="667"/>
      <c r="DE48" s="667"/>
      <c r="DF48" s="667"/>
      <c r="DG48" s="667"/>
      <c r="DH48" s="667"/>
      <c r="DI48" s="667"/>
      <c r="DJ48" s="667"/>
      <c r="DK48" s="667"/>
      <c r="DL48" s="667"/>
      <c r="DM48" s="667"/>
      <c r="DN48" s="667"/>
      <c r="DO48" s="667"/>
      <c r="DP48" s="667"/>
      <c r="DQ48" s="667"/>
      <c r="DR48" s="667"/>
      <c r="DS48" s="667"/>
      <c r="DT48" s="667"/>
      <c r="DU48" s="667"/>
      <c r="DV48" s="667"/>
      <c r="DW48" s="667"/>
      <c r="DX48" s="667"/>
      <c r="DY48" s="667"/>
      <c r="DZ48" s="667"/>
      <c r="EA48" s="667"/>
      <c r="EB48" s="667"/>
      <c r="EC48" s="667"/>
      <c r="ED48" s="667"/>
      <c r="EE48" s="667"/>
      <c r="EF48" s="667"/>
      <c r="EG48" s="667"/>
      <c r="EH48" s="667"/>
      <c r="EI48" s="667"/>
      <c r="EJ48" s="667"/>
      <c r="EK48" s="667"/>
      <c r="EL48" s="667"/>
      <c r="EM48" s="667"/>
      <c r="EN48" s="667"/>
      <c r="EO48" s="667"/>
      <c r="EP48" s="667"/>
      <c r="EQ48" s="667"/>
      <c r="ER48" s="667"/>
      <c r="ES48" s="667"/>
      <c r="ET48" s="667"/>
      <c r="EU48" s="667"/>
      <c r="EV48" s="667"/>
      <c r="EW48" s="667"/>
      <c r="EX48" s="667"/>
      <c r="EY48" s="667"/>
      <c r="EZ48" s="667"/>
      <c r="FA48" s="667"/>
      <c r="FB48" s="667"/>
      <c r="FC48" s="667"/>
      <c r="FD48" s="667"/>
      <c r="FE48" s="667"/>
      <c r="FF48" s="667"/>
      <c r="FG48" s="667"/>
      <c r="FH48" s="667"/>
      <c r="FI48" s="667"/>
      <c r="FJ48" s="667"/>
      <c r="FK48" s="667"/>
      <c r="FL48" s="667"/>
      <c r="FM48" s="667"/>
      <c r="FN48" s="667"/>
      <c r="FO48" s="667"/>
      <c r="FP48" s="667"/>
      <c r="FQ48" s="667"/>
      <c r="FR48" s="667"/>
      <c r="FS48" s="667"/>
      <c r="FT48" s="667"/>
      <c r="FU48" s="667"/>
      <c r="FV48" s="667"/>
      <c r="FW48" s="667"/>
      <c r="FX48" s="667"/>
      <c r="FY48" s="667"/>
      <c r="FZ48" s="667"/>
      <c r="GA48" s="667"/>
      <c r="GB48" s="667"/>
      <c r="GC48" s="667"/>
      <c r="GD48" s="667"/>
      <c r="GE48" s="667"/>
      <c r="GF48" s="667"/>
      <c r="GG48" s="667"/>
      <c r="GH48" s="667"/>
      <c r="GI48" s="667"/>
      <c r="GJ48" s="667"/>
      <c r="GK48" s="667"/>
      <c r="GL48" s="667"/>
      <c r="GM48" s="667"/>
      <c r="GN48" s="667"/>
      <c r="GO48" s="667"/>
      <c r="GP48" s="667"/>
      <c r="GQ48" s="667"/>
      <c r="GR48" s="667"/>
      <c r="GS48" s="667"/>
      <c r="GT48" s="667"/>
      <c r="GU48" s="667"/>
      <c r="GV48" s="667"/>
      <c r="GW48" s="667"/>
      <c r="GX48" s="667"/>
      <c r="GY48" s="667"/>
      <c r="GZ48" s="667"/>
      <c r="HA48" s="667"/>
      <c r="HB48" s="667"/>
      <c r="HC48" s="667"/>
      <c r="HD48" s="667"/>
      <c r="HE48" s="667"/>
      <c r="HF48" s="667"/>
      <c r="HG48" s="667"/>
      <c r="HH48" s="667"/>
      <c r="HI48" s="667"/>
      <c r="HJ48" s="667"/>
      <c r="HK48" s="667"/>
      <c r="HL48" s="667"/>
      <c r="HM48" s="667"/>
      <c r="HN48" s="667"/>
      <c r="HO48" s="667"/>
      <c r="HP48" s="667"/>
      <c r="HQ48" s="667"/>
      <c r="HR48" s="667"/>
      <c r="HS48" s="667"/>
      <c r="HT48" s="667"/>
      <c r="HU48" s="667"/>
      <c r="HV48" s="667"/>
      <c r="HW48" s="667"/>
    </row>
    <row r="49" spans="1:231" ht="12" customHeight="1">
      <c r="A49" s="710"/>
      <c r="B49" s="710"/>
      <c r="C49" s="710"/>
      <c r="D49" s="710"/>
      <c r="E49" s="710"/>
      <c r="F49" s="710"/>
      <c r="G49" s="710"/>
      <c r="H49" s="664"/>
      <c r="I49" s="664"/>
      <c r="J49" s="662"/>
      <c r="K49" s="665"/>
      <c r="L49" s="666"/>
      <c r="M49" s="666"/>
      <c r="N49" s="709"/>
      <c r="O49" s="709"/>
      <c r="P49" s="666"/>
      <c r="Q49" s="666"/>
      <c r="R49" s="666"/>
      <c r="S49" s="666"/>
      <c r="T49" s="666"/>
      <c r="U49" s="666"/>
      <c r="V49" s="666"/>
      <c r="W49" s="666"/>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7"/>
      <c r="BE49" s="667"/>
      <c r="BF49" s="667"/>
      <c r="BG49" s="667"/>
      <c r="BH49" s="667"/>
      <c r="BI49" s="667"/>
      <c r="BJ49" s="667"/>
      <c r="BK49" s="667"/>
      <c r="BL49" s="667"/>
      <c r="BM49" s="667"/>
      <c r="BN49" s="667"/>
      <c r="BO49" s="667"/>
      <c r="BP49" s="667"/>
      <c r="BQ49" s="667"/>
      <c r="BR49" s="667"/>
      <c r="BS49" s="667"/>
      <c r="BT49" s="667"/>
      <c r="BU49" s="667"/>
      <c r="BV49" s="667"/>
      <c r="BW49" s="667"/>
      <c r="BX49" s="667"/>
      <c r="BY49" s="667"/>
      <c r="BZ49" s="667"/>
      <c r="CA49" s="667"/>
      <c r="CB49" s="667"/>
      <c r="CC49" s="667"/>
      <c r="CD49" s="667"/>
      <c r="CE49" s="667"/>
      <c r="CF49" s="667"/>
      <c r="CG49" s="667"/>
      <c r="CH49" s="667"/>
      <c r="CI49" s="667"/>
      <c r="CJ49" s="667"/>
      <c r="CK49" s="667"/>
      <c r="CL49" s="667"/>
      <c r="CM49" s="667"/>
      <c r="CN49" s="667"/>
      <c r="CO49" s="667"/>
      <c r="CP49" s="667"/>
      <c r="CQ49" s="667"/>
      <c r="CR49" s="667"/>
      <c r="CS49" s="667"/>
      <c r="CT49" s="667"/>
      <c r="CU49" s="667"/>
      <c r="CV49" s="667"/>
      <c r="CW49" s="667"/>
      <c r="CX49" s="667"/>
      <c r="CY49" s="667"/>
      <c r="CZ49" s="667"/>
      <c r="DA49" s="667"/>
      <c r="DB49" s="667"/>
      <c r="DC49" s="667"/>
      <c r="DD49" s="667"/>
      <c r="DE49" s="667"/>
      <c r="DF49" s="667"/>
      <c r="DG49" s="667"/>
      <c r="DH49" s="667"/>
      <c r="DI49" s="667"/>
      <c r="DJ49" s="667"/>
      <c r="DK49" s="667"/>
      <c r="DL49" s="667"/>
      <c r="DM49" s="667"/>
      <c r="DN49" s="667"/>
      <c r="DO49" s="667"/>
      <c r="DP49" s="667"/>
      <c r="DQ49" s="667"/>
      <c r="DR49" s="667"/>
      <c r="DS49" s="667"/>
      <c r="DT49" s="667"/>
      <c r="DU49" s="667"/>
      <c r="DV49" s="667"/>
      <c r="DW49" s="667"/>
      <c r="DX49" s="667"/>
      <c r="DY49" s="667"/>
      <c r="DZ49" s="667"/>
      <c r="EA49" s="667"/>
      <c r="EB49" s="667"/>
      <c r="EC49" s="667"/>
      <c r="ED49" s="667"/>
      <c r="EE49" s="667"/>
      <c r="EF49" s="667"/>
      <c r="EG49" s="667"/>
      <c r="EH49" s="667"/>
      <c r="EI49" s="667"/>
      <c r="EJ49" s="667"/>
      <c r="EK49" s="667"/>
      <c r="EL49" s="667"/>
      <c r="EM49" s="667"/>
      <c r="EN49" s="667"/>
      <c r="EO49" s="667"/>
      <c r="EP49" s="667"/>
      <c r="EQ49" s="667"/>
      <c r="ER49" s="667"/>
      <c r="ES49" s="667"/>
      <c r="ET49" s="667"/>
      <c r="EU49" s="667"/>
      <c r="EV49" s="667"/>
      <c r="EW49" s="667"/>
      <c r="EX49" s="667"/>
      <c r="EY49" s="667"/>
      <c r="EZ49" s="667"/>
      <c r="FA49" s="667"/>
      <c r="FB49" s="667"/>
      <c r="FC49" s="667"/>
      <c r="FD49" s="667"/>
      <c r="FE49" s="667"/>
      <c r="FF49" s="667"/>
      <c r="FG49" s="667"/>
      <c r="FH49" s="667"/>
      <c r="FI49" s="667"/>
      <c r="FJ49" s="667"/>
      <c r="FK49" s="667"/>
      <c r="FL49" s="667"/>
      <c r="FM49" s="667"/>
      <c r="FN49" s="667"/>
      <c r="FO49" s="667"/>
      <c r="FP49" s="667"/>
      <c r="FQ49" s="667"/>
      <c r="FR49" s="667"/>
      <c r="FS49" s="667"/>
      <c r="FT49" s="667"/>
      <c r="FU49" s="667"/>
      <c r="FV49" s="667"/>
      <c r="FW49" s="667"/>
      <c r="FX49" s="667"/>
      <c r="FY49" s="667"/>
      <c r="FZ49" s="667"/>
      <c r="GA49" s="667"/>
      <c r="GB49" s="667"/>
      <c r="GC49" s="667"/>
      <c r="GD49" s="667"/>
      <c r="GE49" s="667"/>
      <c r="GF49" s="667"/>
      <c r="GG49" s="667"/>
      <c r="GH49" s="667"/>
      <c r="GI49" s="667"/>
      <c r="GJ49" s="667"/>
      <c r="GK49" s="667"/>
      <c r="GL49" s="667"/>
      <c r="GM49" s="667"/>
      <c r="GN49" s="667"/>
      <c r="GO49" s="667"/>
      <c r="GP49" s="667"/>
      <c r="GQ49" s="667"/>
      <c r="GR49" s="667"/>
      <c r="GS49" s="667"/>
      <c r="GT49" s="667"/>
      <c r="GU49" s="667"/>
      <c r="GV49" s="667"/>
      <c r="GW49" s="667"/>
      <c r="GX49" s="667"/>
      <c r="GY49" s="667"/>
      <c r="GZ49" s="667"/>
      <c r="HA49" s="667"/>
      <c r="HB49" s="667"/>
      <c r="HC49" s="667"/>
      <c r="HD49" s="667"/>
      <c r="HE49" s="667"/>
      <c r="HF49" s="667"/>
      <c r="HG49" s="667"/>
      <c r="HH49" s="667"/>
      <c r="HI49" s="667"/>
      <c r="HJ49" s="667"/>
      <c r="HK49" s="667"/>
      <c r="HL49" s="667"/>
      <c r="HM49" s="667"/>
      <c r="HN49" s="667"/>
      <c r="HO49" s="667"/>
      <c r="HP49" s="667"/>
      <c r="HQ49" s="667"/>
      <c r="HR49" s="667"/>
      <c r="HS49" s="667"/>
      <c r="HT49" s="667"/>
      <c r="HU49" s="667"/>
      <c r="HV49" s="667"/>
      <c r="HW49" s="667"/>
    </row>
    <row r="50" spans="1:231" ht="12" customHeight="1">
      <c r="A50" s="710"/>
      <c r="B50" s="710"/>
      <c r="C50" s="710"/>
      <c r="D50" s="710"/>
      <c r="E50" s="710"/>
      <c r="F50" s="710"/>
      <c r="G50" s="710"/>
      <c r="H50" s="664"/>
      <c r="I50" s="664"/>
      <c r="J50" s="662"/>
      <c r="K50" s="665"/>
      <c r="P50" s="666"/>
      <c r="Q50" s="666"/>
      <c r="R50" s="666"/>
      <c r="S50" s="666"/>
      <c r="T50" s="666"/>
      <c r="U50" s="666"/>
      <c r="V50" s="666"/>
      <c r="W50" s="666"/>
      <c r="X50" s="667"/>
      <c r="Y50" s="667"/>
      <c r="Z50" s="667"/>
      <c r="AA50" s="667"/>
      <c r="AB50" s="667"/>
      <c r="AC50" s="667"/>
      <c r="AD50" s="667"/>
      <c r="AE50" s="667"/>
      <c r="AF50" s="667"/>
      <c r="AG50" s="667"/>
      <c r="AH50" s="667"/>
      <c r="AI50" s="667"/>
      <c r="AJ50" s="667"/>
      <c r="AK50" s="667"/>
      <c r="AL50" s="667"/>
      <c r="AM50" s="667"/>
      <c r="AN50" s="667"/>
      <c r="AO50" s="667"/>
      <c r="AP50" s="667"/>
      <c r="AQ50" s="667"/>
      <c r="AR50" s="667"/>
      <c r="AS50" s="667"/>
      <c r="AT50" s="667"/>
      <c r="AU50" s="667"/>
      <c r="AV50" s="667"/>
      <c r="AW50" s="667"/>
      <c r="AX50" s="667"/>
      <c r="AY50" s="667"/>
      <c r="AZ50" s="667"/>
      <c r="BA50" s="667"/>
      <c r="BB50" s="667"/>
      <c r="BC50" s="667"/>
      <c r="BD50" s="667"/>
      <c r="BE50" s="667"/>
      <c r="BF50" s="667"/>
      <c r="BG50" s="667"/>
      <c r="BH50" s="667"/>
      <c r="BI50" s="667"/>
      <c r="BJ50" s="667"/>
      <c r="BK50" s="667"/>
      <c r="BL50" s="667"/>
      <c r="BM50" s="667"/>
      <c r="BN50" s="667"/>
      <c r="BO50" s="667"/>
      <c r="BP50" s="667"/>
      <c r="BQ50" s="667"/>
      <c r="BR50" s="667"/>
      <c r="BS50" s="667"/>
      <c r="BT50" s="667"/>
      <c r="BU50" s="667"/>
      <c r="BV50" s="667"/>
      <c r="BW50" s="667"/>
      <c r="BX50" s="667"/>
      <c r="BY50" s="667"/>
      <c r="BZ50" s="667"/>
      <c r="CA50" s="667"/>
      <c r="CB50" s="667"/>
      <c r="CC50" s="667"/>
      <c r="CD50" s="667"/>
      <c r="CE50" s="667"/>
      <c r="CF50" s="667"/>
      <c r="CG50" s="667"/>
      <c r="CH50" s="667"/>
      <c r="CI50" s="667"/>
      <c r="CJ50" s="667"/>
      <c r="CK50" s="667"/>
      <c r="CL50" s="667"/>
      <c r="CM50" s="667"/>
      <c r="CN50" s="667"/>
      <c r="CO50" s="667"/>
      <c r="CP50" s="667"/>
      <c r="CQ50" s="667"/>
      <c r="CR50" s="667"/>
      <c r="CS50" s="667"/>
      <c r="CT50" s="667"/>
      <c r="CU50" s="667"/>
      <c r="CV50" s="667"/>
      <c r="CW50" s="667"/>
      <c r="CX50" s="667"/>
      <c r="CY50" s="667"/>
      <c r="CZ50" s="667"/>
      <c r="DA50" s="667"/>
      <c r="DB50" s="667"/>
      <c r="DC50" s="667"/>
      <c r="DD50" s="667"/>
      <c r="DE50" s="667"/>
      <c r="DF50" s="667"/>
      <c r="DG50" s="667"/>
      <c r="DH50" s="667"/>
      <c r="DI50" s="667"/>
      <c r="DJ50" s="667"/>
      <c r="DK50" s="667"/>
      <c r="DL50" s="667"/>
      <c r="DM50" s="667"/>
      <c r="DN50" s="667"/>
      <c r="DO50" s="667"/>
      <c r="DP50" s="667"/>
      <c r="DQ50" s="667"/>
      <c r="DR50" s="667"/>
      <c r="DS50" s="667"/>
      <c r="DT50" s="667"/>
      <c r="DU50" s="667"/>
      <c r="DV50" s="667"/>
      <c r="DW50" s="667"/>
      <c r="DX50" s="667"/>
      <c r="DY50" s="667"/>
      <c r="DZ50" s="667"/>
      <c r="EA50" s="667"/>
      <c r="EB50" s="667"/>
      <c r="EC50" s="667"/>
      <c r="ED50" s="667"/>
      <c r="EE50" s="667"/>
      <c r="EF50" s="667"/>
      <c r="EG50" s="667"/>
      <c r="EH50" s="667"/>
      <c r="EI50" s="667"/>
      <c r="EJ50" s="667"/>
      <c r="EK50" s="667"/>
      <c r="EL50" s="667"/>
      <c r="EM50" s="667"/>
      <c r="EN50" s="667"/>
      <c r="EO50" s="667"/>
      <c r="EP50" s="667"/>
      <c r="EQ50" s="667"/>
      <c r="ER50" s="667"/>
      <c r="ES50" s="667"/>
      <c r="ET50" s="667"/>
      <c r="EU50" s="667"/>
      <c r="EV50" s="667"/>
      <c r="EW50" s="667"/>
      <c r="EX50" s="667"/>
      <c r="EY50" s="667"/>
      <c r="EZ50" s="667"/>
      <c r="FA50" s="667"/>
      <c r="FB50" s="667"/>
      <c r="FC50" s="667"/>
      <c r="FD50" s="667"/>
      <c r="FE50" s="667"/>
      <c r="FF50" s="667"/>
      <c r="FG50" s="667"/>
      <c r="FH50" s="667"/>
      <c r="FI50" s="667"/>
      <c r="FJ50" s="667"/>
      <c r="FK50" s="667"/>
      <c r="FL50" s="667"/>
      <c r="FM50" s="667"/>
      <c r="FN50" s="667"/>
      <c r="FO50" s="667"/>
      <c r="FP50" s="667"/>
      <c r="FQ50" s="667"/>
      <c r="FR50" s="667"/>
      <c r="FS50" s="667"/>
      <c r="FT50" s="667"/>
      <c r="FU50" s="667"/>
      <c r="FV50" s="667"/>
      <c r="FW50" s="667"/>
      <c r="FX50" s="667"/>
      <c r="FY50" s="667"/>
      <c r="FZ50" s="667"/>
      <c r="GA50" s="667"/>
      <c r="GB50" s="667"/>
      <c r="GC50" s="667"/>
      <c r="GD50" s="667"/>
      <c r="GE50" s="667"/>
      <c r="GF50" s="667"/>
      <c r="GG50" s="667"/>
      <c r="GH50" s="667"/>
      <c r="GI50" s="667"/>
      <c r="GJ50" s="667"/>
      <c r="GK50" s="667"/>
      <c r="GL50" s="667"/>
      <c r="GM50" s="667"/>
      <c r="GN50" s="667"/>
      <c r="GO50" s="667"/>
      <c r="GP50" s="667"/>
      <c r="GQ50" s="667"/>
      <c r="GR50" s="667"/>
      <c r="GS50" s="667"/>
      <c r="GT50" s="667"/>
      <c r="GU50" s="667"/>
      <c r="GV50" s="667"/>
      <c r="GW50" s="667"/>
      <c r="GX50" s="667"/>
      <c r="GY50" s="667"/>
      <c r="GZ50" s="667"/>
      <c r="HA50" s="667"/>
      <c r="HB50" s="667"/>
      <c r="HC50" s="667"/>
      <c r="HD50" s="667"/>
      <c r="HE50" s="667"/>
      <c r="HF50" s="667"/>
      <c r="HG50" s="667"/>
      <c r="HH50" s="667"/>
      <c r="HI50" s="667"/>
      <c r="HJ50" s="667"/>
      <c r="HK50" s="667"/>
      <c r="HL50" s="667"/>
      <c r="HM50" s="667"/>
      <c r="HN50" s="667"/>
      <c r="HO50" s="667"/>
      <c r="HP50" s="667"/>
      <c r="HQ50" s="667"/>
      <c r="HR50" s="667"/>
      <c r="HS50" s="667"/>
      <c r="HT50" s="667"/>
      <c r="HU50" s="667"/>
      <c r="HV50" s="667"/>
      <c r="HW50" s="667"/>
    </row>
    <row r="51" spans="1:231" ht="12" customHeight="1">
      <c r="B51" s="691"/>
      <c r="C51" s="691"/>
      <c r="E51" s="712"/>
      <c r="F51" s="710"/>
      <c r="G51" s="710"/>
      <c r="H51" s="664"/>
      <c r="I51" s="664"/>
      <c r="J51" s="662"/>
      <c r="K51" s="665"/>
      <c r="P51" s="666"/>
      <c r="Q51" s="666"/>
      <c r="R51" s="666"/>
      <c r="S51" s="666"/>
      <c r="T51" s="666"/>
      <c r="U51" s="666"/>
      <c r="V51" s="666"/>
      <c r="W51" s="666"/>
      <c r="X51" s="667"/>
      <c r="Y51" s="667"/>
      <c r="Z51" s="667"/>
      <c r="AA51" s="667"/>
      <c r="AB51" s="667"/>
      <c r="AC51" s="667"/>
      <c r="AD51" s="667"/>
      <c r="AE51" s="667"/>
      <c r="AF51" s="667"/>
      <c r="AG51" s="667"/>
      <c r="AH51" s="667"/>
      <c r="AI51" s="667"/>
      <c r="AJ51" s="667"/>
      <c r="AK51" s="667"/>
      <c r="AL51" s="667"/>
      <c r="AM51" s="667"/>
      <c r="AN51" s="667"/>
      <c r="AO51" s="667"/>
      <c r="AP51" s="667"/>
      <c r="AQ51" s="667"/>
      <c r="AR51" s="667"/>
      <c r="AS51" s="667"/>
      <c r="AT51" s="667"/>
      <c r="AU51" s="667"/>
      <c r="AV51" s="667"/>
      <c r="AW51" s="667"/>
      <c r="AX51" s="667"/>
      <c r="AY51" s="667"/>
      <c r="AZ51" s="667"/>
      <c r="BA51" s="667"/>
      <c r="BB51" s="667"/>
      <c r="BC51" s="667"/>
      <c r="BD51" s="667"/>
      <c r="BE51" s="667"/>
      <c r="BF51" s="667"/>
      <c r="BG51" s="667"/>
      <c r="BH51" s="667"/>
      <c r="BI51" s="667"/>
      <c r="BJ51" s="667"/>
      <c r="BK51" s="667"/>
      <c r="BL51" s="667"/>
      <c r="BM51" s="667"/>
      <c r="BN51" s="667"/>
      <c r="BO51" s="667"/>
      <c r="BP51" s="667"/>
      <c r="BQ51" s="667"/>
      <c r="BR51" s="667"/>
      <c r="BS51" s="667"/>
      <c r="BT51" s="667"/>
      <c r="BU51" s="667"/>
      <c r="BV51" s="667"/>
      <c r="BW51" s="667"/>
      <c r="BX51" s="667"/>
      <c r="BY51" s="667"/>
      <c r="BZ51" s="667"/>
      <c r="CA51" s="667"/>
      <c r="CB51" s="667"/>
      <c r="CC51" s="667"/>
      <c r="CD51" s="667"/>
      <c r="CE51" s="667"/>
      <c r="CF51" s="667"/>
      <c r="CG51" s="667"/>
      <c r="CH51" s="667"/>
      <c r="CI51" s="667"/>
      <c r="CJ51" s="667"/>
      <c r="CK51" s="667"/>
      <c r="CL51" s="667"/>
      <c r="CM51" s="667"/>
      <c r="CN51" s="667"/>
      <c r="CO51" s="667"/>
      <c r="CP51" s="667"/>
      <c r="CQ51" s="667"/>
      <c r="CR51" s="667"/>
      <c r="CS51" s="667"/>
      <c r="CT51" s="667"/>
      <c r="CU51" s="667"/>
      <c r="CV51" s="667"/>
      <c r="CW51" s="667"/>
      <c r="CX51" s="667"/>
      <c r="CY51" s="667"/>
      <c r="CZ51" s="667"/>
      <c r="DA51" s="667"/>
      <c r="DB51" s="667"/>
      <c r="DC51" s="667"/>
      <c r="DD51" s="667"/>
      <c r="DE51" s="667"/>
      <c r="DF51" s="667"/>
      <c r="DG51" s="667"/>
      <c r="DH51" s="667"/>
      <c r="DI51" s="667"/>
      <c r="DJ51" s="667"/>
      <c r="DK51" s="667"/>
      <c r="DL51" s="667"/>
      <c r="DM51" s="667"/>
      <c r="DN51" s="667"/>
      <c r="DO51" s="667"/>
      <c r="DP51" s="667"/>
      <c r="DQ51" s="667"/>
      <c r="DR51" s="667"/>
      <c r="DS51" s="667"/>
      <c r="DT51" s="667"/>
      <c r="DU51" s="667"/>
      <c r="DV51" s="667"/>
      <c r="DW51" s="667"/>
      <c r="DX51" s="667"/>
      <c r="DY51" s="667"/>
      <c r="DZ51" s="667"/>
      <c r="EA51" s="667"/>
      <c r="EB51" s="667"/>
      <c r="EC51" s="667"/>
      <c r="ED51" s="667"/>
      <c r="EE51" s="667"/>
      <c r="EF51" s="667"/>
      <c r="EG51" s="667"/>
      <c r="EH51" s="667"/>
      <c r="EI51" s="667"/>
      <c r="EJ51" s="667"/>
      <c r="EK51" s="667"/>
      <c r="EL51" s="667"/>
      <c r="EM51" s="667"/>
      <c r="EN51" s="667"/>
      <c r="EO51" s="667"/>
      <c r="EP51" s="667"/>
      <c r="EQ51" s="667"/>
      <c r="ER51" s="667"/>
      <c r="ES51" s="667"/>
      <c r="ET51" s="667"/>
      <c r="EU51" s="667"/>
      <c r="EV51" s="667"/>
      <c r="EW51" s="667"/>
      <c r="EX51" s="667"/>
      <c r="EY51" s="667"/>
      <c r="EZ51" s="667"/>
      <c r="FA51" s="667"/>
      <c r="FB51" s="667"/>
      <c r="FC51" s="667"/>
      <c r="FD51" s="667"/>
      <c r="FE51" s="667"/>
      <c r="FF51" s="667"/>
      <c r="FG51" s="667"/>
      <c r="FH51" s="667"/>
      <c r="FI51" s="667"/>
      <c r="FJ51" s="667"/>
      <c r="FK51" s="667"/>
      <c r="FL51" s="667"/>
      <c r="FM51" s="667"/>
      <c r="FN51" s="667"/>
      <c r="FO51" s="667"/>
      <c r="FP51" s="667"/>
      <c r="FQ51" s="667"/>
      <c r="FR51" s="667"/>
      <c r="FS51" s="667"/>
      <c r="FT51" s="667"/>
      <c r="FU51" s="667"/>
      <c r="FV51" s="667"/>
      <c r="FW51" s="667"/>
      <c r="FX51" s="667"/>
      <c r="FY51" s="667"/>
      <c r="FZ51" s="667"/>
      <c r="GA51" s="667"/>
      <c r="GB51" s="667"/>
      <c r="GC51" s="667"/>
      <c r="GD51" s="667"/>
      <c r="GE51" s="667"/>
      <c r="GF51" s="667"/>
      <c r="GG51" s="667"/>
      <c r="GH51" s="667"/>
      <c r="GI51" s="667"/>
      <c r="GJ51" s="667"/>
      <c r="GK51" s="667"/>
      <c r="GL51" s="667"/>
      <c r="GM51" s="667"/>
      <c r="GN51" s="667"/>
      <c r="GO51" s="667"/>
      <c r="GP51" s="667"/>
      <c r="GQ51" s="667"/>
      <c r="GR51" s="667"/>
      <c r="GS51" s="667"/>
      <c r="GT51" s="667"/>
      <c r="GU51" s="667"/>
      <c r="GV51" s="667"/>
      <c r="GW51" s="667"/>
      <c r="GX51" s="667"/>
      <c r="GY51" s="667"/>
      <c r="GZ51" s="667"/>
      <c r="HA51" s="667"/>
      <c r="HB51" s="667"/>
      <c r="HC51" s="667"/>
      <c r="HD51" s="667"/>
      <c r="HE51" s="667"/>
      <c r="HF51" s="667"/>
      <c r="HG51" s="667"/>
      <c r="HH51" s="667"/>
      <c r="HI51" s="667"/>
      <c r="HJ51" s="667"/>
      <c r="HK51" s="667"/>
      <c r="HL51" s="667"/>
      <c r="HM51" s="667"/>
      <c r="HN51" s="667"/>
      <c r="HO51" s="667"/>
      <c r="HP51" s="667"/>
      <c r="HQ51" s="667"/>
      <c r="HR51" s="667"/>
      <c r="HS51" s="667"/>
      <c r="HT51" s="667"/>
      <c r="HU51" s="667"/>
      <c r="HV51" s="667"/>
      <c r="HW51" s="667"/>
    </row>
    <row r="52" spans="1:231" ht="14.1" customHeight="1">
      <c r="B52" s="691"/>
      <c r="C52" s="378"/>
      <c r="E52" s="712"/>
      <c r="F52" s="713"/>
      <c r="G52" s="713"/>
      <c r="H52" s="713"/>
      <c r="I52" s="713"/>
      <c r="J52" s="713"/>
      <c r="K52" s="683"/>
      <c r="P52" s="666"/>
      <c r="Q52" s="666"/>
      <c r="R52" s="666"/>
      <c r="S52" s="666"/>
      <c r="T52" s="666"/>
      <c r="U52" s="666"/>
      <c r="V52" s="666"/>
      <c r="W52" s="666"/>
      <c r="X52" s="667"/>
      <c r="Y52" s="667"/>
      <c r="Z52" s="667"/>
      <c r="AA52" s="667"/>
      <c r="AB52" s="667"/>
      <c r="AC52" s="667"/>
      <c r="AD52" s="667"/>
      <c r="AE52" s="667"/>
      <c r="AF52" s="667"/>
      <c r="AG52" s="667"/>
      <c r="AH52" s="667"/>
      <c r="AI52" s="667"/>
      <c r="AJ52" s="667"/>
      <c r="AK52" s="667"/>
      <c r="AL52" s="667"/>
      <c r="AM52" s="667"/>
      <c r="AN52" s="667"/>
      <c r="AO52" s="667"/>
      <c r="AP52" s="667"/>
      <c r="AQ52" s="667"/>
      <c r="AR52" s="667"/>
      <c r="AS52" s="667"/>
      <c r="AT52" s="667"/>
      <c r="AU52" s="667"/>
      <c r="AV52" s="667"/>
      <c r="AW52" s="667"/>
      <c r="AX52" s="667"/>
      <c r="AY52" s="667"/>
      <c r="AZ52" s="667"/>
      <c r="BA52" s="667"/>
      <c r="BB52" s="667"/>
      <c r="BC52" s="667"/>
      <c r="BD52" s="667"/>
      <c r="BE52" s="667"/>
      <c r="BF52" s="667"/>
      <c r="BG52" s="667"/>
      <c r="BH52" s="667"/>
      <c r="BI52" s="667"/>
      <c r="BJ52" s="667"/>
      <c r="BK52" s="667"/>
      <c r="BL52" s="667"/>
      <c r="BM52" s="667"/>
      <c r="BN52" s="667"/>
      <c r="BO52" s="667"/>
      <c r="BP52" s="667"/>
      <c r="BQ52" s="667"/>
      <c r="BR52" s="667"/>
      <c r="BS52" s="667"/>
      <c r="BT52" s="667"/>
      <c r="BU52" s="667"/>
      <c r="BV52" s="667"/>
      <c r="BW52" s="667"/>
      <c r="BX52" s="667"/>
      <c r="BY52" s="667"/>
      <c r="BZ52" s="667"/>
      <c r="CA52" s="667"/>
      <c r="CB52" s="667"/>
      <c r="CC52" s="667"/>
      <c r="CD52" s="667"/>
      <c r="CE52" s="667"/>
      <c r="CF52" s="667"/>
      <c r="CG52" s="667"/>
      <c r="CH52" s="667"/>
      <c r="CI52" s="667"/>
      <c r="CJ52" s="667"/>
      <c r="CK52" s="667"/>
      <c r="CL52" s="667"/>
      <c r="CM52" s="667"/>
      <c r="CN52" s="667"/>
      <c r="CO52" s="667"/>
      <c r="CP52" s="667"/>
      <c r="CQ52" s="667"/>
      <c r="CR52" s="667"/>
      <c r="CS52" s="667"/>
      <c r="CT52" s="667"/>
      <c r="CU52" s="667"/>
      <c r="CV52" s="667"/>
      <c r="CW52" s="667"/>
      <c r="CX52" s="667"/>
      <c r="CY52" s="667"/>
      <c r="CZ52" s="667"/>
      <c r="DA52" s="667"/>
      <c r="DB52" s="667"/>
      <c r="DC52" s="667"/>
      <c r="DD52" s="667"/>
      <c r="DE52" s="667"/>
      <c r="DF52" s="667"/>
      <c r="DG52" s="667"/>
      <c r="DH52" s="667"/>
      <c r="DI52" s="667"/>
      <c r="DJ52" s="667"/>
      <c r="DK52" s="667"/>
      <c r="DL52" s="667"/>
      <c r="DM52" s="667"/>
      <c r="DN52" s="667"/>
      <c r="DO52" s="667"/>
      <c r="DP52" s="667"/>
      <c r="DQ52" s="667"/>
      <c r="DR52" s="667"/>
      <c r="DS52" s="667"/>
      <c r="DT52" s="667"/>
      <c r="DU52" s="667"/>
      <c r="DV52" s="667"/>
      <c r="DW52" s="667"/>
      <c r="DX52" s="667"/>
      <c r="DY52" s="667"/>
      <c r="DZ52" s="667"/>
      <c r="EA52" s="667"/>
      <c r="EB52" s="667"/>
      <c r="EC52" s="667"/>
      <c r="ED52" s="667"/>
      <c r="EE52" s="667"/>
      <c r="EF52" s="667"/>
      <c r="EG52" s="667"/>
      <c r="EH52" s="667"/>
      <c r="EI52" s="667"/>
      <c r="EJ52" s="667"/>
      <c r="EK52" s="667"/>
      <c r="EL52" s="667"/>
      <c r="EM52" s="667"/>
      <c r="EN52" s="667"/>
      <c r="EO52" s="667"/>
      <c r="EP52" s="667"/>
      <c r="EQ52" s="667"/>
      <c r="ER52" s="667"/>
      <c r="ES52" s="667"/>
      <c r="ET52" s="667"/>
      <c r="EU52" s="667"/>
      <c r="EV52" s="667"/>
      <c r="EW52" s="667"/>
      <c r="EX52" s="667"/>
      <c r="EY52" s="667"/>
      <c r="EZ52" s="667"/>
      <c r="FA52" s="667"/>
      <c r="FB52" s="667"/>
      <c r="FC52" s="667"/>
      <c r="FD52" s="667"/>
      <c r="FE52" s="667"/>
      <c r="FF52" s="667"/>
      <c r="FG52" s="667"/>
      <c r="FH52" s="667"/>
      <c r="FI52" s="667"/>
      <c r="FJ52" s="667"/>
      <c r="FK52" s="667"/>
      <c r="FL52" s="667"/>
      <c r="FM52" s="667"/>
      <c r="FN52" s="667"/>
      <c r="FO52" s="667"/>
      <c r="FP52" s="667"/>
      <c r="FQ52" s="667"/>
      <c r="FR52" s="667"/>
      <c r="FS52" s="667"/>
      <c r="FT52" s="667"/>
      <c r="FU52" s="667"/>
      <c r="FV52" s="667"/>
      <c r="FW52" s="667"/>
      <c r="FX52" s="667"/>
      <c r="FY52" s="667"/>
      <c r="FZ52" s="667"/>
      <c r="GA52" s="667"/>
      <c r="GB52" s="667"/>
      <c r="GC52" s="667"/>
      <c r="GD52" s="667"/>
      <c r="GE52" s="667"/>
      <c r="GF52" s="667"/>
      <c r="GG52" s="667"/>
      <c r="GH52" s="667"/>
      <c r="GI52" s="667"/>
      <c r="GJ52" s="667"/>
      <c r="GK52" s="667"/>
      <c r="GL52" s="667"/>
      <c r="GM52" s="667"/>
      <c r="GN52" s="667"/>
      <c r="GO52" s="667"/>
      <c r="GP52" s="667"/>
      <c r="GQ52" s="667"/>
      <c r="GR52" s="667"/>
      <c r="GS52" s="667"/>
      <c r="GT52" s="667"/>
      <c r="GU52" s="667"/>
      <c r="GV52" s="667"/>
      <c r="GW52" s="667"/>
      <c r="GX52" s="667"/>
      <c r="GY52" s="667"/>
      <c r="GZ52" s="667"/>
      <c r="HA52" s="667"/>
      <c r="HB52" s="667"/>
      <c r="HC52" s="667"/>
      <c r="HD52" s="667"/>
      <c r="HE52" s="667"/>
      <c r="HF52" s="667"/>
      <c r="HG52" s="667"/>
      <c r="HH52" s="667"/>
      <c r="HI52" s="667"/>
      <c r="HJ52" s="667"/>
      <c r="HK52" s="667"/>
      <c r="HL52" s="667"/>
      <c r="HM52" s="667"/>
      <c r="HN52" s="667"/>
      <c r="HO52" s="667"/>
      <c r="HP52" s="667"/>
      <c r="HQ52" s="667"/>
      <c r="HR52" s="667"/>
      <c r="HS52" s="667"/>
      <c r="HT52" s="667"/>
      <c r="HU52" s="667"/>
      <c r="HV52" s="667"/>
      <c r="HW52" s="667"/>
    </row>
    <row r="53" spans="1:231" ht="14.1" customHeight="1">
      <c r="A53" s="667"/>
      <c r="B53" s="691"/>
      <c r="C53" s="691"/>
      <c r="E53" s="712"/>
      <c r="F53" s="667"/>
      <c r="G53" s="667"/>
      <c r="H53" s="667"/>
      <c r="I53" s="667"/>
      <c r="K53" s="683"/>
      <c r="P53" s="666"/>
      <c r="Q53" s="666"/>
      <c r="R53" s="666"/>
      <c r="S53" s="666"/>
      <c r="T53" s="666"/>
      <c r="U53" s="666"/>
      <c r="V53" s="666"/>
      <c r="W53" s="666"/>
      <c r="X53" s="667"/>
      <c r="Y53" s="667"/>
      <c r="Z53" s="667"/>
      <c r="AA53" s="667"/>
      <c r="AB53" s="667"/>
      <c r="AC53" s="667"/>
      <c r="AD53" s="667"/>
      <c r="AE53" s="667"/>
      <c r="AF53" s="667"/>
      <c r="AG53" s="667"/>
      <c r="AH53" s="667"/>
      <c r="AI53" s="667"/>
      <c r="AJ53" s="667"/>
      <c r="AK53" s="667"/>
      <c r="AL53" s="667"/>
      <c r="AM53" s="667"/>
      <c r="AN53" s="667"/>
      <c r="AO53" s="667"/>
      <c r="AP53" s="667"/>
      <c r="AQ53" s="667"/>
      <c r="AR53" s="667"/>
      <c r="AS53" s="667"/>
      <c r="AT53" s="667"/>
      <c r="AU53" s="667"/>
      <c r="AV53" s="667"/>
      <c r="AW53" s="667"/>
      <c r="AX53" s="667"/>
      <c r="AY53" s="667"/>
      <c r="AZ53" s="667"/>
      <c r="BA53" s="667"/>
      <c r="BB53" s="667"/>
      <c r="BC53" s="667"/>
      <c r="BD53" s="667"/>
      <c r="BE53" s="667"/>
      <c r="BF53" s="667"/>
      <c r="BG53" s="667"/>
      <c r="BH53" s="667"/>
      <c r="BI53" s="667"/>
      <c r="BJ53" s="667"/>
      <c r="BK53" s="667"/>
      <c r="BL53" s="667"/>
      <c r="BM53" s="667"/>
      <c r="BN53" s="667"/>
      <c r="BO53" s="667"/>
      <c r="BP53" s="667"/>
      <c r="BQ53" s="667"/>
      <c r="BR53" s="667"/>
      <c r="BS53" s="667"/>
      <c r="BT53" s="667"/>
      <c r="BU53" s="667"/>
      <c r="BV53" s="667"/>
      <c r="BW53" s="667"/>
      <c r="BX53" s="667"/>
      <c r="BY53" s="667"/>
      <c r="BZ53" s="667"/>
      <c r="CA53" s="667"/>
      <c r="CB53" s="667"/>
      <c r="CC53" s="667"/>
      <c r="CD53" s="667"/>
      <c r="CE53" s="667"/>
      <c r="CF53" s="667"/>
      <c r="CG53" s="667"/>
      <c r="CH53" s="667"/>
      <c r="CI53" s="667"/>
      <c r="CJ53" s="667"/>
      <c r="CK53" s="667"/>
      <c r="CL53" s="667"/>
      <c r="CM53" s="667"/>
      <c r="CN53" s="667"/>
      <c r="CO53" s="667"/>
      <c r="CP53" s="667"/>
      <c r="CQ53" s="667"/>
      <c r="CR53" s="667"/>
      <c r="CS53" s="667"/>
      <c r="CT53" s="667"/>
      <c r="CU53" s="667"/>
      <c r="CV53" s="667"/>
      <c r="CW53" s="667"/>
      <c r="CX53" s="667"/>
      <c r="CY53" s="667"/>
      <c r="CZ53" s="667"/>
      <c r="DA53" s="667"/>
      <c r="DB53" s="667"/>
      <c r="DC53" s="667"/>
      <c r="DD53" s="667"/>
      <c r="DE53" s="667"/>
      <c r="DF53" s="667"/>
      <c r="DG53" s="667"/>
      <c r="DH53" s="667"/>
      <c r="DI53" s="667"/>
      <c r="DJ53" s="667"/>
      <c r="DK53" s="667"/>
      <c r="DL53" s="667"/>
      <c r="DM53" s="667"/>
      <c r="DN53" s="667"/>
      <c r="DO53" s="667"/>
      <c r="DP53" s="667"/>
      <c r="DQ53" s="667"/>
      <c r="DR53" s="667"/>
      <c r="DS53" s="667"/>
      <c r="DT53" s="667"/>
      <c r="DU53" s="667"/>
      <c r="DV53" s="667"/>
      <c r="DW53" s="667"/>
      <c r="DX53" s="667"/>
      <c r="DY53" s="667"/>
      <c r="DZ53" s="667"/>
      <c r="EA53" s="667"/>
      <c r="EB53" s="667"/>
      <c r="EC53" s="667"/>
      <c r="ED53" s="667"/>
      <c r="EE53" s="667"/>
      <c r="EF53" s="667"/>
      <c r="EG53" s="667"/>
      <c r="EH53" s="667"/>
      <c r="EI53" s="667"/>
      <c r="EJ53" s="667"/>
      <c r="EK53" s="667"/>
      <c r="EL53" s="667"/>
      <c r="EM53" s="667"/>
      <c r="EN53" s="667"/>
      <c r="EO53" s="667"/>
      <c r="EP53" s="667"/>
      <c r="EQ53" s="667"/>
      <c r="ER53" s="667"/>
      <c r="ES53" s="667"/>
      <c r="ET53" s="667"/>
      <c r="EU53" s="667"/>
      <c r="EV53" s="667"/>
      <c r="EW53" s="667"/>
      <c r="EX53" s="667"/>
      <c r="EY53" s="667"/>
      <c r="EZ53" s="667"/>
      <c r="FA53" s="667"/>
      <c r="FB53" s="667"/>
      <c r="FC53" s="667"/>
      <c r="FD53" s="667"/>
      <c r="FE53" s="667"/>
      <c r="FF53" s="667"/>
      <c r="FG53" s="667"/>
      <c r="FH53" s="667"/>
      <c r="FI53" s="667"/>
      <c r="FJ53" s="667"/>
      <c r="FK53" s="667"/>
      <c r="FL53" s="667"/>
      <c r="FM53" s="667"/>
      <c r="FN53" s="667"/>
      <c r="FO53" s="667"/>
      <c r="FP53" s="667"/>
      <c r="FQ53" s="667"/>
      <c r="FR53" s="667"/>
      <c r="FS53" s="667"/>
      <c r="FT53" s="667"/>
      <c r="FU53" s="667"/>
      <c r="FV53" s="667"/>
      <c r="FW53" s="667"/>
      <c r="FX53" s="667"/>
      <c r="FY53" s="667"/>
      <c r="FZ53" s="667"/>
      <c r="GA53" s="667"/>
      <c r="GB53" s="667"/>
      <c r="GC53" s="667"/>
      <c r="GD53" s="667"/>
      <c r="GE53" s="667"/>
      <c r="GF53" s="667"/>
      <c r="GG53" s="667"/>
      <c r="GH53" s="667"/>
      <c r="GI53" s="667"/>
      <c r="GJ53" s="667"/>
      <c r="GK53" s="667"/>
      <c r="GL53" s="667"/>
      <c r="GM53" s="667"/>
      <c r="GN53" s="667"/>
      <c r="GO53" s="667"/>
      <c r="GP53" s="667"/>
      <c r="GQ53" s="667"/>
      <c r="GR53" s="667"/>
      <c r="GS53" s="667"/>
      <c r="GT53" s="667"/>
      <c r="GU53" s="667"/>
      <c r="GV53" s="667"/>
      <c r="GW53" s="667"/>
      <c r="GX53" s="667"/>
      <c r="GY53" s="667"/>
      <c r="GZ53" s="667"/>
      <c r="HA53" s="667"/>
      <c r="HB53" s="667"/>
      <c r="HC53" s="667"/>
      <c r="HD53" s="667"/>
      <c r="HE53" s="667"/>
      <c r="HF53" s="667"/>
      <c r="HG53" s="667"/>
      <c r="HH53" s="667"/>
      <c r="HI53" s="667"/>
      <c r="HJ53" s="667"/>
      <c r="HK53" s="667"/>
      <c r="HL53" s="667"/>
      <c r="HM53" s="667"/>
      <c r="HN53" s="667"/>
      <c r="HO53" s="667"/>
      <c r="HP53" s="667"/>
      <c r="HQ53" s="667"/>
      <c r="HR53" s="667"/>
      <c r="HS53" s="667"/>
      <c r="HT53" s="667"/>
      <c r="HU53" s="667"/>
      <c r="HV53" s="667"/>
      <c r="HW53" s="667"/>
    </row>
    <row r="54" spans="1:231" ht="14.1" customHeight="1">
      <c r="A54" s="667"/>
      <c r="B54" s="691"/>
      <c r="C54" s="691"/>
      <c r="E54" s="712"/>
      <c r="F54" s="667"/>
      <c r="G54" s="667"/>
      <c r="H54" s="667"/>
      <c r="I54" s="667"/>
      <c r="K54" s="683"/>
      <c r="P54" s="666"/>
      <c r="Q54" s="666"/>
      <c r="R54" s="666"/>
      <c r="S54" s="666"/>
      <c r="T54" s="666"/>
      <c r="U54" s="666"/>
      <c r="V54" s="666"/>
      <c r="W54" s="666"/>
      <c r="X54" s="667"/>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AY54" s="667"/>
      <c r="AZ54" s="667"/>
      <c r="BA54" s="667"/>
      <c r="BB54" s="667"/>
      <c r="BC54" s="667"/>
      <c r="BD54" s="667"/>
      <c r="BE54" s="667"/>
      <c r="BF54" s="667"/>
      <c r="BG54" s="667"/>
      <c r="BH54" s="667"/>
      <c r="BI54" s="667"/>
      <c r="BJ54" s="667"/>
      <c r="BK54" s="667"/>
      <c r="BL54" s="667"/>
      <c r="BM54" s="667"/>
      <c r="BN54" s="667"/>
      <c r="BO54" s="667"/>
      <c r="BP54" s="667"/>
      <c r="BQ54" s="667"/>
      <c r="BR54" s="667"/>
      <c r="BS54" s="667"/>
      <c r="BT54" s="667"/>
      <c r="BU54" s="667"/>
      <c r="BV54" s="667"/>
      <c r="BW54" s="667"/>
      <c r="BX54" s="667"/>
      <c r="BY54" s="667"/>
      <c r="BZ54" s="667"/>
      <c r="CA54" s="667"/>
      <c r="CB54" s="667"/>
      <c r="CC54" s="667"/>
      <c r="CD54" s="667"/>
      <c r="CE54" s="667"/>
      <c r="CF54" s="667"/>
      <c r="CG54" s="667"/>
      <c r="CH54" s="667"/>
      <c r="CI54" s="667"/>
      <c r="CJ54" s="667"/>
      <c r="CK54" s="667"/>
      <c r="CL54" s="667"/>
      <c r="CM54" s="667"/>
      <c r="CN54" s="667"/>
      <c r="CO54" s="667"/>
      <c r="CP54" s="667"/>
      <c r="CQ54" s="667"/>
      <c r="CR54" s="667"/>
      <c r="CS54" s="667"/>
      <c r="CT54" s="667"/>
      <c r="CU54" s="667"/>
      <c r="CV54" s="667"/>
      <c r="CW54" s="667"/>
      <c r="CX54" s="667"/>
      <c r="CY54" s="667"/>
      <c r="CZ54" s="667"/>
      <c r="DA54" s="667"/>
      <c r="DB54" s="667"/>
      <c r="DC54" s="667"/>
      <c r="DD54" s="667"/>
      <c r="DE54" s="667"/>
      <c r="DF54" s="667"/>
      <c r="DG54" s="667"/>
      <c r="DH54" s="667"/>
      <c r="DI54" s="667"/>
      <c r="DJ54" s="667"/>
      <c r="DK54" s="667"/>
      <c r="DL54" s="667"/>
      <c r="DM54" s="667"/>
      <c r="DN54" s="667"/>
      <c r="DO54" s="667"/>
      <c r="DP54" s="667"/>
      <c r="DQ54" s="667"/>
      <c r="DR54" s="667"/>
      <c r="DS54" s="667"/>
      <c r="DT54" s="667"/>
      <c r="DU54" s="667"/>
      <c r="DV54" s="667"/>
      <c r="DW54" s="667"/>
      <c r="DX54" s="667"/>
      <c r="DY54" s="667"/>
      <c r="DZ54" s="667"/>
      <c r="EA54" s="667"/>
      <c r="EB54" s="667"/>
      <c r="EC54" s="667"/>
      <c r="ED54" s="667"/>
      <c r="EE54" s="667"/>
      <c r="EF54" s="667"/>
      <c r="EG54" s="667"/>
      <c r="EH54" s="667"/>
      <c r="EI54" s="667"/>
      <c r="EJ54" s="667"/>
      <c r="EK54" s="667"/>
      <c r="EL54" s="667"/>
      <c r="EM54" s="667"/>
      <c r="EN54" s="667"/>
      <c r="EO54" s="667"/>
      <c r="EP54" s="667"/>
      <c r="EQ54" s="667"/>
      <c r="ER54" s="667"/>
      <c r="ES54" s="667"/>
      <c r="ET54" s="667"/>
      <c r="EU54" s="667"/>
      <c r="EV54" s="667"/>
      <c r="EW54" s="667"/>
      <c r="EX54" s="667"/>
      <c r="EY54" s="667"/>
      <c r="EZ54" s="667"/>
      <c r="FA54" s="667"/>
      <c r="FB54" s="667"/>
      <c r="FC54" s="667"/>
      <c r="FD54" s="667"/>
      <c r="FE54" s="667"/>
      <c r="FF54" s="667"/>
      <c r="FG54" s="667"/>
      <c r="FH54" s="667"/>
      <c r="FI54" s="667"/>
      <c r="FJ54" s="667"/>
      <c r="FK54" s="667"/>
      <c r="FL54" s="667"/>
      <c r="FM54" s="667"/>
      <c r="FN54" s="667"/>
      <c r="FO54" s="667"/>
      <c r="FP54" s="667"/>
      <c r="FQ54" s="667"/>
      <c r="FR54" s="667"/>
      <c r="FS54" s="667"/>
      <c r="FT54" s="667"/>
      <c r="FU54" s="667"/>
      <c r="FV54" s="667"/>
      <c r="FW54" s="667"/>
      <c r="FX54" s="667"/>
      <c r="FY54" s="667"/>
      <c r="FZ54" s="667"/>
      <c r="GA54" s="667"/>
      <c r="GB54" s="667"/>
      <c r="GC54" s="667"/>
      <c r="GD54" s="667"/>
      <c r="GE54" s="667"/>
      <c r="GF54" s="667"/>
      <c r="GG54" s="667"/>
      <c r="GH54" s="667"/>
      <c r="GI54" s="667"/>
      <c r="GJ54" s="667"/>
      <c r="GK54" s="667"/>
      <c r="GL54" s="667"/>
      <c r="GM54" s="667"/>
      <c r="GN54" s="667"/>
      <c r="GO54" s="667"/>
      <c r="GP54" s="667"/>
      <c r="GQ54" s="667"/>
      <c r="GR54" s="667"/>
      <c r="GS54" s="667"/>
      <c r="GT54" s="667"/>
      <c r="GU54" s="667"/>
      <c r="GV54" s="667"/>
      <c r="GW54" s="667"/>
      <c r="GX54" s="667"/>
      <c r="GY54" s="667"/>
      <c r="GZ54" s="667"/>
      <c r="HA54" s="667"/>
      <c r="HB54" s="667"/>
      <c r="HC54" s="667"/>
      <c r="HD54" s="667"/>
      <c r="HE54" s="667"/>
      <c r="HF54" s="667"/>
      <c r="HG54" s="667"/>
      <c r="HH54" s="667"/>
      <c r="HI54" s="667"/>
      <c r="HJ54" s="667"/>
      <c r="HK54" s="667"/>
      <c r="HL54" s="667"/>
      <c r="HM54" s="667"/>
      <c r="HN54" s="667"/>
      <c r="HO54" s="667"/>
      <c r="HP54" s="667"/>
      <c r="HQ54" s="667"/>
      <c r="HR54" s="667"/>
      <c r="HS54" s="667"/>
      <c r="HT54" s="667"/>
      <c r="HU54" s="667"/>
      <c r="HV54" s="667"/>
      <c r="HW54" s="667"/>
    </row>
    <row r="55" spans="1:231" ht="14.1" customHeight="1">
      <c r="A55" s="667"/>
      <c r="B55" s="691"/>
      <c r="C55" s="691"/>
      <c r="E55" s="712"/>
      <c r="F55" s="667"/>
      <c r="G55" s="667"/>
      <c r="H55" s="667"/>
      <c r="I55" s="667"/>
      <c r="K55" s="683"/>
      <c r="L55" s="666"/>
      <c r="M55" s="666"/>
      <c r="N55" s="666"/>
      <c r="O55" s="666"/>
      <c r="P55" s="666"/>
      <c r="Q55" s="666"/>
      <c r="R55" s="666"/>
      <c r="S55" s="666"/>
      <c r="T55" s="666"/>
      <c r="U55" s="666"/>
      <c r="V55" s="666"/>
      <c r="W55" s="666"/>
      <c r="X55" s="667"/>
      <c r="Y55" s="667"/>
      <c r="Z55" s="667"/>
      <c r="AA55" s="667"/>
      <c r="AB55" s="667"/>
      <c r="AC55" s="667"/>
      <c r="AD55" s="667"/>
      <c r="AE55" s="667"/>
      <c r="AF55" s="667"/>
      <c r="AG55" s="667"/>
      <c r="AH55" s="667"/>
      <c r="AI55" s="667"/>
      <c r="AJ55" s="667"/>
      <c r="AK55" s="667"/>
      <c r="AL55" s="667"/>
      <c r="AM55" s="667"/>
      <c r="AN55" s="667"/>
      <c r="AO55" s="667"/>
      <c r="AP55" s="667"/>
      <c r="AQ55" s="667"/>
      <c r="AR55" s="667"/>
      <c r="AS55" s="667"/>
      <c r="AT55" s="667"/>
      <c r="AU55" s="667"/>
      <c r="AV55" s="667"/>
      <c r="AW55" s="667"/>
      <c r="AX55" s="667"/>
      <c r="AY55" s="667"/>
      <c r="AZ55" s="667"/>
      <c r="BA55" s="667"/>
      <c r="BB55" s="667"/>
      <c r="BC55" s="667"/>
      <c r="BD55" s="667"/>
      <c r="BE55" s="667"/>
      <c r="BF55" s="667"/>
      <c r="BG55" s="667"/>
      <c r="BH55" s="667"/>
      <c r="BI55" s="667"/>
      <c r="BJ55" s="667"/>
      <c r="BK55" s="667"/>
      <c r="BL55" s="667"/>
      <c r="BM55" s="667"/>
      <c r="BN55" s="667"/>
      <c r="BO55" s="667"/>
      <c r="BP55" s="667"/>
      <c r="BQ55" s="667"/>
      <c r="BR55" s="667"/>
      <c r="BS55" s="667"/>
      <c r="BT55" s="667"/>
      <c r="BU55" s="667"/>
      <c r="BV55" s="667"/>
      <c r="BW55" s="667"/>
      <c r="BX55" s="667"/>
      <c r="BY55" s="667"/>
      <c r="BZ55" s="667"/>
      <c r="CA55" s="667"/>
      <c r="CB55" s="667"/>
      <c r="CC55" s="667"/>
      <c r="CD55" s="667"/>
      <c r="CE55" s="667"/>
      <c r="CF55" s="667"/>
      <c r="CG55" s="667"/>
      <c r="CH55" s="667"/>
      <c r="CI55" s="667"/>
      <c r="CJ55" s="667"/>
      <c r="CK55" s="667"/>
      <c r="CL55" s="667"/>
      <c r="CM55" s="667"/>
      <c r="CN55" s="667"/>
      <c r="CO55" s="667"/>
      <c r="CP55" s="667"/>
      <c r="CQ55" s="667"/>
      <c r="CR55" s="667"/>
      <c r="CS55" s="667"/>
      <c r="CT55" s="667"/>
      <c r="CU55" s="667"/>
      <c r="CV55" s="667"/>
      <c r="CW55" s="667"/>
      <c r="CX55" s="667"/>
      <c r="CY55" s="667"/>
      <c r="CZ55" s="667"/>
      <c r="DA55" s="667"/>
      <c r="DB55" s="667"/>
      <c r="DC55" s="667"/>
      <c r="DD55" s="667"/>
      <c r="DE55" s="667"/>
      <c r="DF55" s="667"/>
      <c r="DG55" s="667"/>
      <c r="DH55" s="667"/>
      <c r="DI55" s="667"/>
      <c r="DJ55" s="667"/>
      <c r="DK55" s="667"/>
      <c r="DL55" s="667"/>
      <c r="DM55" s="667"/>
      <c r="DN55" s="667"/>
      <c r="DO55" s="667"/>
      <c r="DP55" s="667"/>
      <c r="DQ55" s="667"/>
      <c r="DR55" s="667"/>
      <c r="DS55" s="667"/>
      <c r="DT55" s="667"/>
      <c r="DU55" s="667"/>
      <c r="DV55" s="667"/>
      <c r="DW55" s="667"/>
      <c r="DX55" s="667"/>
      <c r="DY55" s="667"/>
      <c r="DZ55" s="667"/>
      <c r="EA55" s="667"/>
      <c r="EB55" s="667"/>
      <c r="EC55" s="667"/>
      <c r="ED55" s="667"/>
      <c r="EE55" s="667"/>
      <c r="EF55" s="667"/>
      <c r="EG55" s="667"/>
      <c r="EH55" s="667"/>
      <c r="EI55" s="667"/>
      <c r="EJ55" s="667"/>
      <c r="EK55" s="667"/>
      <c r="EL55" s="667"/>
      <c r="EM55" s="667"/>
      <c r="EN55" s="667"/>
      <c r="EO55" s="667"/>
      <c r="EP55" s="667"/>
      <c r="EQ55" s="667"/>
      <c r="ER55" s="667"/>
      <c r="ES55" s="667"/>
      <c r="ET55" s="667"/>
      <c r="EU55" s="667"/>
      <c r="EV55" s="667"/>
      <c r="EW55" s="667"/>
      <c r="EX55" s="667"/>
      <c r="EY55" s="667"/>
      <c r="EZ55" s="667"/>
      <c r="FA55" s="667"/>
      <c r="FB55" s="667"/>
      <c r="FC55" s="667"/>
      <c r="FD55" s="667"/>
      <c r="FE55" s="667"/>
      <c r="FF55" s="667"/>
      <c r="FG55" s="667"/>
      <c r="FH55" s="667"/>
      <c r="FI55" s="667"/>
      <c r="FJ55" s="667"/>
      <c r="FK55" s="667"/>
      <c r="FL55" s="667"/>
      <c r="FM55" s="667"/>
      <c r="FN55" s="667"/>
      <c r="FO55" s="667"/>
      <c r="FP55" s="667"/>
      <c r="FQ55" s="667"/>
      <c r="FR55" s="667"/>
      <c r="FS55" s="667"/>
      <c r="FT55" s="667"/>
      <c r="FU55" s="667"/>
      <c r="FV55" s="667"/>
      <c r="FW55" s="667"/>
      <c r="FX55" s="667"/>
      <c r="FY55" s="667"/>
      <c r="FZ55" s="667"/>
      <c r="GA55" s="667"/>
      <c r="GB55" s="667"/>
      <c r="GC55" s="667"/>
      <c r="GD55" s="667"/>
      <c r="GE55" s="667"/>
      <c r="GF55" s="667"/>
      <c r="GG55" s="667"/>
      <c r="GH55" s="667"/>
      <c r="GI55" s="667"/>
      <c r="GJ55" s="667"/>
      <c r="GK55" s="667"/>
      <c r="GL55" s="667"/>
      <c r="GM55" s="667"/>
      <c r="GN55" s="667"/>
      <c r="GO55" s="667"/>
      <c r="GP55" s="667"/>
      <c r="GQ55" s="667"/>
      <c r="GR55" s="667"/>
      <c r="GS55" s="667"/>
      <c r="GT55" s="667"/>
      <c r="GU55" s="667"/>
      <c r="GV55" s="667"/>
      <c r="GW55" s="667"/>
      <c r="GX55" s="667"/>
      <c r="GY55" s="667"/>
      <c r="GZ55" s="667"/>
      <c r="HA55" s="667"/>
      <c r="HB55" s="667"/>
      <c r="HC55" s="667"/>
      <c r="HD55" s="667"/>
      <c r="HE55" s="667"/>
      <c r="HF55" s="667"/>
      <c r="HG55" s="667"/>
      <c r="HH55" s="667"/>
      <c r="HI55" s="667"/>
      <c r="HJ55" s="667"/>
      <c r="HK55" s="667"/>
      <c r="HL55" s="667"/>
      <c r="HM55" s="667"/>
      <c r="HN55" s="667"/>
      <c r="HO55" s="667"/>
      <c r="HP55" s="667"/>
      <c r="HQ55" s="667"/>
      <c r="HR55" s="667"/>
      <c r="HS55" s="667"/>
      <c r="HT55" s="667"/>
      <c r="HU55" s="667"/>
      <c r="HV55" s="667"/>
      <c r="HW55" s="667"/>
    </row>
    <row r="56" spans="1:231" ht="14.1" customHeight="1">
      <c r="A56" s="667"/>
      <c r="B56" s="691"/>
      <c r="C56" s="691"/>
      <c r="E56" s="712"/>
      <c r="F56" s="667"/>
      <c r="G56" s="667"/>
      <c r="H56" s="667"/>
      <c r="I56" s="667"/>
      <c r="K56" s="683"/>
      <c r="L56" s="666"/>
      <c r="M56" s="666"/>
      <c r="N56" s="666"/>
      <c r="O56" s="666"/>
      <c r="P56" s="666"/>
      <c r="Q56" s="666"/>
      <c r="R56" s="666"/>
      <c r="S56" s="666"/>
      <c r="T56" s="666"/>
      <c r="U56" s="666"/>
      <c r="V56" s="666"/>
      <c r="W56" s="666"/>
      <c r="X56" s="667"/>
      <c r="Y56" s="667"/>
      <c r="Z56" s="667"/>
      <c r="AA56" s="667"/>
      <c r="AB56" s="667"/>
      <c r="AC56" s="667"/>
      <c r="AD56" s="667"/>
      <c r="AE56" s="667"/>
      <c r="AF56" s="667"/>
      <c r="AG56" s="667"/>
      <c r="AH56" s="667"/>
      <c r="AI56" s="667"/>
      <c r="AJ56" s="667"/>
      <c r="AK56" s="667"/>
      <c r="AL56" s="667"/>
      <c r="AM56" s="667"/>
      <c r="AN56" s="667"/>
      <c r="AO56" s="667"/>
      <c r="AP56" s="667"/>
      <c r="AQ56" s="667"/>
      <c r="AR56" s="667"/>
      <c r="AS56" s="667"/>
      <c r="AT56" s="667"/>
      <c r="AU56" s="667"/>
      <c r="AV56" s="667"/>
      <c r="AW56" s="667"/>
      <c r="AX56" s="667"/>
      <c r="AY56" s="667"/>
      <c r="AZ56" s="667"/>
      <c r="BA56" s="667"/>
      <c r="BB56" s="667"/>
      <c r="BC56" s="667"/>
      <c r="BD56" s="667"/>
      <c r="BE56" s="667"/>
      <c r="BF56" s="667"/>
      <c r="BG56" s="667"/>
      <c r="BH56" s="667"/>
      <c r="BI56" s="667"/>
      <c r="BJ56" s="667"/>
      <c r="BK56" s="667"/>
      <c r="BL56" s="667"/>
      <c r="BM56" s="667"/>
      <c r="BN56" s="667"/>
      <c r="BO56" s="667"/>
      <c r="BP56" s="667"/>
      <c r="BQ56" s="667"/>
      <c r="BR56" s="667"/>
      <c r="BS56" s="667"/>
      <c r="BT56" s="667"/>
      <c r="BU56" s="667"/>
      <c r="BV56" s="667"/>
      <c r="BW56" s="667"/>
      <c r="BX56" s="667"/>
      <c r="BY56" s="667"/>
      <c r="BZ56" s="667"/>
      <c r="CA56" s="667"/>
      <c r="CB56" s="667"/>
      <c r="CC56" s="667"/>
      <c r="CD56" s="667"/>
      <c r="CE56" s="667"/>
      <c r="CF56" s="667"/>
      <c r="CG56" s="667"/>
      <c r="CH56" s="667"/>
      <c r="CI56" s="667"/>
      <c r="CJ56" s="667"/>
      <c r="CK56" s="667"/>
      <c r="CL56" s="667"/>
      <c r="CM56" s="667"/>
      <c r="CN56" s="667"/>
      <c r="CO56" s="667"/>
      <c r="CP56" s="667"/>
      <c r="CQ56" s="667"/>
      <c r="CR56" s="667"/>
      <c r="CS56" s="667"/>
      <c r="CT56" s="667"/>
      <c r="CU56" s="667"/>
      <c r="CV56" s="667"/>
      <c r="CW56" s="667"/>
      <c r="CX56" s="667"/>
      <c r="CY56" s="667"/>
      <c r="CZ56" s="667"/>
      <c r="DA56" s="667"/>
      <c r="DB56" s="667"/>
      <c r="DC56" s="667"/>
      <c r="DD56" s="667"/>
      <c r="DE56" s="667"/>
      <c r="DF56" s="667"/>
      <c r="DG56" s="667"/>
      <c r="DH56" s="667"/>
      <c r="DI56" s="667"/>
      <c r="DJ56" s="667"/>
      <c r="DK56" s="667"/>
      <c r="DL56" s="667"/>
      <c r="DM56" s="667"/>
      <c r="DN56" s="667"/>
      <c r="DO56" s="667"/>
      <c r="DP56" s="667"/>
      <c r="DQ56" s="667"/>
      <c r="DR56" s="667"/>
      <c r="DS56" s="667"/>
      <c r="DT56" s="667"/>
      <c r="DU56" s="667"/>
      <c r="DV56" s="667"/>
      <c r="DW56" s="667"/>
      <c r="DX56" s="667"/>
      <c r="DY56" s="667"/>
      <c r="DZ56" s="667"/>
      <c r="EA56" s="667"/>
      <c r="EB56" s="667"/>
      <c r="EC56" s="667"/>
      <c r="ED56" s="667"/>
      <c r="EE56" s="667"/>
      <c r="EF56" s="667"/>
      <c r="EG56" s="667"/>
      <c r="EH56" s="667"/>
      <c r="EI56" s="667"/>
      <c r="EJ56" s="667"/>
      <c r="EK56" s="667"/>
      <c r="EL56" s="667"/>
      <c r="EM56" s="667"/>
      <c r="EN56" s="667"/>
      <c r="EO56" s="667"/>
      <c r="EP56" s="667"/>
      <c r="EQ56" s="667"/>
      <c r="ER56" s="667"/>
      <c r="ES56" s="667"/>
      <c r="ET56" s="667"/>
      <c r="EU56" s="667"/>
      <c r="EV56" s="667"/>
      <c r="EW56" s="667"/>
      <c r="EX56" s="667"/>
      <c r="EY56" s="667"/>
      <c r="EZ56" s="667"/>
      <c r="FA56" s="667"/>
      <c r="FB56" s="667"/>
      <c r="FC56" s="667"/>
      <c r="FD56" s="667"/>
      <c r="FE56" s="667"/>
      <c r="FF56" s="667"/>
      <c r="FG56" s="667"/>
      <c r="FH56" s="667"/>
      <c r="FI56" s="667"/>
      <c r="FJ56" s="667"/>
      <c r="FK56" s="667"/>
      <c r="FL56" s="667"/>
      <c r="FM56" s="667"/>
      <c r="FN56" s="667"/>
      <c r="FO56" s="667"/>
      <c r="FP56" s="667"/>
      <c r="FQ56" s="667"/>
      <c r="FR56" s="667"/>
      <c r="FS56" s="667"/>
      <c r="FT56" s="667"/>
      <c r="FU56" s="667"/>
      <c r="FV56" s="667"/>
      <c r="FW56" s="667"/>
      <c r="FX56" s="667"/>
      <c r="FY56" s="667"/>
      <c r="FZ56" s="667"/>
      <c r="GA56" s="667"/>
      <c r="GB56" s="667"/>
      <c r="GC56" s="667"/>
      <c r="GD56" s="667"/>
      <c r="GE56" s="667"/>
      <c r="GF56" s="667"/>
      <c r="GG56" s="667"/>
      <c r="GH56" s="667"/>
      <c r="GI56" s="667"/>
      <c r="GJ56" s="667"/>
      <c r="GK56" s="667"/>
      <c r="GL56" s="667"/>
      <c r="GM56" s="667"/>
      <c r="GN56" s="667"/>
      <c r="GO56" s="667"/>
      <c r="GP56" s="667"/>
      <c r="GQ56" s="667"/>
      <c r="GR56" s="667"/>
      <c r="GS56" s="667"/>
      <c r="GT56" s="667"/>
      <c r="GU56" s="667"/>
      <c r="GV56" s="667"/>
      <c r="GW56" s="667"/>
      <c r="GX56" s="667"/>
      <c r="GY56" s="667"/>
      <c r="GZ56" s="667"/>
      <c r="HA56" s="667"/>
      <c r="HB56" s="667"/>
      <c r="HC56" s="667"/>
      <c r="HD56" s="667"/>
      <c r="HE56" s="667"/>
      <c r="HF56" s="667"/>
      <c r="HG56" s="667"/>
      <c r="HH56" s="667"/>
      <c r="HI56" s="667"/>
      <c r="HJ56" s="667"/>
      <c r="HK56" s="667"/>
      <c r="HL56" s="667"/>
      <c r="HM56" s="667"/>
      <c r="HN56" s="667"/>
      <c r="HO56" s="667"/>
      <c r="HP56" s="667"/>
      <c r="HQ56" s="667"/>
      <c r="HR56" s="667"/>
      <c r="HS56" s="667"/>
      <c r="HT56" s="667"/>
      <c r="HU56" s="667"/>
      <c r="HV56" s="667"/>
      <c r="HW56" s="667"/>
    </row>
    <row r="57" spans="1:231" ht="14.1" customHeight="1">
      <c r="A57" s="667"/>
      <c r="B57" s="691"/>
      <c r="C57" s="691"/>
      <c r="E57" s="712"/>
      <c r="F57" s="667"/>
      <c r="G57" s="667"/>
      <c r="H57" s="667"/>
      <c r="I57" s="667"/>
      <c r="K57" s="683"/>
      <c r="L57" s="666"/>
      <c r="M57" s="666"/>
      <c r="N57" s="666"/>
      <c r="O57" s="666"/>
      <c r="P57" s="666"/>
      <c r="Q57" s="666"/>
      <c r="R57" s="666"/>
      <c r="S57" s="666"/>
      <c r="T57" s="666"/>
      <c r="U57" s="666"/>
      <c r="V57" s="666"/>
      <c r="W57" s="666"/>
      <c r="X57" s="667"/>
      <c r="Y57" s="667"/>
      <c r="Z57" s="667"/>
      <c r="AA57" s="667"/>
      <c r="AB57" s="667"/>
      <c r="AC57" s="667"/>
      <c r="AD57" s="667"/>
      <c r="AE57" s="667"/>
      <c r="AF57" s="667"/>
      <c r="AG57" s="667"/>
      <c r="AH57" s="667"/>
      <c r="AI57" s="667"/>
      <c r="AJ57" s="667"/>
      <c r="AK57" s="667"/>
      <c r="AL57" s="667"/>
      <c r="AM57" s="667"/>
      <c r="AN57" s="667"/>
      <c r="AO57" s="667"/>
      <c r="AP57" s="667"/>
      <c r="AQ57" s="667"/>
      <c r="AR57" s="667"/>
      <c r="AS57" s="667"/>
      <c r="AT57" s="667"/>
      <c r="AU57" s="667"/>
      <c r="AV57" s="667"/>
      <c r="AW57" s="667"/>
      <c r="AX57" s="667"/>
      <c r="AY57" s="667"/>
      <c r="AZ57" s="667"/>
      <c r="BA57" s="667"/>
      <c r="BB57" s="667"/>
      <c r="BC57" s="667"/>
      <c r="BD57" s="667"/>
      <c r="BE57" s="667"/>
      <c r="BF57" s="667"/>
      <c r="BG57" s="667"/>
      <c r="BH57" s="667"/>
      <c r="BI57" s="667"/>
      <c r="BJ57" s="667"/>
      <c r="BK57" s="667"/>
      <c r="BL57" s="667"/>
      <c r="BM57" s="667"/>
      <c r="BN57" s="667"/>
      <c r="BO57" s="667"/>
      <c r="BP57" s="667"/>
      <c r="BQ57" s="667"/>
      <c r="BR57" s="667"/>
      <c r="BS57" s="667"/>
      <c r="BT57" s="667"/>
      <c r="BU57" s="667"/>
      <c r="BV57" s="667"/>
      <c r="BW57" s="667"/>
      <c r="BX57" s="667"/>
      <c r="BY57" s="667"/>
      <c r="BZ57" s="667"/>
      <c r="CA57" s="667"/>
      <c r="CB57" s="667"/>
      <c r="CC57" s="667"/>
      <c r="CD57" s="667"/>
      <c r="CE57" s="667"/>
      <c r="CF57" s="667"/>
      <c r="CG57" s="667"/>
      <c r="CH57" s="667"/>
      <c r="CI57" s="667"/>
      <c r="CJ57" s="667"/>
      <c r="CK57" s="667"/>
      <c r="CL57" s="667"/>
      <c r="CM57" s="667"/>
      <c r="CN57" s="667"/>
      <c r="CO57" s="667"/>
      <c r="CP57" s="667"/>
      <c r="CQ57" s="667"/>
      <c r="CR57" s="667"/>
      <c r="CS57" s="667"/>
      <c r="CT57" s="667"/>
      <c r="CU57" s="667"/>
      <c r="CV57" s="667"/>
      <c r="CW57" s="667"/>
      <c r="CX57" s="667"/>
      <c r="CY57" s="667"/>
      <c r="CZ57" s="667"/>
      <c r="DA57" s="667"/>
      <c r="DB57" s="667"/>
      <c r="DC57" s="667"/>
      <c r="DD57" s="667"/>
      <c r="DE57" s="667"/>
      <c r="DF57" s="667"/>
      <c r="DG57" s="667"/>
      <c r="DH57" s="667"/>
      <c r="DI57" s="667"/>
      <c r="DJ57" s="667"/>
      <c r="DK57" s="667"/>
      <c r="DL57" s="667"/>
      <c r="DM57" s="667"/>
      <c r="DN57" s="667"/>
      <c r="DO57" s="667"/>
      <c r="DP57" s="667"/>
      <c r="DQ57" s="667"/>
      <c r="DR57" s="667"/>
      <c r="DS57" s="667"/>
      <c r="DT57" s="667"/>
      <c r="DU57" s="667"/>
      <c r="DV57" s="667"/>
      <c r="DW57" s="667"/>
      <c r="DX57" s="667"/>
      <c r="DY57" s="667"/>
      <c r="DZ57" s="667"/>
      <c r="EA57" s="667"/>
      <c r="EB57" s="667"/>
      <c r="EC57" s="667"/>
      <c r="ED57" s="667"/>
      <c r="EE57" s="667"/>
      <c r="EF57" s="667"/>
      <c r="EG57" s="667"/>
      <c r="EH57" s="667"/>
      <c r="EI57" s="667"/>
      <c r="EJ57" s="667"/>
      <c r="EK57" s="667"/>
      <c r="EL57" s="667"/>
      <c r="EM57" s="667"/>
      <c r="EN57" s="667"/>
      <c r="EO57" s="667"/>
      <c r="EP57" s="667"/>
      <c r="EQ57" s="667"/>
      <c r="ER57" s="667"/>
      <c r="ES57" s="667"/>
      <c r="ET57" s="667"/>
      <c r="EU57" s="667"/>
      <c r="EV57" s="667"/>
      <c r="EW57" s="667"/>
      <c r="EX57" s="667"/>
      <c r="EY57" s="667"/>
      <c r="EZ57" s="667"/>
      <c r="FA57" s="667"/>
      <c r="FB57" s="667"/>
      <c r="FC57" s="667"/>
      <c r="FD57" s="667"/>
      <c r="FE57" s="667"/>
      <c r="FF57" s="667"/>
      <c r="FG57" s="667"/>
      <c r="FH57" s="667"/>
      <c r="FI57" s="667"/>
      <c r="FJ57" s="667"/>
      <c r="FK57" s="667"/>
      <c r="FL57" s="667"/>
      <c r="FM57" s="667"/>
      <c r="FN57" s="667"/>
      <c r="FO57" s="667"/>
      <c r="FP57" s="667"/>
      <c r="FQ57" s="667"/>
      <c r="FR57" s="667"/>
      <c r="FS57" s="667"/>
      <c r="FT57" s="667"/>
      <c r="FU57" s="667"/>
      <c r="FV57" s="667"/>
      <c r="FW57" s="667"/>
      <c r="FX57" s="667"/>
      <c r="FY57" s="667"/>
      <c r="FZ57" s="667"/>
      <c r="GA57" s="667"/>
      <c r="GB57" s="667"/>
      <c r="GC57" s="667"/>
      <c r="GD57" s="667"/>
      <c r="GE57" s="667"/>
      <c r="GF57" s="667"/>
      <c r="GG57" s="667"/>
      <c r="GH57" s="667"/>
      <c r="GI57" s="667"/>
      <c r="GJ57" s="667"/>
      <c r="GK57" s="667"/>
      <c r="GL57" s="667"/>
      <c r="GM57" s="667"/>
      <c r="GN57" s="667"/>
      <c r="GO57" s="667"/>
      <c r="GP57" s="667"/>
      <c r="GQ57" s="667"/>
      <c r="GR57" s="667"/>
      <c r="GS57" s="667"/>
      <c r="GT57" s="667"/>
      <c r="GU57" s="667"/>
      <c r="GV57" s="667"/>
      <c r="GW57" s="667"/>
      <c r="GX57" s="667"/>
      <c r="GY57" s="667"/>
      <c r="GZ57" s="667"/>
      <c r="HA57" s="667"/>
      <c r="HB57" s="667"/>
      <c r="HC57" s="667"/>
      <c r="HD57" s="667"/>
      <c r="HE57" s="667"/>
      <c r="HF57" s="667"/>
      <c r="HG57" s="667"/>
      <c r="HH57" s="667"/>
      <c r="HI57" s="667"/>
      <c r="HJ57" s="667"/>
      <c r="HK57" s="667"/>
      <c r="HL57" s="667"/>
      <c r="HM57" s="667"/>
      <c r="HN57" s="667"/>
      <c r="HO57" s="667"/>
      <c r="HP57" s="667"/>
      <c r="HQ57" s="667"/>
      <c r="HR57" s="667"/>
      <c r="HS57" s="667"/>
      <c r="HT57" s="667"/>
      <c r="HU57" s="667"/>
      <c r="HV57" s="667"/>
      <c r="HW57" s="667"/>
    </row>
    <row r="58" spans="1:231" ht="14.1" customHeight="1">
      <c r="A58" s="667"/>
      <c r="B58" s="691"/>
      <c r="C58" s="691"/>
      <c r="E58" s="712"/>
      <c r="F58" s="667"/>
      <c r="G58" s="667"/>
      <c r="H58" s="667"/>
      <c r="I58" s="667"/>
      <c r="K58" s="683"/>
      <c r="L58" s="666"/>
      <c r="M58" s="666"/>
      <c r="N58" s="666"/>
      <c r="O58" s="666"/>
      <c r="P58" s="666"/>
      <c r="Q58" s="666"/>
      <c r="R58" s="666"/>
      <c r="S58" s="666"/>
      <c r="T58" s="666"/>
      <c r="U58" s="666"/>
      <c r="V58" s="666"/>
      <c r="W58" s="666"/>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c r="BB58" s="667"/>
      <c r="BC58" s="667"/>
      <c r="BD58" s="667"/>
      <c r="BE58" s="667"/>
      <c r="BF58" s="667"/>
      <c r="BG58" s="667"/>
      <c r="BH58" s="667"/>
      <c r="BI58" s="667"/>
      <c r="BJ58" s="667"/>
      <c r="BK58" s="667"/>
      <c r="BL58" s="667"/>
      <c r="BM58" s="667"/>
      <c r="BN58" s="667"/>
      <c r="BO58" s="667"/>
      <c r="BP58" s="667"/>
      <c r="BQ58" s="667"/>
      <c r="BR58" s="667"/>
      <c r="BS58" s="667"/>
      <c r="BT58" s="667"/>
      <c r="BU58" s="667"/>
      <c r="BV58" s="667"/>
      <c r="BW58" s="667"/>
      <c r="BX58" s="667"/>
      <c r="BY58" s="667"/>
      <c r="BZ58" s="667"/>
      <c r="CA58" s="667"/>
      <c r="CB58" s="667"/>
      <c r="CC58" s="667"/>
      <c r="CD58" s="667"/>
      <c r="CE58" s="667"/>
      <c r="CF58" s="667"/>
      <c r="CG58" s="667"/>
      <c r="CH58" s="667"/>
      <c r="CI58" s="667"/>
      <c r="CJ58" s="667"/>
      <c r="CK58" s="667"/>
      <c r="CL58" s="667"/>
      <c r="CM58" s="667"/>
      <c r="CN58" s="667"/>
      <c r="CO58" s="667"/>
      <c r="CP58" s="667"/>
      <c r="CQ58" s="667"/>
      <c r="CR58" s="667"/>
      <c r="CS58" s="667"/>
      <c r="CT58" s="667"/>
      <c r="CU58" s="667"/>
      <c r="CV58" s="667"/>
      <c r="CW58" s="667"/>
      <c r="CX58" s="667"/>
      <c r="CY58" s="667"/>
      <c r="CZ58" s="667"/>
      <c r="DA58" s="667"/>
      <c r="DB58" s="667"/>
      <c r="DC58" s="667"/>
      <c r="DD58" s="667"/>
      <c r="DE58" s="667"/>
      <c r="DF58" s="667"/>
      <c r="DG58" s="667"/>
      <c r="DH58" s="667"/>
      <c r="DI58" s="667"/>
      <c r="DJ58" s="667"/>
      <c r="DK58" s="667"/>
      <c r="DL58" s="667"/>
      <c r="DM58" s="667"/>
      <c r="DN58" s="667"/>
      <c r="DO58" s="667"/>
      <c r="DP58" s="667"/>
      <c r="DQ58" s="667"/>
      <c r="DR58" s="667"/>
      <c r="DS58" s="667"/>
      <c r="DT58" s="667"/>
      <c r="DU58" s="667"/>
      <c r="DV58" s="667"/>
      <c r="DW58" s="667"/>
      <c r="DX58" s="667"/>
      <c r="DY58" s="667"/>
      <c r="DZ58" s="667"/>
      <c r="EA58" s="667"/>
      <c r="EB58" s="667"/>
      <c r="EC58" s="667"/>
      <c r="ED58" s="667"/>
      <c r="EE58" s="667"/>
      <c r="EF58" s="667"/>
      <c r="EG58" s="667"/>
      <c r="EH58" s="667"/>
      <c r="EI58" s="667"/>
      <c r="EJ58" s="667"/>
      <c r="EK58" s="667"/>
      <c r="EL58" s="667"/>
      <c r="EM58" s="667"/>
      <c r="EN58" s="667"/>
      <c r="EO58" s="667"/>
      <c r="EP58" s="667"/>
      <c r="EQ58" s="667"/>
      <c r="ER58" s="667"/>
      <c r="ES58" s="667"/>
      <c r="ET58" s="667"/>
      <c r="EU58" s="667"/>
      <c r="EV58" s="667"/>
      <c r="EW58" s="667"/>
      <c r="EX58" s="667"/>
      <c r="EY58" s="667"/>
      <c r="EZ58" s="667"/>
      <c r="FA58" s="667"/>
      <c r="FB58" s="667"/>
      <c r="FC58" s="667"/>
      <c r="FD58" s="667"/>
      <c r="FE58" s="667"/>
      <c r="FF58" s="667"/>
      <c r="FG58" s="667"/>
      <c r="FH58" s="667"/>
      <c r="FI58" s="667"/>
      <c r="FJ58" s="667"/>
      <c r="FK58" s="667"/>
      <c r="FL58" s="667"/>
      <c r="FM58" s="667"/>
      <c r="FN58" s="667"/>
      <c r="FO58" s="667"/>
      <c r="FP58" s="667"/>
      <c r="FQ58" s="667"/>
      <c r="FR58" s="667"/>
      <c r="FS58" s="667"/>
      <c r="FT58" s="667"/>
      <c r="FU58" s="667"/>
      <c r="FV58" s="667"/>
      <c r="FW58" s="667"/>
      <c r="FX58" s="667"/>
      <c r="FY58" s="667"/>
      <c r="FZ58" s="667"/>
      <c r="GA58" s="667"/>
      <c r="GB58" s="667"/>
      <c r="GC58" s="667"/>
      <c r="GD58" s="667"/>
      <c r="GE58" s="667"/>
      <c r="GF58" s="667"/>
      <c r="GG58" s="667"/>
      <c r="GH58" s="667"/>
      <c r="GI58" s="667"/>
      <c r="GJ58" s="667"/>
      <c r="GK58" s="667"/>
      <c r="GL58" s="667"/>
      <c r="GM58" s="667"/>
      <c r="GN58" s="667"/>
      <c r="GO58" s="667"/>
      <c r="GP58" s="667"/>
      <c r="GQ58" s="667"/>
      <c r="GR58" s="667"/>
      <c r="GS58" s="667"/>
      <c r="GT58" s="667"/>
      <c r="GU58" s="667"/>
      <c r="GV58" s="667"/>
      <c r="GW58" s="667"/>
      <c r="GX58" s="667"/>
      <c r="GY58" s="667"/>
      <c r="GZ58" s="667"/>
      <c r="HA58" s="667"/>
      <c r="HB58" s="667"/>
      <c r="HC58" s="667"/>
      <c r="HD58" s="667"/>
      <c r="HE58" s="667"/>
      <c r="HF58" s="667"/>
      <c r="HG58" s="667"/>
      <c r="HH58" s="667"/>
      <c r="HI58" s="667"/>
      <c r="HJ58" s="667"/>
      <c r="HK58" s="667"/>
      <c r="HL58" s="667"/>
      <c r="HM58" s="667"/>
      <c r="HN58" s="667"/>
      <c r="HO58" s="667"/>
      <c r="HP58" s="667"/>
      <c r="HQ58" s="667"/>
      <c r="HR58" s="667"/>
      <c r="HS58" s="667"/>
      <c r="HT58" s="667"/>
      <c r="HU58" s="667"/>
      <c r="HV58" s="667"/>
      <c r="HW58" s="667"/>
    </row>
    <row r="59" spans="1:231" ht="14.1" customHeight="1">
      <c r="A59" s="667"/>
      <c r="B59" s="691"/>
      <c r="C59" s="691"/>
      <c r="E59" s="712"/>
      <c r="F59" s="667"/>
      <c r="G59" s="667"/>
      <c r="H59" s="667"/>
      <c r="I59" s="667"/>
      <c r="K59" s="683"/>
      <c r="L59" s="666"/>
      <c r="M59" s="666"/>
      <c r="N59" s="666"/>
      <c r="O59" s="666"/>
      <c r="P59" s="666"/>
      <c r="Q59" s="666"/>
      <c r="R59" s="666"/>
      <c r="S59" s="666"/>
      <c r="T59" s="666"/>
      <c r="U59" s="666"/>
      <c r="V59" s="666"/>
      <c r="W59" s="666"/>
      <c r="X59" s="667"/>
      <c r="Y59" s="667"/>
      <c r="Z59" s="667"/>
      <c r="AA59" s="667"/>
      <c r="AB59" s="667"/>
      <c r="AC59" s="667"/>
      <c r="AD59" s="667"/>
      <c r="AE59" s="667"/>
      <c r="AF59" s="667"/>
      <c r="AG59" s="667"/>
      <c r="AH59" s="667"/>
      <c r="AI59" s="667"/>
      <c r="AJ59" s="667"/>
      <c r="AK59" s="667"/>
      <c r="AL59" s="667"/>
      <c r="AM59" s="667"/>
      <c r="AN59" s="667"/>
      <c r="AO59" s="667"/>
      <c r="AP59" s="667"/>
      <c r="AQ59" s="667"/>
      <c r="AR59" s="667"/>
      <c r="AS59" s="667"/>
      <c r="AT59" s="667"/>
      <c r="AU59" s="667"/>
      <c r="AV59" s="667"/>
      <c r="AW59" s="667"/>
      <c r="AX59" s="667"/>
      <c r="AY59" s="667"/>
      <c r="AZ59" s="667"/>
      <c r="BA59" s="667"/>
      <c r="BB59" s="667"/>
      <c r="BC59" s="667"/>
      <c r="BD59" s="667"/>
      <c r="BE59" s="667"/>
      <c r="BF59" s="667"/>
      <c r="BG59" s="667"/>
      <c r="BH59" s="667"/>
      <c r="BI59" s="667"/>
      <c r="BJ59" s="667"/>
      <c r="BK59" s="667"/>
      <c r="BL59" s="667"/>
      <c r="BM59" s="667"/>
      <c r="BN59" s="667"/>
      <c r="BO59" s="667"/>
      <c r="BP59" s="667"/>
      <c r="BQ59" s="667"/>
      <c r="BR59" s="667"/>
      <c r="BS59" s="667"/>
      <c r="BT59" s="667"/>
      <c r="BU59" s="667"/>
      <c r="BV59" s="667"/>
      <c r="BW59" s="667"/>
      <c r="BX59" s="667"/>
      <c r="BY59" s="667"/>
      <c r="BZ59" s="667"/>
      <c r="CA59" s="667"/>
      <c r="CB59" s="667"/>
      <c r="CC59" s="667"/>
      <c r="CD59" s="667"/>
      <c r="CE59" s="667"/>
      <c r="CF59" s="667"/>
      <c r="CG59" s="667"/>
      <c r="CH59" s="667"/>
      <c r="CI59" s="667"/>
      <c r="CJ59" s="667"/>
      <c r="CK59" s="667"/>
      <c r="CL59" s="667"/>
      <c r="CM59" s="667"/>
      <c r="CN59" s="667"/>
      <c r="CO59" s="667"/>
      <c r="CP59" s="667"/>
      <c r="CQ59" s="667"/>
      <c r="CR59" s="667"/>
      <c r="CS59" s="667"/>
      <c r="CT59" s="667"/>
      <c r="CU59" s="667"/>
      <c r="CV59" s="667"/>
      <c r="CW59" s="667"/>
      <c r="CX59" s="667"/>
      <c r="CY59" s="667"/>
      <c r="CZ59" s="667"/>
      <c r="DA59" s="667"/>
      <c r="DB59" s="667"/>
      <c r="DC59" s="667"/>
      <c r="DD59" s="667"/>
      <c r="DE59" s="667"/>
      <c r="DF59" s="667"/>
      <c r="DG59" s="667"/>
      <c r="DH59" s="667"/>
      <c r="DI59" s="667"/>
      <c r="DJ59" s="667"/>
      <c r="DK59" s="667"/>
      <c r="DL59" s="667"/>
      <c r="DM59" s="667"/>
      <c r="DN59" s="667"/>
      <c r="DO59" s="667"/>
      <c r="DP59" s="667"/>
      <c r="DQ59" s="667"/>
      <c r="DR59" s="667"/>
      <c r="DS59" s="667"/>
      <c r="DT59" s="667"/>
      <c r="DU59" s="667"/>
      <c r="DV59" s="667"/>
      <c r="DW59" s="667"/>
      <c r="DX59" s="667"/>
      <c r="DY59" s="667"/>
      <c r="DZ59" s="667"/>
      <c r="EA59" s="667"/>
      <c r="EB59" s="667"/>
      <c r="EC59" s="667"/>
      <c r="ED59" s="667"/>
      <c r="EE59" s="667"/>
      <c r="EF59" s="667"/>
      <c r="EG59" s="667"/>
      <c r="EH59" s="667"/>
      <c r="EI59" s="667"/>
      <c r="EJ59" s="667"/>
      <c r="EK59" s="667"/>
      <c r="EL59" s="667"/>
      <c r="EM59" s="667"/>
      <c r="EN59" s="667"/>
      <c r="EO59" s="667"/>
      <c r="EP59" s="667"/>
      <c r="EQ59" s="667"/>
      <c r="ER59" s="667"/>
      <c r="ES59" s="667"/>
      <c r="ET59" s="667"/>
      <c r="EU59" s="667"/>
      <c r="EV59" s="667"/>
      <c r="EW59" s="667"/>
      <c r="EX59" s="667"/>
      <c r="EY59" s="667"/>
      <c r="EZ59" s="667"/>
      <c r="FA59" s="667"/>
      <c r="FB59" s="667"/>
      <c r="FC59" s="667"/>
      <c r="FD59" s="667"/>
      <c r="FE59" s="667"/>
      <c r="FF59" s="667"/>
      <c r="FG59" s="667"/>
      <c r="FH59" s="667"/>
      <c r="FI59" s="667"/>
      <c r="FJ59" s="667"/>
      <c r="FK59" s="667"/>
      <c r="FL59" s="667"/>
      <c r="FM59" s="667"/>
      <c r="FN59" s="667"/>
      <c r="FO59" s="667"/>
      <c r="FP59" s="667"/>
      <c r="FQ59" s="667"/>
      <c r="FR59" s="667"/>
      <c r="FS59" s="667"/>
      <c r="FT59" s="667"/>
      <c r="FU59" s="667"/>
      <c r="FV59" s="667"/>
      <c r="FW59" s="667"/>
      <c r="FX59" s="667"/>
      <c r="FY59" s="667"/>
      <c r="FZ59" s="667"/>
      <c r="GA59" s="667"/>
      <c r="GB59" s="667"/>
      <c r="GC59" s="667"/>
      <c r="GD59" s="667"/>
      <c r="GE59" s="667"/>
      <c r="GF59" s="667"/>
      <c r="GG59" s="667"/>
      <c r="GH59" s="667"/>
      <c r="GI59" s="667"/>
      <c r="GJ59" s="667"/>
      <c r="GK59" s="667"/>
      <c r="GL59" s="667"/>
      <c r="GM59" s="667"/>
      <c r="GN59" s="667"/>
      <c r="GO59" s="667"/>
      <c r="GP59" s="667"/>
      <c r="GQ59" s="667"/>
      <c r="GR59" s="667"/>
      <c r="GS59" s="667"/>
      <c r="GT59" s="667"/>
      <c r="GU59" s="667"/>
      <c r="GV59" s="667"/>
      <c r="GW59" s="667"/>
      <c r="GX59" s="667"/>
      <c r="GY59" s="667"/>
      <c r="GZ59" s="667"/>
      <c r="HA59" s="667"/>
      <c r="HB59" s="667"/>
      <c r="HC59" s="667"/>
      <c r="HD59" s="667"/>
      <c r="HE59" s="667"/>
      <c r="HF59" s="667"/>
      <c r="HG59" s="667"/>
      <c r="HH59" s="667"/>
      <c r="HI59" s="667"/>
      <c r="HJ59" s="667"/>
      <c r="HK59" s="667"/>
      <c r="HL59" s="667"/>
      <c r="HM59" s="667"/>
      <c r="HN59" s="667"/>
      <c r="HO59" s="667"/>
      <c r="HP59" s="667"/>
      <c r="HQ59" s="667"/>
      <c r="HR59" s="667"/>
      <c r="HS59" s="667"/>
      <c r="HT59" s="667"/>
      <c r="HU59" s="667"/>
      <c r="HV59" s="667"/>
      <c r="HW59" s="667"/>
    </row>
    <row r="60" spans="1:231" ht="14.1" customHeight="1">
      <c r="A60" s="667"/>
      <c r="B60" s="691"/>
      <c r="C60" s="691"/>
      <c r="E60" s="712"/>
      <c r="F60" s="667"/>
      <c r="G60" s="667"/>
      <c r="H60" s="667"/>
      <c r="I60" s="667"/>
      <c r="K60" s="683"/>
      <c r="L60" s="666"/>
      <c r="M60" s="666"/>
      <c r="N60" s="666"/>
      <c r="O60" s="666"/>
      <c r="P60" s="666"/>
      <c r="Q60" s="666"/>
      <c r="R60" s="666"/>
      <c r="S60" s="666"/>
      <c r="T60" s="666"/>
      <c r="U60" s="666"/>
      <c r="V60" s="666"/>
      <c r="W60" s="666"/>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c r="BB60" s="667"/>
      <c r="BC60" s="667"/>
      <c r="BD60" s="667"/>
      <c r="BE60" s="667"/>
      <c r="BF60" s="667"/>
      <c r="BG60" s="667"/>
      <c r="BH60" s="667"/>
      <c r="BI60" s="667"/>
      <c r="BJ60" s="667"/>
      <c r="BK60" s="667"/>
      <c r="BL60" s="667"/>
      <c r="BM60" s="667"/>
      <c r="BN60" s="667"/>
      <c r="BO60" s="667"/>
      <c r="BP60" s="667"/>
      <c r="BQ60" s="667"/>
      <c r="BR60" s="667"/>
      <c r="BS60" s="667"/>
      <c r="BT60" s="667"/>
      <c r="BU60" s="667"/>
      <c r="BV60" s="667"/>
      <c r="BW60" s="667"/>
      <c r="BX60" s="667"/>
      <c r="BY60" s="667"/>
      <c r="BZ60" s="667"/>
      <c r="CA60" s="667"/>
      <c r="CB60" s="667"/>
      <c r="CC60" s="667"/>
      <c r="CD60" s="667"/>
      <c r="CE60" s="667"/>
      <c r="CF60" s="667"/>
      <c r="CG60" s="667"/>
      <c r="CH60" s="667"/>
      <c r="CI60" s="667"/>
      <c r="CJ60" s="667"/>
      <c r="CK60" s="667"/>
      <c r="CL60" s="667"/>
      <c r="CM60" s="667"/>
      <c r="CN60" s="667"/>
      <c r="CO60" s="667"/>
      <c r="CP60" s="667"/>
      <c r="CQ60" s="667"/>
      <c r="CR60" s="667"/>
      <c r="CS60" s="667"/>
      <c r="CT60" s="667"/>
      <c r="CU60" s="667"/>
      <c r="CV60" s="667"/>
      <c r="CW60" s="667"/>
      <c r="CX60" s="667"/>
      <c r="CY60" s="667"/>
      <c r="CZ60" s="667"/>
      <c r="DA60" s="667"/>
      <c r="DB60" s="667"/>
      <c r="DC60" s="667"/>
      <c r="DD60" s="667"/>
      <c r="DE60" s="667"/>
      <c r="DF60" s="667"/>
      <c r="DG60" s="667"/>
      <c r="DH60" s="667"/>
      <c r="DI60" s="667"/>
      <c r="DJ60" s="667"/>
      <c r="DK60" s="667"/>
      <c r="DL60" s="667"/>
      <c r="DM60" s="667"/>
      <c r="DN60" s="667"/>
      <c r="DO60" s="667"/>
      <c r="DP60" s="667"/>
      <c r="DQ60" s="667"/>
      <c r="DR60" s="667"/>
      <c r="DS60" s="667"/>
      <c r="DT60" s="667"/>
      <c r="DU60" s="667"/>
      <c r="DV60" s="667"/>
      <c r="DW60" s="667"/>
      <c r="DX60" s="667"/>
      <c r="DY60" s="667"/>
      <c r="DZ60" s="667"/>
      <c r="EA60" s="667"/>
      <c r="EB60" s="667"/>
      <c r="EC60" s="667"/>
      <c r="ED60" s="667"/>
      <c r="EE60" s="667"/>
      <c r="EF60" s="667"/>
      <c r="EG60" s="667"/>
      <c r="EH60" s="667"/>
      <c r="EI60" s="667"/>
      <c r="EJ60" s="667"/>
      <c r="EK60" s="667"/>
      <c r="EL60" s="667"/>
      <c r="EM60" s="667"/>
      <c r="EN60" s="667"/>
      <c r="EO60" s="667"/>
      <c r="EP60" s="667"/>
      <c r="EQ60" s="667"/>
      <c r="ER60" s="667"/>
      <c r="ES60" s="667"/>
      <c r="ET60" s="667"/>
      <c r="EU60" s="667"/>
      <c r="EV60" s="667"/>
      <c r="EW60" s="667"/>
      <c r="EX60" s="667"/>
      <c r="EY60" s="667"/>
      <c r="EZ60" s="667"/>
      <c r="FA60" s="667"/>
      <c r="FB60" s="667"/>
      <c r="FC60" s="667"/>
      <c r="FD60" s="667"/>
      <c r="FE60" s="667"/>
      <c r="FF60" s="667"/>
      <c r="FG60" s="667"/>
      <c r="FH60" s="667"/>
      <c r="FI60" s="667"/>
      <c r="FJ60" s="667"/>
      <c r="FK60" s="667"/>
      <c r="FL60" s="667"/>
      <c r="FM60" s="667"/>
      <c r="FN60" s="667"/>
      <c r="FO60" s="667"/>
      <c r="FP60" s="667"/>
      <c r="FQ60" s="667"/>
      <c r="FR60" s="667"/>
      <c r="FS60" s="667"/>
      <c r="FT60" s="667"/>
      <c r="FU60" s="667"/>
      <c r="FV60" s="667"/>
      <c r="FW60" s="667"/>
      <c r="FX60" s="667"/>
      <c r="FY60" s="667"/>
      <c r="FZ60" s="667"/>
      <c r="GA60" s="667"/>
      <c r="GB60" s="667"/>
      <c r="GC60" s="667"/>
      <c r="GD60" s="667"/>
      <c r="GE60" s="667"/>
      <c r="GF60" s="667"/>
      <c r="GG60" s="667"/>
      <c r="GH60" s="667"/>
      <c r="GI60" s="667"/>
      <c r="GJ60" s="667"/>
      <c r="GK60" s="667"/>
      <c r="GL60" s="667"/>
      <c r="GM60" s="667"/>
      <c r="GN60" s="667"/>
      <c r="GO60" s="667"/>
      <c r="GP60" s="667"/>
      <c r="GQ60" s="667"/>
      <c r="GR60" s="667"/>
      <c r="GS60" s="667"/>
      <c r="GT60" s="667"/>
      <c r="GU60" s="667"/>
      <c r="GV60" s="667"/>
      <c r="GW60" s="667"/>
      <c r="GX60" s="667"/>
      <c r="GY60" s="667"/>
      <c r="GZ60" s="667"/>
      <c r="HA60" s="667"/>
      <c r="HB60" s="667"/>
      <c r="HC60" s="667"/>
      <c r="HD60" s="667"/>
      <c r="HE60" s="667"/>
      <c r="HF60" s="667"/>
      <c r="HG60" s="667"/>
      <c r="HH60" s="667"/>
      <c r="HI60" s="667"/>
      <c r="HJ60" s="667"/>
      <c r="HK60" s="667"/>
      <c r="HL60" s="667"/>
      <c r="HM60" s="667"/>
      <c r="HN60" s="667"/>
      <c r="HO60" s="667"/>
      <c r="HP60" s="667"/>
      <c r="HQ60" s="667"/>
      <c r="HR60" s="667"/>
      <c r="HS60" s="667"/>
      <c r="HT60" s="667"/>
      <c r="HU60" s="667"/>
      <c r="HV60" s="667"/>
      <c r="HW60" s="667"/>
    </row>
    <row r="61" spans="1:231" ht="14.1" customHeight="1">
      <c r="A61" s="667"/>
      <c r="B61" s="691"/>
      <c r="C61" s="691"/>
      <c r="E61" s="712"/>
      <c r="F61" s="667"/>
      <c r="G61" s="667"/>
      <c r="H61" s="667"/>
      <c r="I61" s="667"/>
      <c r="K61" s="683"/>
      <c r="L61" s="666"/>
      <c r="M61" s="666"/>
      <c r="N61" s="666"/>
      <c r="O61" s="666"/>
      <c r="P61" s="666"/>
      <c r="Q61" s="666"/>
      <c r="R61" s="666"/>
      <c r="S61" s="666"/>
      <c r="T61" s="666"/>
      <c r="U61" s="666"/>
      <c r="V61" s="666"/>
      <c r="W61" s="666"/>
      <c r="X61" s="667"/>
      <c r="Y61" s="667"/>
      <c r="Z61" s="667"/>
      <c r="AA61" s="667"/>
      <c r="AB61" s="667"/>
      <c r="AC61" s="667"/>
      <c r="AD61" s="667"/>
      <c r="AE61" s="667"/>
      <c r="AF61" s="667"/>
      <c r="AG61" s="667"/>
      <c r="AH61" s="667"/>
      <c r="AI61" s="667"/>
      <c r="AJ61" s="667"/>
      <c r="AK61" s="667"/>
      <c r="AL61" s="667"/>
      <c r="AM61" s="667"/>
      <c r="AN61" s="667"/>
      <c r="AO61" s="667"/>
      <c r="AP61" s="667"/>
      <c r="AQ61" s="667"/>
      <c r="AR61" s="667"/>
      <c r="AS61" s="667"/>
      <c r="AT61" s="667"/>
      <c r="AU61" s="667"/>
      <c r="AV61" s="667"/>
      <c r="AW61" s="667"/>
      <c r="AX61" s="667"/>
      <c r="AY61" s="667"/>
      <c r="AZ61" s="667"/>
      <c r="BA61" s="667"/>
      <c r="BB61" s="667"/>
      <c r="BC61" s="667"/>
      <c r="BD61" s="667"/>
      <c r="BE61" s="667"/>
      <c r="BF61" s="667"/>
      <c r="BG61" s="667"/>
      <c r="BH61" s="667"/>
      <c r="BI61" s="667"/>
      <c r="BJ61" s="667"/>
      <c r="BK61" s="667"/>
      <c r="BL61" s="667"/>
      <c r="BM61" s="667"/>
      <c r="BN61" s="667"/>
      <c r="BO61" s="667"/>
      <c r="BP61" s="667"/>
      <c r="BQ61" s="667"/>
      <c r="BR61" s="667"/>
      <c r="BS61" s="667"/>
      <c r="BT61" s="667"/>
      <c r="BU61" s="667"/>
      <c r="BV61" s="667"/>
      <c r="BW61" s="667"/>
      <c r="BX61" s="667"/>
      <c r="BY61" s="667"/>
      <c r="BZ61" s="667"/>
      <c r="CA61" s="667"/>
      <c r="CB61" s="667"/>
      <c r="CC61" s="667"/>
      <c r="CD61" s="667"/>
      <c r="CE61" s="667"/>
      <c r="CF61" s="667"/>
      <c r="CG61" s="667"/>
      <c r="CH61" s="667"/>
      <c r="CI61" s="667"/>
      <c r="CJ61" s="667"/>
      <c r="CK61" s="667"/>
      <c r="CL61" s="667"/>
      <c r="CM61" s="667"/>
      <c r="CN61" s="667"/>
      <c r="CO61" s="667"/>
      <c r="CP61" s="667"/>
      <c r="CQ61" s="667"/>
      <c r="CR61" s="667"/>
      <c r="CS61" s="667"/>
      <c r="CT61" s="667"/>
      <c r="CU61" s="667"/>
      <c r="CV61" s="667"/>
      <c r="CW61" s="667"/>
      <c r="CX61" s="667"/>
      <c r="CY61" s="667"/>
      <c r="CZ61" s="667"/>
      <c r="DA61" s="667"/>
      <c r="DB61" s="667"/>
      <c r="DC61" s="667"/>
      <c r="DD61" s="667"/>
      <c r="DE61" s="667"/>
      <c r="DF61" s="667"/>
      <c r="DG61" s="667"/>
      <c r="DH61" s="667"/>
      <c r="DI61" s="667"/>
      <c r="DJ61" s="667"/>
      <c r="DK61" s="667"/>
      <c r="DL61" s="667"/>
      <c r="DM61" s="667"/>
      <c r="DN61" s="667"/>
      <c r="DO61" s="667"/>
      <c r="DP61" s="667"/>
      <c r="DQ61" s="667"/>
      <c r="DR61" s="667"/>
      <c r="DS61" s="667"/>
      <c r="DT61" s="667"/>
      <c r="DU61" s="667"/>
      <c r="DV61" s="667"/>
      <c r="DW61" s="667"/>
      <c r="DX61" s="667"/>
      <c r="DY61" s="667"/>
      <c r="DZ61" s="667"/>
      <c r="EA61" s="667"/>
      <c r="EB61" s="667"/>
      <c r="EC61" s="667"/>
      <c r="ED61" s="667"/>
      <c r="EE61" s="667"/>
      <c r="EF61" s="667"/>
      <c r="EG61" s="667"/>
      <c r="EH61" s="667"/>
      <c r="EI61" s="667"/>
      <c r="EJ61" s="667"/>
      <c r="EK61" s="667"/>
      <c r="EL61" s="667"/>
      <c r="EM61" s="667"/>
      <c r="EN61" s="667"/>
      <c r="EO61" s="667"/>
      <c r="EP61" s="667"/>
      <c r="EQ61" s="667"/>
      <c r="ER61" s="667"/>
      <c r="ES61" s="667"/>
      <c r="ET61" s="667"/>
      <c r="EU61" s="667"/>
      <c r="EV61" s="667"/>
      <c r="EW61" s="667"/>
      <c r="EX61" s="667"/>
      <c r="EY61" s="667"/>
      <c r="EZ61" s="667"/>
      <c r="FA61" s="667"/>
      <c r="FB61" s="667"/>
      <c r="FC61" s="667"/>
      <c r="FD61" s="667"/>
      <c r="FE61" s="667"/>
      <c r="FF61" s="667"/>
      <c r="FG61" s="667"/>
      <c r="FH61" s="667"/>
      <c r="FI61" s="667"/>
      <c r="FJ61" s="667"/>
      <c r="FK61" s="667"/>
      <c r="FL61" s="667"/>
      <c r="FM61" s="667"/>
      <c r="FN61" s="667"/>
      <c r="FO61" s="667"/>
      <c r="FP61" s="667"/>
      <c r="FQ61" s="667"/>
      <c r="FR61" s="667"/>
      <c r="FS61" s="667"/>
      <c r="FT61" s="667"/>
      <c r="FU61" s="667"/>
      <c r="FV61" s="667"/>
      <c r="FW61" s="667"/>
      <c r="FX61" s="667"/>
      <c r="FY61" s="667"/>
      <c r="FZ61" s="667"/>
      <c r="GA61" s="667"/>
      <c r="GB61" s="667"/>
      <c r="GC61" s="667"/>
      <c r="GD61" s="667"/>
      <c r="GE61" s="667"/>
      <c r="GF61" s="667"/>
      <c r="GG61" s="667"/>
      <c r="GH61" s="667"/>
      <c r="GI61" s="667"/>
      <c r="GJ61" s="667"/>
      <c r="GK61" s="667"/>
      <c r="GL61" s="667"/>
      <c r="GM61" s="667"/>
      <c r="GN61" s="667"/>
      <c r="GO61" s="667"/>
      <c r="GP61" s="667"/>
      <c r="GQ61" s="667"/>
      <c r="GR61" s="667"/>
      <c r="GS61" s="667"/>
      <c r="GT61" s="667"/>
      <c r="GU61" s="667"/>
      <c r="GV61" s="667"/>
      <c r="GW61" s="667"/>
      <c r="GX61" s="667"/>
      <c r="GY61" s="667"/>
      <c r="GZ61" s="667"/>
      <c r="HA61" s="667"/>
      <c r="HB61" s="667"/>
      <c r="HC61" s="667"/>
      <c r="HD61" s="667"/>
      <c r="HE61" s="667"/>
      <c r="HF61" s="667"/>
      <c r="HG61" s="667"/>
      <c r="HH61" s="667"/>
      <c r="HI61" s="667"/>
      <c r="HJ61" s="667"/>
      <c r="HK61" s="667"/>
      <c r="HL61" s="667"/>
      <c r="HM61" s="667"/>
      <c r="HN61" s="667"/>
      <c r="HO61" s="667"/>
      <c r="HP61" s="667"/>
      <c r="HQ61" s="667"/>
      <c r="HR61" s="667"/>
      <c r="HS61" s="667"/>
      <c r="HT61" s="667"/>
      <c r="HU61" s="667"/>
      <c r="HV61" s="667"/>
      <c r="HW61" s="667"/>
    </row>
    <row r="62" spans="1:231" ht="14.1" customHeight="1">
      <c r="A62" s="667"/>
      <c r="B62" s="691"/>
      <c r="C62" s="691"/>
      <c r="E62" s="712"/>
      <c r="F62" s="667"/>
      <c r="G62" s="667"/>
      <c r="H62" s="667"/>
      <c r="I62" s="667"/>
      <c r="K62" s="683"/>
      <c r="L62" s="666"/>
      <c r="M62" s="666"/>
      <c r="N62" s="666"/>
      <c r="O62" s="666"/>
      <c r="P62" s="666"/>
      <c r="Q62" s="666"/>
      <c r="R62" s="666"/>
      <c r="S62" s="666"/>
      <c r="T62" s="666"/>
      <c r="U62" s="666"/>
      <c r="V62" s="666"/>
      <c r="W62" s="666"/>
      <c r="X62" s="667"/>
      <c r="Y62" s="667"/>
      <c r="Z62" s="667"/>
      <c r="AA62" s="667"/>
      <c r="AB62" s="667"/>
      <c r="AC62" s="667"/>
      <c r="AD62" s="667"/>
      <c r="AE62" s="667"/>
      <c r="AF62" s="667"/>
      <c r="AG62" s="667"/>
      <c r="AH62" s="667"/>
      <c r="AI62" s="667"/>
      <c r="AJ62" s="667"/>
      <c r="AK62" s="667"/>
      <c r="AL62" s="667"/>
      <c r="AM62" s="667"/>
      <c r="AN62" s="667"/>
      <c r="AO62" s="667"/>
      <c r="AP62" s="667"/>
      <c r="AQ62" s="667"/>
      <c r="AR62" s="667"/>
      <c r="AS62" s="667"/>
      <c r="AT62" s="667"/>
      <c r="AU62" s="667"/>
      <c r="AV62" s="667"/>
      <c r="AW62" s="667"/>
      <c r="AX62" s="667"/>
      <c r="AY62" s="667"/>
      <c r="AZ62" s="667"/>
      <c r="BA62" s="667"/>
      <c r="BB62" s="667"/>
      <c r="BC62" s="667"/>
      <c r="BD62" s="667"/>
      <c r="BE62" s="667"/>
      <c r="BF62" s="667"/>
      <c r="BG62" s="667"/>
      <c r="BH62" s="667"/>
      <c r="BI62" s="667"/>
      <c r="BJ62" s="667"/>
      <c r="BK62" s="667"/>
      <c r="BL62" s="667"/>
      <c r="BM62" s="667"/>
      <c r="BN62" s="667"/>
      <c r="BO62" s="667"/>
      <c r="BP62" s="667"/>
      <c r="BQ62" s="667"/>
      <c r="BR62" s="667"/>
      <c r="BS62" s="667"/>
      <c r="BT62" s="667"/>
      <c r="BU62" s="667"/>
      <c r="BV62" s="667"/>
      <c r="BW62" s="667"/>
      <c r="BX62" s="667"/>
      <c r="BY62" s="667"/>
      <c r="BZ62" s="667"/>
      <c r="CA62" s="667"/>
      <c r="CB62" s="667"/>
      <c r="CC62" s="667"/>
      <c r="CD62" s="667"/>
      <c r="CE62" s="667"/>
      <c r="CF62" s="667"/>
      <c r="CG62" s="667"/>
      <c r="CH62" s="667"/>
      <c r="CI62" s="667"/>
      <c r="CJ62" s="667"/>
      <c r="CK62" s="667"/>
      <c r="CL62" s="667"/>
      <c r="CM62" s="667"/>
      <c r="CN62" s="667"/>
      <c r="CO62" s="667"/>
      <c r="CP62" s="667"/>
      <c r="CQ62" s="667"/>
      <c r="CR62" s="667"/>
      <c r="CS62" s="667"/>
      <c r="CT62" s="667"/>
      <c r="CU62" s="667"/>
      <c r="CV62" s="667"/>
      <c r="CW62" s="667"/>
      <c r="CX62" s="667"/>
      <c r="CY62" s="667"/>
      <c r="CZ62" s="667"/>
      <c r="DA62" s="667"/>
      <c r="DB62" s="667"/>
      <c r="DC62" s="667"/>
      <c r="DD62" s="667"/>
      <c r="DE62" s="667"/>
      <c r="DF62" s="667"/>
      <c r="DG62" s="667"/>
      <c r="DH62" s="667"/>
      <c r="DI62" s="667"/>
      <c r="DJ62" s="667"/>
      <c r="DK62" s="667"/>
      <c r="DL62" s="667"/>
      <c r="DM62" s="667"/>
      <c r="DN62" s="667"/>
      <c r="DO62" s="667"/>
      <c r="DP62" s="667"/>
      <c r="DQ62" s="667"/>
      <c r="DR62" s="667"/>
      <c r="DS62" s="667"/>
      <c r="DT62" s="667"/>
      <c r="DU62" s="667"/>
      <c r="DV62" s="667"/>
      <c r="DW62" s="667"/>
      <c r="DX62" s="667"/>
      <c r="DY62" s="667"/>
      <c r="DZ62" s="667"/>
      <c r="EA62" s="667"/>
      <c r="EB62" s="667"/>
      <c r="EC62" s="667"/>
      <c r="ED62" s="667"/>
      <c r="EE62" s="667"/>
      <c r="EF62" s="667"/>
      <c r="EG62" s="667"/>
      <c r="EH62" s="667"/>
      <c r="EI62" s="667"/>
      <c r="EJ62" s="667"/>
      <c r="EK62" s="667"/>
      <c r="EL62" s="667"/>
      <c r="EM62" s="667"/>
      <c r="EN62" s="667"/>
      <c r="EO62" s="667"/>
      <c r="EP62" s="667"/>
      <c r="EQ62" s="667"/>
      <c r="ER62" s="667"/>
      <c r="ES62" s="667"/>
      <c r="ET62" s="667"/>
      <c r="EU62" s="667"/>
      <c r="EV62" s="667"/>
      <c r="EW62" s="667"/>
      <c r="EX62" s="667"/>
      <c r="EY62" s="667"/>
      <c r="EZ62" s="667"/>
      <c r="FA62" s="667"/>
      <c r="FB62" s="667"/>
      <c r="FC62" s="667"/>
      <c r="FD62" s="667"/>
      <c r="FE62" s="667"/>
      <c r="FF62" s="667"/>
      <c r="FG62" s="667"/>
      <c r="FH62" s="667"/>
      <c r="FI62" s="667"/>
      <c r="FJ62" s="667"/>
      <c r="FK62" s="667"/>
      <c r="FL62" s="667"/>
      <c r="FM62" s="667"/>
      <c r="FN62" s="667"/>
      <c r="FO62" s="667"/>
      <c r="FP62" s="667"/>
      <c r="FQ62" s="667"/>
      <c r="FR62" s="667"/>
      <c r="FS62" s="667"/>
      <c r="FT62" s="667"/>
      <c r="FU62" s="667"/>
      <c r="FV62" s="667"/>
      <c r="FW62" s="667"/>
      <c r="FX62" s="667"/>
      <c r="FY62" s="667"/>
      <c r="FZ62" s="667"/>
      <c r="GA62" s="667"/>
      <c r="GB62" s="667"/>
      <c r="GC62" s="667"/>
      <c r="GD62" s="667"/>
      <c r="GE62" s="667"/>
      <c r="GF62" s="667"/>
      <c r="GG62" s="667"/>
      <c r="GH62" s="667"/>
      <c r="GI62" s="667"/>
      <c r="GJ62" s="667"/>
      <c r="GK62" s="667"/>
      <c r="GL62" s="667"/>
      <c r="GM62" s="667"/>
      <c r="GN62" s="667"/>
      <c r="GO62" s="667"/>
      <c r="GP62" s="667"/>
      <c r="GQ62" s="667"/>
      <c r="GR62" s="667"/>
      <c r="GS62" s="667"/>
      <c r="GT62" s="667"/>
      <c r="GU62" s="667"/>
      <c r="GV62" s="667"/>
      <c r="GW62" s="667"/>
      <c r="GX62" s="667"/>
      <c r="GY62" s="667"/>
      <c r="GZ62" s="667"/>
      <c r="HA62" s="667"/>
      <c r="HB62" s="667"/>
      <c r="HC62" s="667"/>
      <c r="HD62" s="667"/>
      <c r="HE62" s="667"/>
      <c r="HF62" s="667"/>
      <c r="HG62" s="667"/>
      <c r="HH62" s="667"/>
      <c r="HI62" s="667"/>
      <c r="HJ62" s="667"/>
      <c r="HK62" s="667"/>
      <c r="HL62" s="667"/>
      <c r="HM62" s="667"/>
      <c r="HN62" s="667"/>
      <c r="HO62" s="667"/>
      <c r="HP62" s="667"/>
      <c r="HQ62" s="667"/>
      <c r="HR62" s="667"/>
      <c r="HS62" s="667"/>
      <c r="HT62" s="667"/>
      <c r="HU62" s="667"/>
      <c r="HV62" s="667"/>
      <c r="HW62" s="667"/>
    </row>
    <row r="63" spans="1:231" ht="14.1" customHeight="1">
      <c r="A63" s="667"/>
      <c r="B63" s="691"/>
      <c r="C63" s="691"/>
      <c r="E63" s="712"/>
      <c r="F63" s="667"/>
      <c r="G63" s="667"/>
      <c r="H63" s="667"/>
      <c r="I63" s="667"/>
      <c r="K63" s="683"/>
      <c r="L63" s="666"/>
      <c r="M63" s="666"/>
      <c r="N63" s="666"/>
      <c r="O63" s="666"/>
      <c r="P63" s="666"/>
      <c r="Q63" s="666"/>
      <c r="R63" s="666"/>
      <c r="S63" s="666"/>
      <c r="T63" s="666"/>
      <c r="U63" s="666"/>
      <c r="V63" s="666"/>
      <c r="W63" s="666"/>
      <c r="X63" s="667"/>
      <c r="Y63" s="667"/>
      <c r="Z63" s="667"/>
      <c r="AA63" s="667"/>
      <c r="AB63" s="667"/>
      <c r="AC63" s="667"/>
      <c r="AD63" s="667"/>
      <c r="AE63" s="667"/>
      <c r="AF63" s="667"/>
      <c r="AG63" s="667"/>
      <c r="AH63" s="667"/>
      <c r="AI63" s="667"/>
      <c r="AJ63" s="667"/>
      <c r="AK63" s="667"/>
      <c r="AL63" s="667"/>
      <c r="AM63" s="667"/>
      <c r="AN63" s="667"/>
      <c r="AO63" s="667"/>
      <c r="AP63" s="667"/>
      <c r="AQ63" s="667"/>
      <c r="AR63" s="667"/>
      <c r="AS63" s="667"/>
      <c r="AT63" s="667"/>
      <c r="AU63" s="667"/>
      <c r="AV63" s="667"/>
      <c r="AW63" s="667"/>
      <c r="AX63" s="667"/>
      <c r="AY63" s="667"/>
      <c r="AZ63" s="667"/>
      <c r="BA63" s="667"/>
      <c r="BB63" s="667"/>
      <c r="BC63" s="667"/>
      <c r="BD63" s="667"/>
      <c r="BE63" s="667"/>
      <c r="BF63" s="667"/>
      <c r="BG63" s="667"/>
      <c r="BH63" s="667"/>
      <c r="BI63" s="667"/>
      <c r="BJ63" s="667"/>
      <c r="BK63" s="667"/>
      <c r="BL63" s="667"/>
      <c r="BM63" s="667"/>
      <c r="BN63" s="667"/>
      <c r="BO63" s="667"/>
      <c r="BP63" s="667"/>
      <c r="BQ63" s="667"/>
      <c r="BR63" s="667"/>
      <c r="BS63" s="667"/>
      <c r="BT63" s="667"/>
      <c r="BU63" s="667"/>
      <c r="BV63" s="667"/>
      <c r="BW63" s="667"/>
      <c r="BX63" s="667"/>
      <c r="BY63" s="667"/>
      <c r="BZ63" s="667"/>
      <c r="CA63" s="667"/>
      <c r="CB63" s="667"/>
      <c r="CC63" s="667"/>
      <c r="CD63" s="667"/>
      <c r="CE63" s="667"/>
      <c r="CF63" s="667"/>
      <c r="CG63" s="667"/>
      <c r="CH63" s="667"/>
      <c r="CI63" s="667"/>
      <c r="CJ63" s="667"/>
      <c r="CK63" s="667"/>
      <c r="CL63" s="667"/>
      <c r="CM63" s="667"/>
      <c r="CN63" s="667"/>
      <c r="CO63" s="667"/>
      <c r="CP63" s="667"/>
      <c r="CQ63" s="667"/>
      <c r="CR63" s="667"/>
      <c r="CS63" s="667"/>
      <c r="CT63" s="667"/>
      <c r="CU63" s="667"/>
      <c r="CV63" s="667"/>
      <c r="CW63" s="667"/>
      <c r="CX63" s="667"/>
      <c r="CY63" s="667"/>
      <c r="CZ63" s="667"/>
      <c r="DA63" s="667"/>
      <c r="DB63" s="667"/>
      <c r="DC63" s="667"/>
      <c r="DD63" s="667"/>
      <c r="DE63" s="667"/>
      <c r="DF63" s="667"/>
      <c r="DG63" s="667"/>
      <c r="DH63" s="667"/>
      <c r="DI63" s="667"/>
      <c r="DJ63" s="667"/>
      <c r="DK63" s="667"/>
      <c r="DL63" s="667"/>
      <c r="DM63" s="667"/>
      <c r="DN63" s="667"/>
      <c r="DO63" s="667"/>
      <c r="DP63" s="667"/>
      <c r="DQ63" s="667"/>
      <c r="DR63" s="667"/>
      <c r="DS63" s="667"/>
      <c r="DT63" s="667"/>
      <c r="DU63" s="667"/>
      <c r="DV63" s="667"/>
      <c r="DW63" s="667"/>
      <c r="DX63" s="667"/>
      <c r="DY63" s="667"/>
      <c r="DZ63" s="667"/>
      <c r="EA63" s="667"/>
      <c r="EB63" s="667"/>
      <c r="EC63" s="667"/>
      <c r="ED63" s="667"/>
      <c r="EE63" s="667"/>
      <c r="EF63" s="667"/>
      <c r="EG63" s="667"/>
      <c r="EH63" s="667"/>
      <c r="EI63" s="667"/>
      <c r="EJ63" s="667"/>
      <c r="EK63" s="667"/>
      <c r="EL63" s="667"/>
      <c r="EM63" s="667"/>
      <c r="EN63" s="667"/>
      <c r="EO63" s="667"/>
      <c r="EP63" s="667"/>
      <c r="EQ63" s="667"/>
      <c r="ER63" s="667"/>
      <c r="ES63" s="667"/>
      <c r="ET63" s="667"/>
      <c r="EU63" s="667"/>
      <c r="EV63" s="667"/>
      <c r="EW63" s="667"/>
      <c r="EX63" s="667"/>
      <c r="EY63" s="667"/>
      <c r="EZ63" s="667"/>
      <c r="FA63" s="667"/>
      <c r="FB63" s="667"/>
      <c r="FC63" s="667"/>
      <c r="FD63" s="667"/>
      <c r="FE63" s="667"/>
      <c r="FF63" s="667"/>
      <c r="FG63" s="667"/>
      <c r="FH63" s="667"/>
      <c r="FI63" s="667"/>
      <c r="FJ63" s="667"/>
      <c r="FK63" s="667"/>
      <c r="FL63" s="667"/>
      <c r="FM63" s="667"/>
      <c r="FN63" s="667"/>
      <c r="FO63" s="667"/>
      <c r="FP63" s="667"/>
      <c r="FQ63" s="667"/>
      <c r="FR63" s="667"/>
      <c r="FS63" s="667"/>
      <c r="FT63" s="667"/>
      <c r="FU63" s="667"/>
      <c r="FV63" s="667"/>
      <c r="FW63" s="667"/>
      <c r="FX63" s="667"/>
      <c r="FY63" s="667"/>
      <c r="FZ63" s="667"/>
      <c r="GA63" s="667"/>
      <c r="GB63" s="667"/>
      <c r="GC63" s="667"/>
      <c r="GD63" s="667"/>
      <c r="GE63" s="667"/>
      <c r="GF63" s="667"/>
      <c r="GG63" s="667"/>
      <c r="GH63" s="667"/>
      <c r="GI63" s="667"/>
      <c r="GJ63" s="667"/>
      <c r="GK63" s="667"/>
      <c r="GL63" s="667"/>
      <c r="GM63" s="667"/>
      <c r="GN63" s="667"/>
      <c r="GO63" s="667"/>
      <c r="GP63" s="667"/>
      <c r="GQ63" s="667"/>
      <c r="GR63" s="667"/>
      <c r="GS63" s="667"/>
      <c r="GT63" s="667"/>
      <c r="GU63" s="667"/>
      <c r="GV63" s="667"/>
      <c r="GW63" s="667"/>
      <c r="GX63" s="667"/>
      <c r="GY63" s="667"/>
      <c r="GZ63" s="667"/>
      <c r="HA63" s="667"/>
      <c r="HB63" s="667"/>
      <c r="HC63" s="667"/>
      <c r="HD63" s="667"/>
      <c r="HE63" s="667"/>
      <c r="HF63" s="667"/>
      <c r="HG63" s="667"/>
      <c r="HH63" s="667"/>
      <c r="HI63" s="667"/>
      <c r="HJ63" s="667"/>
      <c r="HK63" s="667"/>
      <c r="HL63" s="667"/>
      <c r="HM63" s="667"/>
      <c r="HN63" s="667"/>
      <c r="HO63" s="667"/>
      <c r="HP63" s="667"/>
      <c r="HQ63" s="667"/>
      <c r="HR63" s="667"/>
      <c r="HS63" s="667"/>
      <c r="HT63" s="667"/>
      <c r="HU63" s="667"/>
      <c r="HV63" s="667"/>
      <c r="HW63" s="667"/>
    </row>
    <row r="64" spans="1:231" ht="14.1" customHeight="1">
      <c r="A64" s="667"/>
      <c r="B64" s="691"/>
      <c r="C64" s="691"/>
      <c r="E64" s="712"/>
      <c r="F64" s="667"/>
      <c r="G64" s="667"/>
      <c r="H64" s="667"/>
      <c r="I64" s="667"/>
      <c r="K64" s="683"/>
      <c r="L64" s="666"/>
      <c r="M64" s="666"/>
      <c r="N64" s="666"/>
      <c r="O64" s="666"/>
      <c r="P64" s="666"/>
      <c r="Q64" s="666"/>
      <c r="R64" s="666"/>
      <c r="S64" s="666"/>
      <c r="T64" s="666"/>
      <c r="U64" s="666"/>
      <c r="V64" s="666"/>
      <c r="W64" s="666"/>
      <c r="X64" s="667"/>
      <c r="Y64" s="667"/>
      <c r="Z64" s="667"/>
      <c r="AA64" s="667"/>
      <c r="AB64" s="667"/>
      <c r="AC64" s="667"/>
      <c r="AD64" s="667"/>
      <c r="AE64" s="667"/>
      <c r="AF64" s="667"/>
      <c r="AG64" s="667"/>
      <c r="AH64" s="667"/>
      <c r="AI64" s="667"/>
      <c r="AJ64" s="667"/>
      <c r="AK64" s="667"/>
      <c r="AL64" s="667"/>
      <c r="AM64" s="667"/>
      <c r="AN64" s="667"/>
      <c r="AO64" s="667"/>
      <c r="AP64" s="667"/>
      <c r="AQ64" s="667"/>
      <c r="AR64" s="667"/>
      <c r="AS64" s="667"/>
      <c r="AT64" s="667"/>
      <c r="AU64" s="667"/>
      <c r="AV64" s="667"/>
      <c r="AW64" s="667"/>
      <c r="AX64" s="667"/>
      <c r="AY64" s="667"/>
      <c r="AZ64" s="667"/>
      <c r="BA64" s="667"/>
      <c r="BB64" s="667"/>
      <c r="BC64" s="667"/>
      <c r="BD64" s="667"/>
      <c r="BE64" s="667"/>
      <c r="BF64" s="667"/>
      <c r="BG64" s="667"/>
      <c r="BH64" s="667"/>
      <c r="BI64" s="667"/>
      <c r="BJ64" s="667"/>
      <c r="BK64" s="667"/>
      <c r="BL64" s="667"/>
      <c r="BM64" s="667"/>
      <c r="BN64" s="667"/>
      <c r="BO64" s="667"/>
      <c r="BP64" s="667"/>
      <c r="BQ64" s="667"/>
      <c r="BR64" s="667"/>
      <c r="BS64" s="667"/>
      <c r="BT64" s="667"/>
      <c r="BU64" s="667"/>
      <c r="BV64" s="667"/>
      <c r="BW64" s="667"/>
      <c r="BX64" s="667"/>
      <c r="BY64" s="667"/>
      <c r="BZ64" s="667"/>
      <c r="CA64" s="667"/>
      <c r="CB64" s="667"/>
      <c r="CC64" s="667"/>
      <c r="CD64" s="667"/>
      <c r="CE64" s="667"/>
      <c r="CF64" s="667"/>
      <c r="CG64" s="667"/>
      <c r="CH64" s="667"/>
      <c r="CI64" s="667"/>
      <c r="CJ64" s="667"/>
      <c r="CK64" s="667"/>
      <c r="CL64" s="667"/>
      <c r="CM64" s="667"/>
      <c r="CN64" s="667"/>
      <c r="CO64" s="667"/>
      <c r="CP64" s="667"/>
      <c r="CQ64" s="667"/>
      <c r="CR64" s="667"/>
      <c r="CS64" s="667"/>
      <c r="CT64" s="667"/>
      <c r="CU64" s="667"/>
      <c r="CV64" s="667"/>
      <c r="CW64" s="667"/>
      <c r="CX64" s="667"/>
      <c r="CY64" s="667"/>
      <c r="CZ64" s="667"/>
      <c r="DA64" s="667"/>
      <c r="DB64" s="667"/>
      <c r="DC64" s="667"/>
      <c r="DD64" s="667"/>
      <c r="DE64" s="667"/>
      <c r="DF64" s="667"/>
      <c r="DG64" s="667"/>
      <c r="DH64" s="667"/>
      <c r="DI64" s="667"/>
      <c r="DJ64" s="667"/>
      <c r="DK64" s="667"/>
      <c r="DL64" s="667"/>
      <c r="DM64" s="667"/>
      <c r="DN64" s="667"/>
      <c r="DO64" s="667"/>
      <c r="DP64" s="667"/>
      <c r="DQ64" s="667"/>
      <c r="DR64" s="667"/>
      <c r="DS64" s="667"/>
      <c r="DT64" s="667"/>
      <c r="DU64" s="667"/>
      <c r="DV64" s="667"/>
      <c r="DW64" s="667"/>
      <c r="DX64" s="667"/>
      <c r="DY64" s="667"/>
      <c r="DZ64" s="667"/>
      <c r="EA64" s="667"/>
      <c r="EB64" s="667"/>
      <c r="EC64" s="667"/>
      <c r="ED64" s="667"/>
      <c r="EE64" s="667"/>
      <c r="EF64" s="667"/>
      <c r="EG64" s="667"/>
      <c r="EH64" s="667"/>
      <c r="EI64" s="667"/>
      <c r="EJ64" s="667"/>
      <c r="EK64" s="667"/>
      <c r="EL64" s="667"/>
      <c r="EM64" s="667"/>
      <c r="EN64" s="667"/>
      <c r="EO64" s="667"/>
      <c r="EP64" s="667"/>
      <c r="EQ64" s="667"/>
      <c r="ER64" s="667"/>
      <c r="ES64" s="667"/>
      <c r="ET64" s="667"/>
      <c r="EU64" s="667"/>
      <c r="EV64" s="667"/>
      <c r="EW64" s="667"/>
      <c r="EX64" s="667"/>
      <c r="EY64" s="667"/>
      <c r="EZ64" s="667"/>
      <c r="FA64" s="667"/>
      <c r="FB64" s="667"/>
      <c r="FC64" s="667"/>
      <c r="FD64" s="667"/>
      <c r="FE64" s="667"/>
      <c r="FF64" s="667"/>
      <c r="FG64" s="667"/>
      <c r="FH64" s="667"/>
      <c r="FI64" s="667"/>
      <c r="FJ64" s="667"/>
      <c r="FK64" s="667"/>
      <c r="FL64" s="667"/>
      <c r="FM64" s="667"/>
      <c r="FN64" s="667"/>
      <c r="FO64" s="667"/>
      <c r="FP64" s="667"/>
      <c r="FQ64" s="667"/>
      <c r="FR64" s="667"/>
      <c r="FS64" s="667"/>
      <c r="FT64" s="667"/>
      <c r="FU64" s="667"/>
      <c r="FV64" s="667"/>
      <c r="FW64" s="667"/>
      <c r="FX64" s="667"/>
      <c r="FY64" s="667"/>
      <c r="FZ64" s="667"/>
      <c r="GA64" s="667"/>
      <c r="GB64" s="667"/>
      <c r="GC64" s="667"/>
      <c r="GD64" s="667"/>
      <c r="GE64" s="667"/>
      <c r="GF64" s="667"/>
      <c r="GG64" s="667"/>
      <c r="GH64" s="667"/>
      <c r="GI64" s="667"/>
      <c r="GJ64" s="667"/>
      <c r="GK64" s="667"/>
      <c r="GL64" s="667"/>
      <c r="GM64" s="667"/>
      <c r="GN64" s="667"/>
      <c r="GO64" s="667"/>
      <c r="GP64" s="667"/>
      <c r="GQ64" s="667"/>
      <c r="GR64" s="667"/>
      <c r="GS64" s="667"/>
      <c r="GT64" s="667"/>
      <c r="GU64" s="667"/>
      <c r="GV64" s="667"/>
      <c r="GW64" s="667"/>
      <c r="GX64" s="667"/>
      <c r="GY64" s="667"/>
      <c r="GZ64" s="667"/>
      <c r="HA64" s="667"/>
      <c r="HB64" s="667"/>
      <c r="HC64" s="667"/>
      <c r="HD64" s="667"/>
      <c r="HE64" s="667"/>
      <c r="HF64" s="667"/>
      <c r="HG64" s="667"/>
      <c r="HH64" s="667"/>
      <c r="HI64" s="667"/>
      <c r="HJ64" s="667"/>
      <c r="HK64" s="667"/>
      <c r="HL64" s="667"/>
      <c r="HM64" s="667"/>
      <c r="HN64" s="667"/>
      <c r="HO64" s="667"/>
      <c r="HP64" s="667"/>
      <c r="HQ64" s="667"/>
      <c r="HR64" s="667"/>
      <c r="HS64" s="667"/>
      <c r="HT64" s="667"/>
      <c r="HU64" s="667"/>
      <c r="HV64" s="667"/>
      <c r="HW64" s="667"/>
    </row>
    <row r="65" spans="1:231" ht="14.1" customHeight="1">
      <c r="A65" s="667"/>
      <c r="B65" s="691"/>
      <c r="C65" s="691"/>
      <c r="E65" s="712"/>
      <c r="F65" s="667"/>
      <c r="G65" s="667"/>
      <c r="H65" s="667"/>
      <c r="I65" s="667"/>
      <c r="K65" s="683"/>
      <c r="L65" s="666"/>
      <c r="M65" s="666"/>
      <c r="N65" s="666"/>
      <c r="O65" s="666"/>
      <c r="P65" s="666"/>
      <c r="Q65" s="666"/>
      <c r="R65" s="666"/>
      <c r="S65" s="666"/>
      <c r="T65" s="666"/>
      <c r="U65" s="666"/>
      <c r="V65" s="666"/>
      <c r="W65" s="666"/>
      <c r="X65" s="667"/>
      <c r="Y65" s="667"/>
      <c r="Z65" s="667"/>
      <c r="AA65" s="667"/>
      <c r="AB65" s="667"/>
      <c r="AC65" s="667"/>
      <c r="AD65" s="667"/>
      <c r="AE65" s="667"/>
      <c r="AF65" s="667"/>
      <c r="AG65" s="667"/>
      <c r="AH65" s="667"/>
      <c r="AI65" s="667"/>
      <c r="AJ65" s="667"/>
      <c r="AK65" s="667"/>
      <c r="AL65" s="667"/>
      <c r="AM65" s="667"/>
      <c r="AN65" s="667"/>
      <c r="AO65" s="667"/>
      <c r="AP65" s="667"/>
      <c r="AQ65" s="667"/>
      <c r="AR65" s="667"/>
      <c r="AS65" s="667"/>
      <c r="AT65" s="667"/>
      <c r="AU65" s="667"/>
      <c r="AV65" s="667"/>
      <c r="AW65" s="667"/>
      <c r="AX65" s="667"/>
      <c r="AY65" s="667"/>
      <c r="AZ65" s="667"/>
      <c r="BA65" s="667"/>
      <c r="BB65" s="667"/>
      <c r="BC65" s="667"/>
      <c r="BD65" s="667"/>
      <c r="BE65" s="667"/>
      <c r="BF65" s="667"/>
      <c r="BG65" s="667"/>
      <c r="BH65" s="667"/>
      <c r="BI65" s="667"/>
      <c r="BJ65" s="667"/>
      <c r="BK65" s="667"/>
      <c r="BL65" s="667"/>
      <c r="BM65" s="667"/>
      <c r="BN65" s="667"/>
      <c r="BO65" s="667"/>
      <c r="BP65" s="667"/>
      <c r="BQ65" s="667"/>
      <c r="BR65" s="667"/>
      <c r="BS65" s="667"/>
      <c r="BT65" s="667"/>
      <c r="BU65" s="667"/>
      <c r="BV65" s="667"/>
      <c r="BW65" s="667"/>
      <c r="BX65" s="667"/>
      <c r="BY65" s="667"/>
      <c r="BZ65" s="667"/>
      <c r="CA65" s="667"/>
      <c r="CB65" s="667"/>
      <c r="CC65" s="667"/>
      <c r="CD65" s="667"/>
      <c r="CE65" s="667"/>
      <c r="CF65" s="667"/>
      <c r="CG65" s="667"/>
      <c r="CH65" s="667"/>
      <c r="CI65" s="667"/>
      <c r="CJ65" s="667"/>
      <c r="CK65" s="667"/>
      <c r="CL65" s="667"/>
      <c r="CM65" s="667"/>
      <c r="CN65" s="667"/>
      <c r="CO65" s="667"/>
      <c r="CP65" s="667"/>
      <c r="CQ65" s="667"/>
      <c r="CR65" s="667"/>
      <c r="CS65" s="667"/>
      <c r="CT65" s="667"/>
      <c r="CU65" s="667"/>
      <c r="CV65" s="667"/>
      <c r="CW65" s="667"/>
      <c r="CX65" s="667"/>
      <c r="CY65" s="667"/>
      <c r="CZ65" s="667"/>
      <c r="DA65" s="667"/>
      <c r="DB65" s="667"/>
      <c r="DC65" s="667"/>
      <c r="DD65" s="667"/>
      <c r="DE65" s="667"/>
      <c r="DF65" s="667"/>
      <c r="DG65" s="667"/>
      <c r="DH65" s="667"/>
      <c r="DI65" s="667"/>
      <c r="DJ65" s="667"/>
      <c r="DK65" s="667"/>
      <c r="DL65" s="667"/>
      <c r="DM65" s="667"/>
      <c r="DN65" s="667"/>
      <c r="DO65" s="667"/>
      <c r="DP65" s="667"/>
      <c r="DQ65" s="667"/>
      <c r="DR65" s="667"/>
      <c r="DS65" s="667"/>
      <c r="DT65" s="667"/>
      <c r="DU65" s="667"/>
      <c r="DV65" s="667"/>
      <c r="DW65" s="667"/>
      <c r="DX65" s="667"/>
      <c r="DY65" s="667"/>
      <c r="DZ65" s="667"/>
      <c r="EA65" s="667"/>
      <c r="EB65" s="667"/>
      <c r="EC65" s="667"/>
      <c r="ED65" s="667"/>
      <c r="EE65" s="667"/>
      <c r="EF65" s="667"/>
      <c r="EG65" s="667"/>
      <c r="EH65" s="667"/>
      <c r="EI65" s="667"/>
      <c r="EJ65" s="667"/>
      <c r="EK65" s="667"/>
      <c r="EL65" s="667"/>
      <c r="EM65" s="667"/>
      <c r="EN65" s="667"/>
      <c r="EO65" s="667"/>
      <c r="EP65" s="667"/>
      <c r="EQ65" s="667"/>
      <c r="ER65" s="667"/>
      <c r="ES65" s="667"/>
      <c r="ET65" s="667"/>
      <c r="EU65" s="667"/>
      <c r="EV65" s="667"/>
      <c r="EW65" s="667"/>
      <c r="EX65" s="667"/>
      <c r="EY65" s="667"/>
      <c r="EZ65" s="667"/>
      <c r="FA65" s="667"/>
      <c r="FB65" s="667"/>
      <c r="FC65" s="667"/>
      <c r="FD65" s="667"/>
      <c r="FE65" s="667"/>
      <c r="FF65" s="667"/>
      <c r="FG65" s="667"/>
      <c r="FH65" s="667"/>
      <c r="FI65" s="667"/>
      <c r="FJ65" s="667"/>
      <c r="FK65" s="667"/>
      <c r="FL65" s="667"/>
      <c r="FM65" s="667"/>
      <c r="FN65" s="667"/>
      <c r="FO65" s="667"/>
      <c r="FP65" s="667"/>
      <c r="FQ65" s="667"/>
      <c r="FR65" s="667"/>
      <c r="FS65" s="667"/>
      <c r="FT65" s="667"/>
      <c r="FU65" s="667"/>
      <c r="FV65" s="667"/>
      <c r="FW65" s="667"/>
      <c r="FX65" s="667"/>
      <c r="FY65" s="667"/>
      <c r="FZ65" s="667"/>
      <c r="GA65" s="667"/>
      <c r="GB65" s="667"/>
      <c r="GC65" s="667"/>
      <c r="GD65" s="667"/>
      <c r="GE65" s="667"/>
      <c r="GF65" s="667"/>
      <c r="GG65" s="667"/>
      <c r="GH65" s="667"/>
      <c r="GI65" s="667"/>
      <c r="GJ65" s="667"/>
      <c r="GK65" s="667"/>
      <c r="GL65" s="667"/>
      <c r="GM65" s="667"/>
      <c r="GN65" s="667"/>
      <c r="GO65" s="667"/>
      <c r="GP65" s="667"/>
      <c r="GQ65" s="667"/>
      <c r="GR65" s="667"/>
      <c r="GS65" s="667"/>
      <c r="GT65" s="667"/>
      <c r="GU65" s="667"/>
      <c r="GV65" s="667"/>
      <c r="GW65" s="667"/>
      <c r="GX65" s="667"/>
      <c r="GY65" s="667"/>
      <c r="GZ65" s="667"/>
      <c r="HA65" s="667"/>
      <c r="HB65" s="667"/>
      <c r="HC65" s="667"/>
      <c r="HD65" s="667"/>
      <c r="HE65" s="667"/>
      <c r="HF65" s="667"/>
      <c r="HG65" s="667"/>
      <c r="HH65" s="667"/>
      <c r="HI65" s="667"/>
      <c r="HJ65" s="667"/>
      <c r="HK65" s="667"/>
      <c r="HL65" s="667"/>
      <c r="HM65" s="667"/>
      <c r="HN65" s="667"/>
      <c r="HO65" s="667"/>
      <c r="HP65" s="667"/>
      <c r="HQ65" s="667"/>
      <c r="HR65" s="667"/>
      <c r="HS65" s="667"/>
      <c r="HT65" s="667"/>
      <c r="HU65" s="667"/>
      <c r="HV65" s="667"/>
      <c r="HW65" s="667"/>
    </row>
    <row r="66" spans="1:231" ht="14.1" customHeight="1">
      <c r="A66" s="667"/>
      <c r="B66" s="691"/>
      <c r="C66" s="691"/>
      <c r="E66" s="712"/>
      <c r="F66" s="667"/>
      <c r="G66" s="667"/>
      <c r="H66" s="667"/>
      <c r="I66" s="667"/>
      <c r="K66" s="683"/>
      <c r="L66" s="666"/>
      <c r="M66" s="666"/>
      <c r="N66" s="666"/>
      <c r="O66" s="666"/>
      <c r="P66" s="666"/>
      <c r="Q66" s="666"/>
      <c r="R66" s="666"/>
      <c r="S66" s="666"/>
      <c r="T66" s="666"/>
      <c r="U66" s="666"/>
      <c r="V66" s="666"/>
      <c r="W66" s="666"/>
      <c r="X66" s="667"/>
      <c r="Y66" s="667"/>
      <c r="Z66" s="667"/>
      <c r="AA66" s="667"/>
      <c r="AB66" s="667"/>
      <c r="AC66" s="667"/>
      <c r="AD66" s="667"/>
      <c r="AE66" s="667"/>
      <c r="AF66" s="667"/>
      <c r="AG66" s="667"/>
      <c r="AH66" s="667"/>
      <c r="AI66" s="667"/>
      <c r="AJ66" s="667"/>
      <c r="AK66" s="667"/>
      <c r="AL66" s="667"/>
      <c r="AM66" s="667"/>
      <c r="AN66" s="667"/>
      <c r="AO66" s="667"/>
      <c r="AP66" s="667"/>
      <c r="AQ66" s="667"/>
      <c r="AR66" s="667"/>
      <c r="AS66" s="667"/>
      <c r="AT66" s="667"/>
      <c r="AU66" s="667"/>
      <c r="AV66" s="667"/>
      <c r="AW66" s="667"/>
      <c r="AX66" s="667"/>
      <c r="AY66" s="667"/>
      <c r="AZ66" s="667"/>
      <c r="BA66" s="667"/>
      <c r="BB66" s="667"/>
      <c r="BC66" s="667"/>
      <c r="BD66" s="667"/>
      <c r="BE66" s="667"/>
      <c r="BF66" s="667"/>
      <c r="BG66" s="667"/>
      <c r="BH66" s="667"/>
      <c r="BI66" s="667"/>
      <c r="BJ66" s="667"/>
      <c r="BK66" s="667"/>
      <c r="BL66" s="667"/>
      <c r="BM66" s="667"/>
      <c r="BN66" s="667"/>
      <c r="BO66" s="667"/>
      <c r="BP66" s="667"/>
      <c r="BQ66" s="667"/>
      <c r="BR66" s="667"/>
      <c r="BS66" s="667"/>
      <c r="BT66" s="667"/>
      <c r="BU66" s="667"/>
      <c r="BV66" s="667"/>
      <c r="BW66" s="667"/>
      <c r="BX66" s="667"/>
      <c r="BY66" s="667"/>
      <c r="BZ66" s="667"/>
      <c r="CA66" s="667"/>
      <c r="CB66" s="667"/>
      <c r="CC66" s="667"/>
      <c r="CD66" s="667"/>
      <c r="CE66" s="667"/>
      <c r="CF66" s="667"/>
      <c r="CG66" s="667"/>
      <c r="CH66" s="667"/>
      <c r="CI66" s="667"/>
      <c r="CJ66" s="667"/>
      <c r="CK66" s="667"/>
      <c r="CL66" s="667"/>
      <c r="CM66" s="667"/>
      <c r="CN66" s="667"/>
      <c r="CO66" s="667"/>
      <c r="CP66" s="667"/>
      <c r="CQ66" s="667"/>
      <c r="CR66" s="667"/>
      <c r="CS66" s="667"/>
      <c r="CT66" s="667"/>
      <c r="CU66" s="667"/>
      <c r="CV66" s="667"/>
      <c r="CW66" s="667"/>
      <c r="CX66" s="667"/>
      <c r="CY66" s="667"/>
      <c r="CZ66" s="667"/>
      <c r="DA66" s="667"/>
      <c r="DB66" s="667"/>
      <c r="DC66" s="667"/>
      <c r="DD66" s="667"/>
      <c r="DE66" s="667"/>
      <c r="DF66" s="667"/>
      <c r="DG66" s="667"/>
      <c r="DH66" s="667"/>
      <c r="DI66" s="667"/>
      <c r="DJ66" s="667"/>
      <c r="DK66" s="667"/>
      <c r="DL66" s="667"/>
      <c r="DM66" s="667"/>
      <c r="DN66" s="667"/>
      <c r="DO66" s="667"/>
      <c r="DP66" s="667"/>
      <c r="DQ66" s="667"/>
      <c r="DR66" s="667"/>
      <c r="DS66" s="667"/>
      <c r="DT66" s="667"/>
      <c r="DU66" s="667"/>
      <c r="DV66" s="667"/>
      <c r="DW66" s="667"/>
      <c r="DX66" s="667"/>
      <c r="DY66" s="667"/>
      <c r="DZ66" s="667"/>
      <c r="EA66" s="667"/>
      <c r="EB66" s="667"/>
      <c r="EC66" s="667"/>
      <c r="ED66" s="667"/>
      <c r="EE66" s="667"/>
      <c r="EF66" s="667"/>
      <c r="EG66" s="667"/>
      <c r="EH66" s="667"/>
      <c r="EI66" s="667"/>
      <c r="EJ66" s="667"/>
      <c r="EK66" s="667"/>
      <c r="EL66" s="667"/>
      <c r="EM66" s="667"/>
      <c r="EN66" s="667"/>
      <c r="EO66" s="667"/>
      <c r="EP66" s="667"/>
      <c r="EQ66" s="667"/>
      <c r="ER66" s="667"/>
      <c r="ES66" s="667"/>
      <c r="ET66" s="667"/>
      <c r="EU66" s="667"/>
      <c r="EV66" s="667"/>
      <c r="EW66" s="667"/>
      <c r="EX66" s="667"/>
      <c r="EY66" s="667"/>
      <c r="EZ66" s="667"/>
      <c r="FA66" s="667"/>
      <c r="FB66" s="667"/>
      <c r="FC66" s="667"/>
      <c r="FD66" s="667"/>
      <c r="FE66" s="667"/>
      <c r="FF66" s="667"/>
      <c r="FG66" s="667"/>
      <c r="FH66" s="667"/>
      <c r="FI66" s="667"/>
      <c r="FJ66" s="667"/>
      <c r="FK66" s="667"/>
      <c r="FL66" s="667"/>
      <c r="FM66" s="667"/>
      <c r="FN66" s="667"/>
      <c r="FO66" s="667"/>
      <c r="FP66" s="667"/>
      <c r="FQ66" s="667"/>
      <c r="FR66" s="667"/>
      <c r="FS66" s="667"/>
      <c r="FT66" s="667"/>
      <c r="FU66" s="667"/>
      <c r="FV66" s="667"/>
      <c r="FW66" s="667"/>
      <c r="FX66" s="667"/>
      <c r="FY66" s="667"/>
      <c r="FZ66" s="667"/>
      <c r="GA66" s="667"/>
      <c r="GB66" s="667"/>
      <c r="GC66" s="667"/>
      <c r="GD66" s="667"/>
      <c r="GE66" s="667"/>
      <c r="GF66" s="667"/>
      <c r="GG66" s="667"/>
      <c r="GH66" s="667"/>
      <c r="GI66" s="667"/>
      <c r="GJ66" s="667"/>
      <c r="GK66" s="667"/>
      <c r="GL66" s="667"/>
      <c r="GM66" s="667"/>
      <c r="GN66" s="667"/>
      <c r="GO66" s="667"/>
      <c r="GP66" s="667"/>
      <c r="GQ66" s="667"/>
      <c r="GR66" s="667"/>
      <c r="GS66" s="667"/>
      <c r="GT66" s="667"/>
      <c r="GU66" s="667"/>
      <c r="GV66" s="667"/>
      <c r="GW66" s="667"/>
      <c r="GX66" s="667"/>
      <c r="GY66" s="667"/>
      <c r="GZ66" s="667"/>
      <c r="HA66" s="667"/>
      <c r="HB66" s="667"/>
      <c r="HC66" s="667"/>
      <c r="HD66" s="667"/>
      <c r="HE66" s="667"/>
      <c r="HF66" s="667"/>
      <c r="HG66" s="667"/>
      <c r="HH66" s="667"/>
      <c r="HI66" s="667"/>
      <c r="HJ66" s="667"/>
      <c r="HK66" s="667"/>
      <c r="HL66" s="667"/>
      <c r="HM66" s="667"/>
      <c r="HN66" s="667"/>
      <c r="HO66" s="667"/>
      <c r="HP66" s="667"/>
      <c r="HQ66" s="667"/>
      <c r="HR66" s="667"/>
      <c r="HS66" s="667"/>
      <c r="HT66" s="667"/>
      <c r="HU66" s="667"/>
      <c r="HV66" s="667"/>
      <c r="HW66" s="667"/>
    </row>
    <row r="67" spans="1:231" ht="14.1" customHeight="1">
      <c r="A67" s="667"/>
      <c r="B67" s="691"/>
      <c r="C67" s="691"/>
      <c r="E67" s="712"/>
      <c r="F67" s="667"/>
      <c r="G67" s="667"/>
      <c r="H67" s="667"/>
      <c r="I67" s="667"/>
      <c r="K67" s="683"/>
      <c r="L67" s="666"/>
      <c r="M67" s="666"/>
      <c r="N67" s="666"/>
      <c r="O67" s="666"/>
      <c r="P67" s="666"/>
      <c r="Q67" s="666"/>
      <c r="R67" s="666"/>
      <c r="S67" s="666"/>
      <c r="T67" s="666"/>
      <c r="U67" s="666"/>
      <c r="V67" s="666"/>
      <c r="W67" s="666"/>
      <c r="X67" s="667"/>
      <c r="Y67" s="667"/>
      <c r="Z67" s="667"/>
      <c r="AA67" s="667"/>
      <c r="AB67" s="667"/>
      <c r="AC67" s="667"/>
      <c r="AD67" s="667"/>
      <c r="AE67" s="667"/>
      <c r="AF67" s="667"/>
      <c r="AG67" s="667"/>
      <c r="AH67" s="667"/>
      <c r="AI67" s="667"/>
      <c r="AJ67" s="667"/>
      <c r="AK67" s="667"/>
      <c r="AL67" s="667"/>
      <c r="AM67" s="667"/>
      <c r="AN67" s="667"/>
      <c r="AO67" s="667"/>
      <c r="AP67" s="667"/>
      <c r="AQ67" s="667"/>
      <c r="AR67" s="667"/>
      <c r="AS67" s="667"/>
      <c r="AT67" s="667"/>
      <c r="AU67" s="667"/>
      <c r="AV67" s="667"/>
      <c r="AW67" s="667"/>
      <c r="AX67" s="667"/>
      <c r="AY67" s="667"/>
      <c r="AZ67" s="667"/>
      <c r="BA67" s="667"/>
      <c r="BB67" s="667"/>
      <c r="BC67" s="667"/>
      <c r="BD67" s="667"/>
      <c r="BE67" s="667"/>
      <c r="BF67" s="667"/>
      <c r="BG67" s="667"/>
      <c r="BH67" s="667"/>
      <c r="BI67" s="667"/>
      <c r="BJ67" s="667"/>
      <c r="BK67" s="667"/>
      <c r="BL67" s="667"/>
      <c r="BM67" s="667"/>
      <c r="BN67" s="667"/>
      <c r="BO67" s="667"/>
      <c r="BP67" s="667"/>
      <c r="BQ67" s="667"/>
      <c r="BR67" s="667"/>
      <c r="BS67" s="667"/>
      <c r="BT67" s="667"/>
      <c r="BU67" s="667"/>
      <c r="BV67" s="667"/>
      <c r="BW67" s="667"/>
      <c r="BX67" s="667"/>
      <c r="BY67" s="667"/>
      <c r="BZ67" s="667"/>
      <c r="CA67" s="667"/>
      <c r="CB67" s="667"/>
      <c r="CC67" s="667"/>
      <c r="CD67" s="667"/>
      <c r="CE67" s="667"/>
      <c r="CF67" s="667"/>
      <c r="CG67" s="667"/>
      <c r="CH67" s="667"/>
      <c r="CI67" s="667"/>
      <c r="CJ67" s="667"/>
      <c r="CK67" s="667"/>
      <c r="CL67" s="667"/>
      <c r="CM67" s="667"/>
      <c r="CN67" s="667"/>
      <c r="CO67" s="667"/>
      <c r="CP67" s="667"/>
      <c r="CQ67" s="667"/>
      <c r="CR67" s="667"/>
      <c r="CS67" s="667"/>
      <c r="CT67" s="667"/>
      <c r="CU67" s="667"/>
      <c r="CV67" s="667"/>
      <c r="CW67" s="667"/>
      <c r="CX67" s="667"/>
      <c r="CY67" s="667"/>
      <c r="CZ67" s="667"/>
      <c r="DA67" s="667"/>
      <c r="DB67" s="667"/>
      <c r="DC67" s="667"/>
      <c r="DD67" s="667"/>
      <c r="DE67" s="667"/>
      <c r="DF67" s="667"/>
      <c r="DG67" s="667"/>
      <c r="DH67" s="667"/>
      <c r="DI67" s="667"/>
      <c r="DJ67" s="667"/>
      <c r="DK67" s="667"/>
      <c r="DL67" s="667"/>
      <c r="DM67" s="667"/>
      <c r="DN67" s="667"/>
      <c r="DO67" s="667"/>
      <c r="DP67" s="667"/>
      <c r="DQ67" s="667"/>
      <c r="DR67" s="667"/>
      <c r="DS67" s="667"/>
      <c r="DT67" s="667"/>
      <c r="DU67" s="667"/>
      <c r="DV67" s="667"/>
      <c r="DW67" s="667"/>
      <c r="DX67" s="667"/>
      <c r="DY67" s="667"/>
      <c r="DZ67" s="667"/>
      <c r="EA67" s="667"/>
      <c r="EB67" s="667"/>
      <c r="EC67" s="667"/>
      <c r="ED67" s="667"/>
      <c r="EE67" s="667"/>
      <c r="EF67" s="667"/>
      <c r="EG67" s="667"/>
      <c r="EH67" s="667"/>
      <c r="EI67" s="667"/>
      <c r="EJ67" s="667"/>
      <c r="EK67" s="667"/>
      <c r="EL67" s="667"/>
      <c r="EM67" s="667"/>
      <c r="EN67" s="667"/>
      <c r="EO67" s="667"/>
      <c r="EP67" s="667"/>
      <c r="EQ67" s="667"/>
      <c r="ER67" s="667"/>
      <c r="ES67" s="667"/>
      <c r="ET67" s="667"/>
      <c r="EU67" s="667"/>
      <c r="EV67" s="667"/>
      <c r="EW67" s="667"/>
      <c r="EX67" s="667"/>
      <c r="EY67" s="667"/>
      <c r="EZ67" s="667"/>
      <c r="FA67" s="667"/>
      <c r="FB67" s="667"/>
      <c r="FC67" s="667"/>
      <c r="FD67" s="667"/>
      <c r="FE67" s="667"/>
      <c r="FF67" s="667"/>
      <c r="FG67" s="667"/>
      <c r="FH67" s="667"/>
      <c r="FI67" s="667"/>
      <c r="FJ67" s="667"/>
      <c r="FK67" s="667"/>
      <c r="FL67" s="667"/>
      <c r="FM67" s="667"/>
      <c r="FN67" s="667"/>
      <c r="FO67" s="667"/>
      <c r="FP67" s="667"/>
      <c r="FQ67" s="667"/>
      <c r="FR67" s="667"/>
      <c r="FS67" s="667"/>
      <c r="FT67" s="667"/>
      <c r="FU67" s="667"/>
      <c r="FV67" s="667"/>
      <c r="FW67" s="667"/>
      <c r="FX67" s="667"/>
      <c r="FY67" s="667"/>
      <c r="FZ67" s="667"/>
      <c r="GA67" s="667"/>
      <c r="GB67" s="667"/>
      <c r="GC67" s="667"/>
      <c r="GD67" s="667"/>
      <c r="GE67" s="667"/>
      <c r="GF67" s="667"/>
      <c r="GG67" s="667"/>
      <c r="GH67" s="667"/>
      <c r="GI67" s="667"/>
      <c r="GJ67" s="667"/>
      <c r="GK67" s="667"/>
      <c r="GL67" s="667"/>
      <c r="GM67" s="667"/>
      <c r="GN67" s="667"/>
      <c r="GO67" s="667"/>
      <c r="GP67" s="667"/>
      <c r="GQ67" s="667"/>
      <c r="GR67" s="667"/>
      <c r="GS67" s="667"/>
      <c r="GT67" s="667"/>
      <c r="GU67" s="667"/>
      <c r="GV67" s="667"/>
      <c r="GW67" s="667"/>
      <c r="GX67" s="667"/>
      <c r="GY67" s="667"/>
      <c r="GZ67" s="667"/>
      <c r="HA67" s="667"/>
      <c r="HB67" s="667"/>
      <c r="HC67" s="667"/>
      <c r="HD67" s="667"/>
      <c r="HE67" s="667"/>
      <c r="HF67" s="667"/>
      <c r="HG67" s="667"/>
      <c r="HH67" s="667"/>
      <c r="HI67" s="667"/>
      <c r="HJ67" s="667"/>
      <c r="HK67" s="667"/>
      <c r="HL67" s="667"/>
      <c r="HM67" s="667"/>
      <c r="HN67" s="667"/>
      <c r="HO67" s="667"/>
      <c r="HP67" s="667"/>
      <c r="HQ67" s="667"/>
      <c r="HR67" s="667"/>
      <c r="HS67" s="667"/>
      <c r="HT67" s="667"/>
      <c r="HU67" s="667"/>
      <c r="HV67" s="667"/>
      <c r="HW67" s="667"/>
    </row>
    <row r="68" spans="1:231" ht="14.1" customHeight="1">
      <c r="A68" s="667"/>
      <c r="B68" s="691"/>
      <c r="C68" s="691"/>
      <c r="E68" s="712"/>
      <c r="F68" s="667"/>
      <c r="G68" s="667"/>
      <c r="H68" s="667"/>
      <c r="I68" s="667"/>
      <c r="K68" s="683"/>
      <c r="L68" s="666"/>
      <c r="M68" s="666"/>
      <c r="N68" s="666"/>
      <c r="O68" s="666"/>
      <c r="P68" s="666"/>
      <c r="Q68" s="666"/>
      <c r="R68" s="666"/>
      <c r="S68" s="666"/>
      <c r="T68" s="666"/>
      <c r="U68" s="666"/>
      <c r="V68" s="666"/>
      <c r="W68" s="666"/>
      <c r="X68" s="667"/>
      <c r="Y68" s="667"/>
      <c r="Z68" s="667"/>
      <c r="AA68" s="667"/>
      <c r="AB68" s="667"/>
      <c r="AC68" s="667"/>
      <c r="AD68" s="667"/>
      <c r="AE68" s="667"/>
      <c r="AF68" s="667"/>
      <c r="AG68" s="667"/>
      <c r="AH68" s="667"/>
      <c r="AI68" s="667"/>
      <c r="AJ68" s="667"/>
      <c r="AK68" s="667"/>
      <c r="AL68" s="667"/>
      <c r="AM68" s="667"/>
      <c r="AN68" s="667"/>
      <c r="AO68" s="667"/>
      <c r="AP68" s="667"/>
      <c r="AQ68" s="667"/>
      <c r="AR68" s="667"/>
      <c r="AS68" s="667"/>
      <c r="AT68" s="667"/>
      <c r="AU68" s="667"/>
      <c r="AV68" s="667"/>
      <c r="AW68" s="667"/>
      <c r="AX68" s="667"/>
      <c r="AY68" s="667"/>
      <c r="AZ68" s="667"/>
      <c r="BA68" s="667"/>
      <c r="BB68" s="667"/>
      <c r="BC68" s="667"/>
      <c r="BD68" s="667"/>
      <c r="BE68" s="667"/>
      <c r="BF68" s="667"/>
      <c r="BG68" s="667"/>
      <c r="BH68" s="667"/>
      <c r="BI68" s="667"/>
      <c r="BJ68" s="667"/>
      <c r="BK68" s="667"/>
      <c r="BL68" s="667"/>
      <c r="BM68" s="667"/>
      <c r="BN68" s="667"/>
      <c r="BO68" s="667"/>
      <c r="BP68" s="667"/>
      <c r="BQ68" s="667"/>
      <c r="BR68" s="667"/>
      <c r="BS68" s="667"/>
      <c r="BT68" s="667"/>
      <c r="BU68" s="667"/>
      <c r="BV68" s="667"/>
      <c r="BW68" s="667"/>
      <c r="BX68" s="667"/>
      <c r="BY68" s="667"/>
      <c r="BZ68" s="667"/>
      <c r="CA68" s="667"/>
      <c r="CB68" s="667"/>
      <c r="CC68" s="667"/>
      <c r="CD68" s="667"/>
      <c r="CE68" s="667"/>
      <c r="CF68" s="667"/>
      <c r="CG68" s="667"/>
      <c r="CH68" s="667"/>
      <c r="CI68" s="667"/>
      <c r="CJ68" s="667"/>
      <c r="CK68" s="667"/>
      <c r="CL68" s="667"/>
      <c r="CM68" s="667"/>
      <c r="CN68" s="667"/>
      <c r="CO68" s="667"/>
      <c r="CP68" s="667"/>
      <c r="CQ68" s="667"/>
      <c r="CR68" s="667"/>
      <c r="CS68" s="667"/>
      <c r="CT68" s="667"/>
      <c r="CU68" s="667"/>
      <c r="CV68" s="667"/>
      <c r="CW68" s="667"/>
      <c r="CX68" s="667"/>
      <c r="CY68" s="667"/>
      <c r="CZ68" s="667"/>
      <c r="DA68" s="667"/>
      <c r="DB68" s="667"/>
      <c r="DC68" s="667"/>
      <c r="DD68" s="667"/>
      <c r="DE68" s="667"/>
      <c r="DF68" s="667"/>
      <c r="DG68" s="667"/>
      <c r="DH68" s="667"/>
      <c r="DI68" s="667"/>
      <c r="DJ68" s="667"/>
      <c r="DK68" s="667"/>
      <c r="DL68" s="667"/>
      <c r="DM68" s="667"/>
      <c r="DN68" s="667"/>
      <c r="DO68" s="667"/>
      <c r="DP68" s="667"/>
      <c r="DQ68" s="667"/>
      <c r="DR68" s="667"/>
      <c r="DS68" s="667"/>
      <c r="DT68" s="667"/>
      <c r="DU68" s="667"/>
      <c r="DV68" s="667"/>
      <c r="DW68" s="667"/>
      <c r="DX68" s="667"/>
      <c r="DY68" s="667"/>
      <c r="DZ68" s="667"/>
      <c r="EA68" s="667"/>
      <c r="EB68" s="667"/>
      <c r="EC68" s="667"/>
      <c r="ED68" s="667"/>
      <c r="EE68" s="667"/>
      <c r="EF68" s="667"/>
      <c r="EG68" s="667"/>
      <c r="EH68" s="667"/>
      <c r="EI68" s="667"/>
      <c r="EJ68" s="667"/>
      <c r="EK68" s="667"/>
      <c r="EL68" s="667"/>
      <c r="EM68" s="667"/>
      <c r="EN68" s="667"/>
      <c r="EO68" s="667"/>
      <c r="EP68" s="667"/>
      <c r="EQ68" s="667"/>
      <c r="ER68" s="667"/>
      <c r="ES68" s="667"/>
      <c r="ET68" s="667"/>
      <c r="EU68" s="667"/>
      <c r="EV68" s="667"/>
      <c r="EW68" s="667"/>
      <c r="EX68" s="667"/>
      <c r="EY68" s="667"/>
      <c r="EZ68" s="667"/>
      <c r="FA68" s="667"/>
      <c r="FB68" s="667"/>
      <c r="FC68" s="667"/>
      <c r="FD68" s="667"/>
      <c r="FE68" s="667"/>
      <c r="FF68" s="667"/>
      <c r="FG68" s="667"/>
      <c r="FH68" s="667"/>
      <c r="FI68" s="667"/>
      <c r="FJ68" s="667"/>
      <c r="FK68" s="667"/>
      <c r="FL68" s="667"/>
      <c r="FM68" s="667"/>
      <c r="FN68" s="667"/>
      <c r="FO68" s="667"/>
      <c r="FP68" s="667"/>
      <c r="FQ68" s="667"/>
      <c r="FR68" s="667"/>
      <c r="FS68" s="667"/>
      <c r="FT68" s="667"/>
      <c r="FU68" s="667"/>
      <c r="FV68" s="667"/>
      <c r="FW68" s="667"/>
      <c r="FX68" s="667"/>
      <c r="FY68" s="667"/>
      <c r="FZ68" s="667"/>
      <c r="GA68" s="667"/>
      <c r="GB68" s="667"/>
      <c r="GC68" s="667"/>
      <c r="GD68" s="667"/>
      <c r="GE68" s="667"/>
      <c r="GF68" s="667"/>
      <c r="GG68" s="667"/>
      <c r="GH68" s="667"/>
      <c r="GI68" s="667"/>
      <c r="GJ68" s="667"/>
      <c r="GK68" s="667"/>
      <c r="GL68" s="667"/>
      <c r="GM68" s="667"/>
      <c r="GN68" s="667"/>
      <c r="GO68" s="667"/>
      <c r="GP68" s="667"/>
      <c r="GQ68" s="667"/>
      <c r="GR68" s="667"/>
      <c r="GS68" s="667"/>
      <c r="GT68" s="667"/>
      <c r="GU68" s="667"/>
      <c r="GV68" s="667"/>
      <c r="GW68" s="667"/>
      <c r="GX68" s="667"/>
      <c r="GY68" s="667"/>
      <c r="GZ68" s="667"/>
      <c r="HA68" s="667"/>
      <c r="HB68" s="667"/>
      <c r="HC68" s="667"/>
      <c r="HD68" s="667"/>
      <c r="HE68" s="667"/>
      <c r="HF68" s="667"/>
      <c r="HG68" s="667"/>
      <c r="HH68" s="667"/>
      <c r="HI68" s="667"/>
      <c r="HJ68" s="667"/>
      <c r="HK68" s="667"/>
      <c r="HL68" s="667"/>
      <c r="HM68" s="667"/>
      <c r="HN68" s="667"/>
      <c r="HO68" s="667"/>
      <c r="HP68" s="667"/>
      <c r="HQ68" s="667"/>
      <c r="HR68" s="667"/>
      <c r="HS68" s="667"/>
      <c r="HT68" s="667"/>
      <c r="HU68" s="667"/>
      <c r="HV68" s="667"/>
      <c r="HW68" s="667"/>
    </row>
    <row r="69" spans="1:231" ht="14.1" customHeight="1">
      <c r="A69" s="667"/>
      <c r="B69" s="691"/>
      <c r="C69" s="691"/>
      <c r="E69" s="712"/>
      <c r="F69" s="667"/>
      <c r="G69" s="667"/>
      <c r="H69" s="667"/>
      <c r="I69" s="667"/>
      <c r="K69" s="683"/>
      <c r="L69" s="666"/>
      <c r="M69" s="666"/>
      <c r="N69" s="666"/>
      <c r="O69" s="666"/>
      <c r="P69" s="666"/>
      <c r="Q69" s="666"/>
      <c r="R69" s="666"/>
      <c r="S69" s="666"/>
      <c r="T69" s="666"/>
      <c r="U69" s="666"/>
      <c r="V69" s="666"/>
      <c r="W69" s="666"/>
      <c r="X69" s="667"/>
      <c r="Y69" s="667"/>
      <c r="Z69" s="667"/>
      <c r="AA69" s="667"/>
      <c r="AB69" s="667"/>
      <c r="AC69" s="667"/>
      <c r="AD69" s="667"/>
      <c r="AE69" s="667"/>
      <c r="AF69" s="667"/>
      <c r="AG69" s="667"/>
      <c r="AH69" s="667"/>
      <c r="AI69" s="667"/>
      <c r="AJ69" s="667"/>
      <c r="AK69" s="667"/>
      <c r="AL69" s="667"/>
      <c r="AM69" s="667"/>
      <c r="AN69" s="667"/>
      <c r="AO69" s="667"/>
      <c r="AP69" s="667"/>
      <c r="AQ69" s="667"/>
      <c r="AR69" s="667"/>
      <c r="AS69" s="667"/>
      <c r="AT69" s="667"/>
      <c r="AU69" s="667"/>
      <c r="AV69" s="667"/>
      <c r="AW69" s="667"/>
      <c r="AX69" s="667"/>
      <c r="AY69" s="667"/>
      <c r="AZ69" s="667"/>
      <c r="BA69" s="667"/>
      <c r="BB69" s="667"/>
      <c r="BC69" s="667"/>
      <c r="BD69" s="667"/>
      <c r="BE69" s="667"/>
      <c r="BF69" s="667"/>
      <c r="BG69" s="667"/>
      <c r="BH69" s="667"/>
      <c r="BI69" s="667"/>
      <c r="BJ69" s="667"/>
      <c r="BK69" s="667"/>
      <c r="BL69" s="667"/>
      <c r="BM69" s="667"/>
      <c r="BN69" s="667"/>
      <c r="BO69" s="667"/>
      <c r="BP69" s="667"/>
      <c r="BQ69" s="667"/>
      <c r="BR69" s="667"/>
      <c r="BS69" s="667"/>
      <c r="BT69" s="667"/>
      <c r="BU69" s="667"/>
      <c r="BV69" s="667"/>
      <c r="BW69" s="667"/>
      <c r="BX69" s="667"/>
      <c r="BY69" s="667"/>
      <c r="BZ69" s="667"/>
      <c r="CA69" s="667"/>
      <c r="CB69" s="667"/>
      <c r="CC69" s="667"/>
      <c r="CD69" s="667"/>
      <c r="CE69" s="667"/>
      <c r="CF69" s="667"/>
      <c r="CG69" s="667"/>
      <c r="CH69" s="667"/>
      <c r="CI69" s="667"/>
      <c r="CJ69" s="667"/>
      <c r="CK69" s="667"/>
      <c r="CL69" s="667"/>
      <c r="CM69" s="667"/>
      <c r="CN69" s="667"/>
      <c r="CO69" s="667"/>
      <c r="CP69" s="667"/>
      <c r="CQ69" s="667"/>
      <c r="CR69" s="667"/>
      <c r="CS69" s="667"/>
      <c r="CT69" s="667"/>
      <c r="CU69" s="667"/>
      <c r="CV69" s="667"/>
      <c r="CW69" s="667"/>
      <c r="CX69" s="667"/>
      <c r="CY69" s="667"/>
      <c r="CZ69" s="667"/>
      <c r="DA69" s="667"/>
      <c r="DB69" s="667"/>
      <c r="DC69" s="667"/>
      <c r="DD69" s="667"/>
      <c r="DE69" s="667"/>
      <c r="DF69" s="667"/>
      <c r="DG69" s="667"/>
      <c r="DH69" s="667"/>
      <c r="DI69" s="667"/>
      <c r="DJ69" s="667"/>
      <c r="DK69" s="667"/>
      <c r="DL69" s="667"/>
      <c r="DM69" s="667"/>
      <c r="DN69" s="667"/>
      <c r="DO69" s="667"/>
      <c r="DP69" s="667"/>
      <c r="DQ69" s="667"/>
      <c r="DR69" s="667"/>
      <c r="DS69" s="667"/>
      <c r="DT69" s="667"/>
      <c r="DU69" s="667"/>
      <c r="DV69" s="667"/>
      <c r="DW69" s="667"/>
      <c r="DX69" s="667"/>
      <c r="DY69" s="667"/>
      <c r="DZ69" s="667"/>
      <c r="EA69" s="667"/>
      <c r="EB69" s="667"/>
      <c r="EC69" s="667"/>
      <c r="ED69" s="667"/>
      <c r="EE69" s="667"/>
      <c r="EF69" s="667"/>
      <c r="EG69" s="667"/>
      <c r="EH69" s="667"/>
      <c r="EI69" s="667"/>
      <c r="EJ69" s="667"/>
      <c r="EK69" s="667"/>
      <c r="EL69" s="667"/>
      <c r="EM69" s="667"/>
      <c r="EN69" s="667"/>
      <c r="EO69" s="667"/>
      <c r="EP69" s="667"/>
      <c r="EQ69" s="667"/>
      <c r="ER69" s="667"/>
      <c r="ES69" s="667"/>
      <c r="ET69" s="667"/>
      <c r="EU69" s="667"/>
      <c r="EV69" s="667"/>
      <c r="EW69" s="667"/>
      <c r="EX69" s="667"/>
      <c r="EY69" s="667"/>
      <c r="EZ69" s="667"/>
      <c r="FA69" s="667"/>
      <c r="FB69" s="667"/>
      <c r="FC69" s="667"/>
      <c r="FD69" s="667"/>
      <c r="FE69" s="667"/>
      <c r="FF69" s="667"/>
      <c r="FG69" s="667"/>
      <c r="FH69" s="667"/>
      <c r="FI69" s="667"/>
      <c r="FJ69" s="667"/>
      <c r="FK69" s="667"/>
      <c r="FL69" s="667"/>
      <c r="FM69" s="667"/>
      <c r="FN69" s="667"/>
      <c r="FO69" s="667"/>
      <c r="FP69" s="667"/>
      <c r="FQ69" s="667"/>
      <c r="FR69" s="667"/>
      <c r="FS69" s="667"/>
      <c r="FT69" s="667"/>
      <c r="FU69" s="667"/>
      <c r="FV69" s="667"/>
      <c r="FW69" s="667"/>
      <c r="FX69" s="667"/>
      <c r="FY69" s="667"/>
      <c r="FZ69" s="667"/>
      <c r="GA69" s="667"/>
      <c r="GB69" s="667"/>
      <c r="GC69" s="667"/>
      <c r="GD69" s="667"/>
      <c r="GE69" s="667"/>
      <c r="GF69" s="667"/>
      <c r="GG69" s="667"/>
      <c r="GH69" s="667"/>
      <c r="GI69" s="667"/>
      <c r="GJ69" s="667"/>
      <c r="GK69" s="667"/>
      <c r="GL69" s="667"/>
      <c r="GM69" s="667"/>
      <c r="GN69" s="667"/>
      <c r="GO69" s="667"/>
      <c r="GP69" s="667"/>
      <c r="GQ69" s="667"/>
      <c r="GR69" s="667"/>
      <c r="GS69" s="667"/>
      <c r="GT69" s="667"/>
      <c r="GU69" s="667"/>
      <c r="GV69" s="667"/>
      <c r="GW69" s="667"/>
      <c r="GX69" s="667"/>
      <c r="GY69" s="667"/>
      <c r="GZ69" s="667"/>
      <c r="HA69" s="667"/>
      <c r="HB69" s="667"/>
      <c r="HC69" s="667"/>
      <c r="HD69" s="667"/>
      <c r="HE69" s="667"/>
      <c r="HF69" s="667"/>
      <c r="HG69" s="667"/>
      <c r="HH69" s="667"/>
      <c r="HI69" s="667"/>
      <c r="HJ69" s="667"/>
      <c r="HK69" s="667"/>
      <c r="HL69" s="667"/>
      <c r="HM69" s="667"/>
      <c r="HN69" s="667"/>
      <c r="HO69" s="667"/>
      <c r="HP69" s="667"/>
      <c r="HQ69" s="667"/>
      <c r="HR69" s="667"/>
      <c r="HS69" s="667"/>
      <c r="HT69" s="667"/>
      <c r="HU69" s="667"/>
      <c r="HV69" s="667"/>
      <c r="HW69" s="667"/>
    </row>
    <row r="70" spans="1:231" ht="14.1" customHeight="1">
      <c r="A70" s="667"/>
      <c r="B70" s="691"/>
      <c r="C70" s="691"/>
      <c r="E70" s="712"/>
      <c r="F70" s="667"/>
      <c r="G70" s="667"/>
      <c r="H70" s="667"/>
      <c r="I70" s="667"/>
      <c r="K70" s="683"/>
      <c r="L70" s="666"/>
      <c r="M70" s="666"/>
      <c r="N70" s="666"/>
      <c r="O70" s="666"/>
      <c r="P70" s="666"/>
      <c r="Q70" s="666"/>
      <c r="R70" s="666"/>
      <c r="S70" s="666"/>
      <c r="T70" s="666"/>
      <c r="U70" s="666"/>
      <c r="V70" s="666"/>
      <c r="W70" s="666"/>
      <c r="X70" s="667"/>
      <c r="Y70" s="667"/>
      <c r="Z70" s="667"/>
      <c r="AA70" s="667"/>
      <c r="AB70" s="667"/>
      <c r="AC70" s="667"/>
      <c r="AD70" s="667"/>
      <c r="AE70" s="667"/>
      <c r="AF70" s="667"/>
      <c r="AG70" s="667"/>
      <c r="AH70" s="667"/>
      <c r="AI70" s="667"/>
      <c r="AJ70" s="667"/>
      <c r="AK70" s="667"/>
      <c r="AL70" s="667"/>
      <c r="AM70" s="667"/>
      <c r="AN70" s="667"/>
      <c r="AO70" s="667"/>
      <c r="AP70" s="667"/>
      <c r="AQ70" s="667"/>
      <c r="AR70" s="667"/>
      <c r="AS70" s="667"/>
      <c r="AT70" s="667"/>
      <c r="AU70" s="667"/>
      <c r="AV70" s="667"/>
      <c r="AW70" s="667"/>
      <c r="AX70" s="667"/>
      <c r="AY70" s="667"/>
      <c r="AZ70" s="667"/>
      <c r="BA70" s="667"/>
      <c r="BB70" s="667"/>
      <c r="BC70" s="667"/>
      <c r="BD70" s="667"/>
      <c r="BE70" s="667"/>
      <c r="BF70" s="667"/>
      <c r="BG70" s="667"/>
      <c r="BH70" s="667"/>
      <c r="BI70" s="667"/>
      <c r="BJ70" s="667"/>
      <c r="BK70" s="667"/>
      <c r="BL70" s="667"/>
      <c r="BM70" s="667"/>
      <c r="BN70" s="667"/>
      <c r="BO70" s="667"/>
      <c r="BP70" s="667"/>
      <c r="BQ70" s="667"/>
      <c r="BR70" s="667"/>
      <c r="BS70" s="667"/>
      <c r="BT70" s="667"/>
      <c r="BU70" s="667"/>
      <c r="BV70" s="667"/>
      <c r="BW70" s="667"/>
      <c r="BX70" s="667"/>
      <c r="BY70" s="667"/>
      <c r="BZ70" s="667"/>
      <c r="CA70" s="667"/>
      <c r="CB70" s="667"/>
      <c r="CC70" s="667"/>
      <c r="CD70" s="667"/>
      <c r="CE70" s="667"/>
      <c r="CF70" s="667"/>
      <c r="CG70" s="667"/>
      <c r="CH70" s="667"/>
      <c r="CI70" s="667"/>
      <c r="CJ70" s="667"/>
      <c r="CK70" s="667"/>
      <c r="CL70" s="667"/>
      <c r="CM70" s="667"/>
      <c r="CN70" s="667"/>
      <c r="CO70" s="667"/>
      <c r="CP70" s="667"/>
      <c r="CQ70" s="667"/>
      <c r="CR70" s="667"/>
      <c r="CS70" s="667"/>
      <c r="CT70" s="667"/>
      <c r="CU70" s="667"/>
      <c r="CV70" s="667"/>
      <c r="CW70" s="667"/>
      <c r="CX70" s="667"/>
      <c r="CY70" s="667"/>
      <c r="CZ70" s="667"/>
      <c r="DA70" s="667"/>
      <c r="DB70" s="667"/>
      <c r="DC70" s="667"/>
      <c r="DD70" s="667"/>
      <c r="DE70" s="667"/>
      <c r="DF70" s="667"/>
      <c r="DG70" s="667"/>
      <c r="DH70" s="667"/>
      <c r="DI70" s="667"/>
      <c r="DJ70" s="667"/>
      <c r="DK70" s="667"/>
      <c r="DL70" s="667"/>
      <c r="DM70" s="667"/>
      <c r="DN70" s="667"/>
      <c r="DO70" s="667"/>
      <c r="DP70" s="667"/>
      <c r="DQ70" s="667"/>
      <c r="DR70" s="667"/>
      <c r="DS70" s="667"/>
      <c r="DT70" s="667"/>
      <c r="DU70" s="667"/>
      <c r="DV70" s="667"/>
      <c r="DW70" s="667"/>
      <c r="DX70" s="667"/>
      <c r="DY70" s="667"/>
      <c r="DZ70" s="667"/>
      <c r="EA70" s="667"/>
      <c r="EB70" s="667"/>
      <c r="EC70" s="667"/>
      <c r="ED70" s="667"/>
      <c r="EE70" s="667"/>
      <c r="EF70" s="667"/>
      <c r="EG70" s="667"/>
      <c r="EH70" s="667"/>
      <c r="EI70" s="667"/>
      <c r="EJ70" s="667"/>
      <c r="EK70" s="667"/>
      <c r="EL70" s="667"/>
      <c r="EM70" s="667"/>
      <c r="EN70" s="667"/>
      <c r="EO70" s="667"/>
      <c r="EP70" s="667"/>
      <c r="EQ70" s="667"/>
      <c r="ER70" s="667"/>
      <c r="ES70" s="667"/>
      <c r="ET70" s="667"/>
      <c r="EU70" s="667"/>
      <c r="EV70" s="667"/>
      <c r="EW70" s="667"/>
      <c r="EX70" s="667"/>
      <c r="EY70" s="667"/>
      <c r="EZ70" s="667"/>
      <c r="FA70" s="667"/>
      <c r="FB70" s="667"/>
      <c r="FC70" s="667"/>
      <c r="FD70" s="667"/>
      <c r="FE70" s="667"/>
      <c r="FF70" s="667"/>
      <c r="FG70" s="667"/>
      <c r="FH70" s="667"/>
      <c r="FI70" s="667"/>
      <c r="FJ70" s="667"/>
      <c r="FK70" s="667"/>
      <c r="FL70" s="667"/>
      <c r="FM70" s="667"/>
      <c r="FN70" s="667"/>
      <c r="FO70" s="667"/>
      <c r="FP70" s="667"/>
      <c r="FQ70" s="667"/>
      <c r="FR70" s="667"/>
      <c r="FS70" s="667"/>
      <c r="FT70" s="667"/>
      <c r="FU70" s="667"/>
      <c r="FV70" s="667"/>
      <c r="FW70" s="667"/>
      <c r="FX70" s="667"/>
      <c r="FY70" s="667"/>
      <c r="FZ70" s="667"/>
      <c r="GA70" s="667"/>
      <c r="GB70" s="667"/>
      <c r="GC70" s="667"/>
      <c r="GD70" s="667"/>
      <c r="GE70" s="667"/>
      <c r="GF70" s="667"/>
      <c r="GG70" s="667"/>
      <c r="GH70" s="667"/>
      <c r="GI70" s="667"/>
      <c r="GJ70" s="667"/>
      <c r="GK70" s="667"/>
      <c r="GL70" s="667"/>
      <c r="GM70" s="667"/>
      <c r="GN70" s="667"/>
      <c r="GO70" s="667"/>
      <c r="GP70" s="667"/>
      <c r="GQ70" s="667"/>
      <c r="GR70" s="667"/>
      <c r="GS70" s="667"/>
      <c r="GT70" s="667"/>
      <c r="GU70" s="667"/>
      <c r="GV70" s="667"/>
      <c r="GW70" s="667"/>
      <c r="GX70" s="667"/>
      <c r="GY70" s="667"/>
      <c r="GZ70" s="667"/>
      <c r="HA70" s="667"/>
      <c r="HB70" s="667"/>
      <c r="HC70" s="667"/>
      <c r="HD70" s="667"/>
      <c r="HE70" s="667"/>
      <c r="HF70" s="667"/>
      <c r="HG70" s="667"/>
      <c r="HH70" s="667"/>
      <c r="HI70" s="667"/>
      <c r="HJ70" s="667"/>
      <c r="HK70" s="667"/>
      <c r="HL70" s="667"/>
      <c r="HM70" s="667"/>
      <c r="HN70" s="667"/>
      <c r="HO70" s="667"/>
      <c r="HP70" s="667"/>
      <c r="HQ70" s="667"/>
      <c r="HR70" s="667"/>
      <c r="HS70" s="667"/>
      <c r="HT70" s="667"/>
      <c r="HU70" s="667"/>
      <c r="HV70" s="667"/>
      <c r="HW70" s="667"/>
    </row>
    <row r="71" spans="1:231" ht="14.1" customHeight="1">
      <c r="A71" s="667"/>
      <c r="B71" s="691"/>
      <c r="C71" s="691"/>
      <c r="E71" s="712"/>
      <c r="F71" s="667"/>
      <c r="G71" s="667"/>
      <c r="H71" s="667"/>
      <c r="I71" s="667"/>
      <c r="K71" s="683"/>
      <c r="L71" s="666"/>
      <c r="M71" s="666"/>
      <c r="N71" s="666"/>
      <c r="O71" s="666"/>
      <c r="P71" s="666"/>
      <c r="Q71" s="666"/>
      <c r="R71" s="666"/>
      <c r="S71" s="666"/>
      <c r="T71" s="666"/>
      <c r="U71" s="666"/>
      <c r="V71" s="666"/>
      <c r="W71" s="666"/>
      <c r="X71" s="667"/>
      <c r="Y71" s="667"/>
      <c r="Z71" s="667"/>
      <c r="AA71" s="667"/>
      <c r="AB71" s="667"/>
      <c r="AC71" s="667"/>
      <c r="AD71" s="667"/>
      <c r="AE71" s="667"/>
      <c r="AF71" s="667"/>
      <c r="AG71" s="667"/>
      <c r="AH71" s="667"/>
      <c r="AI71" s="667"/>
      <c r="AJ71" s="667"/>
      <c r="AK71" s="667"/>
      <c r="AL71" s="667"/>
      <c r="AM71" s="667"/>
      <c r="AN71" s="667"/>
      <c r="AO71" s="667"/>
      <c r="AP71" s="667"/>
      <c r="AQ71" s="667"/>
      <c r="AR71" s="667"/>
      <c r="AS71" s="667"/>
      <c r="AT71" s="667"/>
      <c r="AU71" s="667"/>
      <c r="AV71" s="667"/>
      <c r="AW71" s="667"/>
      <c r="AX71" s="667"/>
      <c r="AY71" s="667"/>
      <c r="AZ71" s="667"/>
      <c r="BA71" s="667"/>
      <c r="BB71" s="667"/>
      <c r="BC71" s="667"/>
      <c r="BD71" s="667"/>
      <c r="BE71" s="667"/>
      <c r="BF71" s="667"/>
      <c r="BG71" s="667"/>
      <c r="BH71" s="667"/>
      <c r="BI71" s="667"/>
      <c r="BJ71" s="667"/>
      <c r="BK71" s="667"/>
      <c r="BL71" s="667"/>
      <c r="BM71" s="667"/>
      <c r="BN71" s="667"/>
      <c r="BO71" s="667"/>
      <c r="BP71" s="667"/>
      <c r="BQ71" s="667"/>
      <c r="BR71" s="667"/>
      <c r="BS71" s="667"/>
      <c r="BT71" s="667"/>
      <c r="BU71" s="667"/>
      <c r="BV71" s="667"/>
      <c r="BW71" s="667"/>
      <c r="BX71" s="667"/>
      <c r="BY71" s="667"/>
      <c r="BZ71" s="667"/>
      <c r="CA71" s="667"/>
      <c r="CB71" s="667"/>
      <c r="CC71" s="667"/>
      <c r="CD71" s="667"/>
      <c r="CE71" s="667"/>
      <c r="CF71" s="667"/>
      <c r="CG71" s="667"/>
      <c r="CH71" s="667"/>
      <c r="CI71" s="667"/>
      <c r="CJ71" s="667"/>
      <c r="CK71" s="667"/>
      <c r="CL71" s="667"/>
      <c r="CM71" s="667"/>
      <c r="CN71" s="667"/>
      <c r="CO71" s="667"/>
      <c r="CP71" s="667"/>
      <c r="CQ71" s="667"/>
      <c r="CR71" s="667"/>
      <c r="CS71" s="667"/>
      <c r="CT71" s="667"/>
      <c r="CU71" s="667"/>
      <c r="CV71" s="667"/>
      <c r="CW71" s="667"/>
      <c r="CX71" s="667"/>
      <c r="CY71" s="667"/>
      <c r="CZ71" s="667"/>
      <c r="DA71" s="667"/>
      <c r="DB71" s="667"/>
      <c r="DC71" s="667"/>
      <c r="DD71" s="667"/>
      <c r="DE71" s="667"/>
      <c r="DF71" s="667"/>
      <c r="DG71" s="667"/>
      <c r="DH71" s="667"/>
      <c r="DI71" s="667"/>
      <c r="DJ71" s="667"/>
      <c r="DK71" s="667"/>
      <c r="DL71" s="667"/>
      <c r="DM71" s="667"/>
      <c r="DN71" s="667"/>
      <c r="DO71" s="667"/>
      <c r="DP71" s="667"/>
      <c r="DQ71" s="667"/>
      <c r="DR71" s="667"/>
      <c r="DS71" s="667"/>
      <c r="DT71" s="667"/>
      <c r="DU71" s="667"/>
      <c r="DV71" s="667"/>
      <c r="DW71" s="667"/>
      <c r="DX71" s="667"/>
      <c r="DY71" s="667"/>
      <c r="DZ71" s="667"/>
      <c r="EA71" s="667"/>
      <c r="EB71" s="667"/>
      <c r="EC71" s="667"/>
      <c r="ED71" s="667"/>
      <c r="EE71" s="667"/>
      <c r="EF71" s="667"/>
      <c r="EG71" s="667"/>
      <c r="EH71" s="667"/>
      <c r="EI71" s="667"/>
      <c r="EJ71" s="667"/>
      <c r="EK71" s="667"/>
      <c r="EL71" s="667"/>
      <c r="EM71" s="667"/>
      <c r="EN71" s="667"/>
      <c r="EO71" s="667"/>
      <c r="EP71" s="667"/>
      <c r="EQ71" s="667"/>
      <c r="ER71" s="667"/>
      <c r="ES71" s="667"/>
      <c r="ET71" s="667"/>
      <c r="EU71" s="667"/>
      <c r="EV71" s="667"/>
      <c r="EW71" s="667"/>
      <c r="EX71" s="667"/>
      <c r="EY71" s="667"/>
      <c r="EZ71" s="667"/>
      <c r="FA71" s="667"/>
      <c r="FB71" s="667"/>
      <c r="FC71" s="667"/>
      <c r="FD71" s="667"/>
      <c r="FE71" s="667"/>
      <c r="FF71" s="667"/>
      <c r="FG71" s="667"/>
      <c r="FH71" s="667"/>
      <c r="FI71" s="667"/>
      <c r="FJ71" s="667"/>
      <c r="FK71" s="667"/>
      <c r="FL71" s="667"/>
      <c r="FM71" s="667"/>
      <c r="FN71" s="667"/>
      <c r="FO71" s="667"/>
      <c r="FP71" s="667"/>
      <c r="FQ71" s="667"/>
      <c r="FR71" s="667"/>
      <c r="FS71" s="667"/>
      <c r="FT71" s="667"/>
      <c r="FU71" s="667"/>
      <c r="FV71" s="667"/>
      <c r="FW71" s="667"/>
      <c r="FX71" s="667"/>
      <c r="FY71" s="667"/>
      <c r="FZ71" s="667"/>
      <c r="GA71" s="667"/>
      <c r="GB71" s="667"/>
      <c r="GC71" s="667"/>
      <c r="GD71" s="667"/>
      <c r="GE71" s="667"/>
      <c r="GF71" s="667"/>
      <c r="GG71" s="667"/>
      <c r="GH71" s="667"/>
      <c r="GI71" s="667"/>
      <c r="GJ71" s="667"/>
      <c r="GK71" s="667"/>
      <c r="GL71" s="667"/>
      <c r="GM71" s="667"/>
      <c r="GN71" s="667"/>
      <c r="GO71" s="667"/>
      <c r="GP71" s="667"/>
      <c r="GQ71" s="667"/>
      <c r="GR71" s="667"/>
      <c r="GS71" s="667"/>
      <c r="GT71" s="667"/>
      <c r="GU71" s="667"/>
      <c r="GV71" s="667"/>
      <c r="GW71" s="667"/>
      <c r="GX71" s="667"/>
      <c r="GY71" s="667"/>
      <c r="GZ71" s="667"/>
      <c r="HA71" s="667"/>
      <c r="HB71" s="667"/>
      <c r="HC71" s="667"/>
      <c r="HD71" s="667"/>
      <c r="HE71" s="667"/>
      <c r="HF71" s="667"/>
      <c r="HG71" s="667"/>
      <c r="HH71" s="667"/>
      <c r="HI71" s="667"/>
      <c r="HJ71" s="667"/>
      <c r="HK71" s="667"/>
      <c r="HL71" s="667"/>
      <c r="HM71" s="667"/>
      <c r="HN71" s="667"/>
      <c r="HO71" s="667"/>
      <c r="HP71" s="667"/>
      <c r="HQ71" s="667"/>
      <c r="HR71" s="667"/>
      <c r="HS71" s="667"/>
      <c r="HT71" s="667"/>
      <c r="HU71" s="667"/>
      <c r="HV71" s="667"/>
      <c r="HW71" s="667"/>
    </row>
    <row r="72" spans="1:231" ht="14.1" customHeight="1">
      <c r="A72" s="667"/>
      <c r="B72" s="691"/>
      <c r="C72" s="691"/>
      <c r="E72" s="712"/>
      <c r="F72" s="667"/>
      <c r="G72" s="667"/>
      <c r="H72" s="667"/>
      <c r="I72" s="667"/>
      <c r="K72" s="683"/>
      <c r="L72" s="666"/>
      <c r="M72" s="666"/>
      <c r="N72" s="666"/>
      <c r="O72" s="666"/>
      <c r="P72" s="666"/>
      <c r="Q72" s="666"/>
      <c r="R72" s="666"/>
      <c r="S72" s="666"/>
      <c r="T72" s="666"/>
      <c r="U72" s="666"/>
      <c r="V72" s="666"/>
      <c r="W72" s="666"/>
      <c r="X72" s="667"/>
      <c r="Y72" s="667"/>
      <c r="Z72" s="667"/>
      <c r="AA72" s="667"/>
      <c r="AB72" s="667"/>
      <c r="AC72" s="667"/>
      <c r="AD72" s="667"/>
      <c r="AE72" s="667"/>
      <c r="AF72" s="667"/>
      <c r="AG72" s="667"/>
      <c r="AH72" s="667"/>
      <c r="AI72" s="667"/>
      <c r="AJ72" s="667"/>
      <c r="AK72" s="667"/>
      <c r="AL72" s="667"/>
      <c r="AM72" s="667"/>
      <c r="AN72" s="667"/>
      <c r="AO72" s="667"/>
      <c r="AP72" s="667"/>
      <c r="AQ72" s="667"/>
      <c r="AR72" s="667"/>
      <c r="AS72" s="667"/>
      <c r="AT72" s="667"/>
      <c r="AU72" s="667"/>
      <c r="AV72" s="667"/>
      <c r="AW72" s="667"/>
      <c r="AX72" s="667"/>
      <c r="AY72" s="667"/>
      <c r="AZ72" s="667"/>
      <c r="BA72" s="667"/>
      <c r="BB72" s="667"/>
      <c r="BC72" s="667"/>
      <c r="BD72" s="667"/>
      <c r="BE72" s="667"/>
      <c r="BF72" s="667"/>
      <c r="BG72" s="667"/>
      <c r="BH72" s="667"/>
      <c r="BI72" s="667"/>
      <c r="BJ72" s="667"/>
      <c r="BK72" s="667"/>
      <c r="BL72" s="667"/>
      <c r="BM72" s="667"/>
      <c r="BN72" s="667"/>
      <c r="BO72" s="667"/>
      <c r="BP72" s="667"/>
      <c r="BQ72" s="667"/>
      <c r="BR72" s="667"/>
      <c r="BS72" s="667"/>
      <c r="BT72" s="667"/>
      <c r="BU72" s="667"/>
      <c r="BV72" s="667"/>
      <c r="BW72" s="667"/>
      <c r="BX72" s="667"/>
      <c r="BY72" s="667"/>
      <c r="BZ72" s="667"/>
      <c r="CA72" s="667"/>
      <c r="CB72" s="667"/>
      <c r="CC72" s="667"/>
      <c r="CD72" s="667"/>
      <c r="CE72" s="667"/>
      <c r="CF72" s="667"/>
      <c r="CG72" s="667"/>
      <c r="CH72" s="667"/>
      <c r="CI72" s="667"/>
      <c r="CJ72" s="667"/>
      <c r="CK72" s="667"/>
      <c r="CL72" s="667"/>
      <c r="CM72" s="667"/>
      <c r="CN72" s="667"/>
      <c r="CO72" s="667"/>
      <c r="CP72" s="667"/>
      <c r="CQ72" s="667"/>
      <c r="CR72" s="667"/>
      <c r="CS72" s="667"/>
      <c r="CT72" s="667"/>
      <c r="CU72" s="667"/>
      <c r="CV72" s="667"/>
      <c r="CW72" s="667"/>
      <c r="CX72" s="667"/>
      <c r="CY72" s="667"/>
      <c r="CZ72" s="667"/>
      <c r="DA72" s="667"/>
      <c r="DB72" s="667"/>
      <c r="DC72" s="667"/>
      <c r="DD72" s="667"/>
      <c r="DE72" s="667"/>
      <c r="DF72" s="667"/>
      <c r="DG72" s="667"/>
      <c r="DH72" s="667"/>
      <c r="DI72" s="667"/>
      <c r="DJ72" s="667"/>
      <c r="DK72" s="667"/>
      <c r="DL72" s="667"/>
      <c r="DM72" s="667"/>
      <c r="DN72" s="667"/>
      <c r="DO72" s="667"/>
      <c r="DP72" s="667"/>
      <c r="DQ72" s="667"/>
      <c r="DR72" s="667"/>
      <c r="DS72" s="667"/>
      <c r="DT72" s="667"/>
      <c r="DU72" s="667"/>
      <c r="DV72" s="667"/>
      <c r="DW72" s="667"/>
      <c r="DX72" s="667"/>
      <c r="DY72" s="667"/>
      <c r="DZ72" s="667"/>
      <c r="EA72" s="667"/>
      <c r="EB72" s="667"/>
      <c r="EC72" s="667"/>
      <c r="ED72" s="667"/>
      <c r="EE72" s="667"/>
      <c r="EF72" s="667"/>
      <c r="EG72" s="667"/>
      <c r="EH72" s="667"/>
      <c r="EI72" s="667"/>
      <c r="EJ72" s="667"/>
      <c r="EK72" s="667"/>
      <c r="EL72" s="667"/>
      <c r="EM72" s="667"/>
      <c r="EN72" s="667"/>
      <c r="EO72" s="667"/>
      <c r="EP72" s="667"/>
      <c r="EQ72" s="667"/>
      <c r="ER72" s="667"/>
      <c r="ES72" s="667"/>
      <c r="ET72" s="667"/>
      <c r="EU72" s="667"/>
      <c r="EV72" s="667"/>
      <c r="EW72" s="667"/>
      <c r="EX72" s="667"/>
      <c r="EY72" s="667"/>
      <c r="EZ72" s="667"/>
      <c r="FA72" s="667"/>
      <c r="FB72" s="667"/>
      <c r="FC72" s="667"/>
      <c r="FD72" s="667"/>
      <c r="FE72" s="667"/>
      <c r="FF72" s="667"/>
      <c r="FG72" s="667"/>
      <c r="FH72" s="667"/>
      <c r="FI72" s="667"/>
      <c r="FJ72" s="667"/>
      <c r="FK72" s="667"/>
      <c r="FL72" s="667"/>
      <c r="FM72" s="667"/>
      <c r="FN72" s="667"/>
      <c r="FO72" s="667"/>
      <c r="FP72" s="667"/>
      <c r="FQ72" s="667"/>
      <c r="FR72" s="667"/>
      <c r="FS72" s="667"/>
      <c r="FT72" s="667"/>
      <c r="FU72" s="667"/>
      <c r="FV72" s="667"/>
      <c r="FW72" s="667"/>
      <c r="FX72" s="667"/>
      <c r="FY72" s="667"/>
      <c r="FZ72" s="667"/>
      <c r="GA72" s="667"/>
      <c r="GB72" s="667"/>
      <c r="GC72" s="667"/>
      <c r="GD72" s="667"/>
      <c r="GE72" s="667"/>
      <c r="GF72" s="667"/>
      <c r="GG72" s="667"/>
      <c r="GH72" s="667"/>
      <c r="GI72" s="667"/>
      <c r="GJ72" s="667"/>
      <c r="GK72" s="667"/>
      <c r="GL72" s="667"/>
      <c r="GM72" s="667"/>
      <c r="GN72" s="667"/>
      <c r="GO72" s="667"/>
      <c r="GP72" s="667"/>
      <c r="GQ72" s="667"/>
      <c r="GR72" s="667"/>
      <c r="GS72" s="667"/>
      <c r="GT72" s="667"/>
      <c r="GU72" s="667"/>
      <c r="GV72" s="667"/>
      <c r="GW72" s="667"/>
      <c r="GX72" s="667"/>
      <c r="GY72" s="667"/>
      <c r="GZ72" s="667"/>
      <c r="HA72" s="667"/>
      <c r="HB72" s="667"/>
      <c r="HC72" s="667"/>
      <c r="HD72" s="667"/>
      <c r="HE72" s="667"/>
      <c r="HF72" s="667"/>
      <c r="HG72" s="667"/>
      <c r="HH72" s="667"/>
      <c r="HI72" s="667"/>
      <c r="HJ72" s="667"/>
      <c r="HK72" s="667"/>
      <c r="HL72" s="667"/>
      <c r="HM72" s="667"/>
      <c r="HN72" s="667"/>
      <c r="HO72" s="667"/>
      <c r="HP72" s="667"/>
      <c r="HQ72" s="667"/>
      <c r="HR72" s="667"/>
      <c r="HS72" s="667"/>
      <c r="HT72" s="667"/>
      <c r="HU72" s="667"/>
      <c r="HV72" s="667"/>
      <c r="HW72" s="667"/>
    </row>
    <row r="73" spans="1:231" ht="14.1" customHeight="1">
      <c r="A73" s="667"/>
      <c r="B73" s="691"/>
      <c r="C73" s="691"/>
      <c r="E73" s="712"/>
      <c r="F73" s="667"/>
      <c r="G73" s="667"/>
      <c r="H73" s="667"/>
      <c r="I73" s="667"/>
      <c r="K73" s="683"/>
      <c r="L73" s="666"/>
      <c r="M73" s="666"/>
      <c r="N73" s="666"/>
      <c r="O73" s="666"/>
      <c r="P73" s="666"/>
      <c r="Q73" s="666"/>
      <c r="R73" s="666"/>
      <c r="S73" s="666"/>
      <c r="T73" s="666"/>
      <c r="U73" s="666"/>
      <c r="V73" s="666"/>
      <c r="W73" s="666"/>
      <c r="X73" s="667"/>
      <c r="Y73" s="667"/>
      <c r="Z73" s="667"/>
      <c r="AA73" s="667"/>
      <c r="AB73" s="667"/>
      <c r="AC73" s="667"/>
      <c r="AD73" s="667"/>
      <c r="AE73" s="667"/>
      <c r="AF73" s="667"/>
      <c r="AG73" s="667"/>
      <c r="AH73" s="667"/>
      <c r="AI73" s="667"/>
      <c r="AJ73" s="667"/>
      <c r="AK73" s="667"/>
      <c r="AL73" s="667"/>
      <c r="AM73" s="667"/>
      <c r="AN73" s="667"/>
      <c r="AO73" s="667"/>
      <c r="AP73" s="667"/>
      <c r="AQ73" s="667"/>
      <c r="AR73" s="667"/>
      <c r="AS73" s="667"/>
      <c r="AT73" s="667"/>
      <c r="AU73" s="667"/>
      <c r="AV73" s="667"/>
      <c r="AW73" s="667"/>
      <c r="AX73" s="667"/>
      <c r="AY73" s="667"/>
      <c r="AZ73" s="667"/>
      <c r="BA73" s="667"/>
      <c r="BB73" s="667"/>
      <c r="BC73" s="667"/>
      <c r="BD73" s="667"/>
      <c r="BE73" s="667"/>
      <c r="BF73" s="667"/>
      <c r="BG73" s="667"/>
      <c r="BH73" s="667"/>
      <c r="BI73" s="667"/>
      <c r="BJ73" s="667"/>
      <c r="BK73" s="667"/>
      <c r="BL73" s="667"/>
      <c r="BM73" s="667"/>
      <c r="BN73" s="667"/>
      <c r="BO73" s="667"/>
      <c r="BP73" s="667"/>
      <c r="BQ73" s="667"/>
      <c r="BR73" s="667"/>
      <c r="BS73" s="667"/>
      <c r="BT73" s="667"/>
      <c r="BU73" s="667"/>
      <c r="BV73" s="667"/>
      <c r="BW73" s="667"/>
      <c r="BX73" s="667"/>
      <c r="BY73" s="667"/>
      <c r="BZ73" s="667"/>
      <c r="CA73" s="667"/>
      <c r="CB73" s="667"/>
      <c r="CC73" s="667"/>
      <c r="CD73" s="667"/>
      <c r="CE73" s="667"/>
      <c r="CF73" s="667"/>
      <c r="CG73" s="667"/>
      <c r="CH73" s="667"/>
      <c r="CI73" s="667"/>
      <c r="CJ73" s="667"/>
      <c r="CK73" s="667"/>
      <c r="CL73" s="667"/>
      <c r="CM73" s="667"/>
      <c r="CN73" s="667"/>
      <c r="CO73" s="667"/>
      <c r="CP73" s="667"/>
      <c r="CQ73" s="667"/>
      <c r="CR73" s="667"/>
      <c r="CS73" s="667"/>
      <c r="CT73" s="667"/>
      <c r="CU73" s="667"/>
      <c r="CV73" s="667"/>
      <c r="CW73" s="667"/>
      <c r="CX73" s="667"/>
      <c r="CY73" s="667"/>
      <c r="CZ73" s="667"/>
      <c r="DA73" s="667"/>
      <c r="DB73" s="667"/>
      <c r="DC73" s="667"/>
      <c r="DD73" s="667"/>
      <c r="DE73" s="667"/>
      <c r="DF73" s="667"/>
      <c r="DG73" s="667"/>
      <c r="DH73" s="667"/>
      <c r="DI73" s="667"/>
      <c r="DJ73" s="667"/>
      <c r="DK73" s="667"/>
      <c r="DL73" s="667"/>
      <c r="DM73" s="667"/>
      <c r="DN73" s="667"/>
      <c r="DO73" s="667"/>
      <c r="DP73" s="667"/>
      <c r="DQ73" s="667"/>
      <c r="DR73" s="667"/>
      <c r="DS73" s="667"/>
      <c r="DT73" s="667"/>
      <c r="DU73" s="667"/>
      <c r="DV73" s="667"/>
      <c r="DW73" s="667"/>
      <c r="DX73" s="667"/>
      <c r="DY73" s="667"/>
      <c r="DZ73" s="667"/>
      <c r="EA73" s="667"/>
      <c r="EB73" s="667"/>
      <c r="EC73" s="667"/>
      <c r="ED73" s="667"/>
      <c r="EE73" s="667"/>
      <c r="EF73" s="667"/>
      <c r="EG73" s="667"/>
      <c r="EH73" s="667"/>
      <c r="EI73" s="667"/>
      <c r="EJ73" s="667"/>
      <c r="EK73" s="667"/>
      <c r="EL73" s="667"/>
      <c r="EM73" s="667"/>
      <c r="EN73" s="667"/>
      <c r="EO73" s="667"/>
      <c r="EP73" s="667"/>
      <c r="EQ73" s="667"/>
      <c r="ER73" s="667"/>
      <c r="ES73" s="667"/>
      <c r="ET73" s="667"/>
      <c r="EU73" s="667"/>
      <c r="EV73" s="667"/>
      <c r="EW73" s="667"/>
      <c r="EX73" s="667"/>
      <c r="EY73" s="667"/>
      <c r="EZ73" s="667"/>
      <c r="FA73" s="667"/>
      <c r="FB73" s="667"/>
      <c r="FC73" s="667"/>
      <c r="FD73" s="667"/>
      <c r="FE73" s="667"/>
      <c r="FF73" s="667"/>
      <c r="FG73" s="667"/>
      <c r="FH73" s="667"/>
      <c r="FI73" s="667"/>
      <c r="FJ73" s="667"/>
      <c r="FK73" s="667"/>
      <c r="FL73" s="667"/>
      <c r="FM73" s="667"/>
      <c r="FN73" s="667"/>
      <c r="FO73" s="667"/>
      <c r="FP73" s="667"/>
      <c r="FQ73" s="667"/>
      <c r="FR73" s="667"/>
      <c r="FS73" s="667"/>
      <c r="FT73" s="667"/>
      <c r="FU73" s="667"/>
      <c r="FV73" s="667"/>
      <c r="FW73" s="667"/>
      <c r="FX73" s="667"/>
      <c r="FY73" s="667"/>
      <c r="FZ73" s="667"/>
      <c r="GA73" s="667"/>
      <c r="GB73" s="667"/>
      <c r="GC73" s="667"/>
      <c r="GD73" s="667"/>
      <c r="GE73" s="667"/>
      <c r="GF73" s="667"/>
      <c r="GG73" s="667"/>
      <c r="GH73" s="667"/>
      <c r="GI73" s="667"/>
      <c r="GJ73" s="667"/>
      <c r="GK73" s="667"/>
      <c r="GL73" s="667"/>
      <c r="GM73" s="667"/>
      <c r="GN73" s="667"/>
      <c r="GO73" s="667"/>
      <c r="GP73" s="667"/>
      <c r="GQ73" s="667"/>
      <c r="GR73" s="667"/>
      <c r="GS73" s="667"/>
      <c r="GT73" s="667"/>
      <c r="GU73" s="667"/>
      <c r="GV73" s="667"/>
      <c r="GW73" s="667"/>
      <c r="GX73" s="667"/>
      <c r="GY73" s="667"/>
      <c r="GZ73" s="667"/>
      <c r="HA73" s="667"/>
      <c r="HB73" s="667"/>
      <c r="HC73" s="667"/>
      <c r="HD73" s="667"/>
      <c r="HE73" s="667"/>
      <c r="HF73" s="667"/>
      <c r="HG73" s="667"/>
      <c r="HH73" s="667"/>
      <c r="HI73" s="667"/>
      <c r="HJ73" s="667"/>
      <c r="HK73" s="667"/>
      <c r="HL73" s="667"/>
      <c r="HM73" s="667"/>
      <c r="HN73" s="667"/>
      <c r="HO73" s="667"/>
      <c r="HP73" s="667"/>
      <c r="HQ73" s="667"/>
      <c r="HR73" s="667"/>
      <c r="HS73" s="667"/>
      <c r="HT73" s="667"/>
      <c r="HU73" s="667"/>
      <c r="HV73" s="667"/>
      <c r="HW73" s="667"/>
    </row>
    <row r="74" spans="1:231" ht="14.1" customHeight="1">
      <c r="A74" s="667"/>
      <c r="B74" s="691"/>
      <c r="C74" s="691"/>
      <c r="E74" s="712"/>
      <c r="F74" s="667"/>
      <c r="G74" s="667"/>
      <c r="H74" s="667"/>
      <c r="I74" s="667"/>
      <c r="K74" s="683"/>
      <c r="L74" s="666"/>
      <c r="M74" s="666"/>
      <c r="N74" s="666"/>
      <c r="O74" s="666"/>
      <c r="P74" s="666"/>
      <c r="Q74" s="666"/>
      <c r="R74" s="666"/>
      <c r="S74" s="666"/>
      <c r="T74" s="666"/>
      <c r="U74" s="666"/>
      <c r="V74" s="666"/>
      <c r="W74" s="666"/>
      <c r="X74" s="667"/>
      <c r="Y74" s="667"/>
      <c r="Z74" s="667"/>
      <c r="AA74" s="667"/>
      <c r="AB74" s="667"/>
      <c r="AC74" s="667"/>
      <c r="AD74" s="667"/>
      <c r="AE74" s="667"/>
      <c r="AF74" s="667"/>
      <c r="AG74" s="667"/>
      <c r="AH74" s="667"/>
      <c r="AI74" s="667"/>
      <c r="AJ74" s="667"/>
      <c r="AK74" s="667"/>
      <c r="AL74" s="667"/>
      <c r="AM74" s="667"/>
      <c r="AN74" s="667"/>
      <c r="AO74" s="667"/>
      <c r="AP74" s="667"/>
      <c r="AQ74" s="667"/>
      <c r="AR74" s="667"/>
      <c r="AS74" s="667"/>
      <c r="AT74" s="667"/>
      <c r="AU74" s="667"/>
      <c r="AV74" s="667"/>
      <c r="AW74" s="667"/>
      <c r="AX74" s="667"/>
      <c r="AY74" s="667"/>
      <c r="AZ74" s="667"/>
      <c r="BA74" s="667"/>
      <c r="BB74" s="667"/>
      <c r="BC74" s="667"/>
      <c r="BD74" s="667"/>
      <c r="BE74" s="667"/>
      <c r="BF74" s="667"/>
      <c r="BG74" s="667"/>
      <c r="BH74" s="667"/>
      <c r="BI74" s="667"/>
      <c r="BJ74" s="667"/>
      <c r="BK74" s="667"/>
      <c r="BL74" s="667"/>
      <c r="BM74" s="667"/>
      <c r="BN74" s="667"/>
      <c r="BO74" s="667"/>
      <c r="BP74" s="667"/>
      <c r="BQ74" s="667"/>
      <c r="BR74" s="667"/>
      <c r="BS74" s="667"/>
      <c r="BT74" s="667"/>
      <c r="BU74" s="667"/>
      <c r="BV74" s="667"/>
      <c r="BW74" s="667"/>
      <c r="BX74" s="667"/>
      <c r="BY74" s="667"/>
      <c r="BZ74" s="667"/>
      <c r="CA74" s="667"/>
      <c r="CB74" s="667"/>
      <c r="CC74" s="667"/>
      <c r="CD74" s="667"/>
      <c r="CE74" s="667"/>
      <c r="CF74" s="667"/>
      <c r="CG74" s="667"/>
      <c r="CH74" s="667"/>
      <c r="CI74" s="667"/>
      <c r="CJ74" s="667"/>
      <c r="CK74" s="667"/>
      <c r="CL74" s="667"/>
      <c r="CM74" s="667"/>
      <c r="CN74" s="667"/>
      <c r="CO74" s="667"/>
      <c r="CP74" s="667"/>
      <c r="CQ74" s="667"/>
      <c r="CR74" s="667"/>
      <c r="CS74" s="667"/>
      <c r="CT74" s="667"/>
      <c r="CU74" s="667"/>
      <c r="CV74" s="667"/>
      <c r="CW74" s="667"/>
      <c r="CX74" s="667"/>
      <c r="CY74" s="667"/>
      <c r="CZ74" s="667"/>
      <c r="DA74" s="667"/>
      <c r="DB74" s="667"/>
      <c r="DC74" s="667"/>
      <c r="DD74" s="667"/>
      <c r="DE74" s="667"/>
      <c r="DF74" s="667"/>
      <c r="DG74" s="667"/>
      <c r="DH74" s="667"/>
      <c r="DI74" s="667"/>
      <c r="DJ74" s="667"/>
      <c r="DK74" s="667"/>
      <c r="DL74" s="667"/>
      <c r="DM74" s="667"/>
      <c r="DN74" s="667"/>
      <c r="DO74" s="667"/>
      <c r="DP74" s="667"/>
      <c r="DQ74" s="667"/>
      <c r="DR74" s="667"/>
      <c r="DS74" s="667"/>
      <c r="DT74" s="667"/>
      <c r="DU74" s="667"/>
      <c r="DV74" s="667"/>
      <c r="DW74" s="667"/>
      <c r="DX74" s="667"/>
      <c r="DY74" s="667"/>
      <c r="DZ74" s="667"/>
      <c r="EA74" s="667"/>
      <c r="EB74" s="667"/>
      <c r="EC74" s="667"/>
      <c r="ED74" s="667"/>
      <c r="EE74" s="667"/>
      <c r="EF74" s="667"/>
      <c r="EG74" s="667"/>
      <c r="EH74" s="667"/>
      <c r="EI74" s="667"/>
      <c r="EJ74" s="667"/>
      <c r="EK74" s="667"/>
      <c r="EL74" s="667"/>
      <c r="EM74" s="667"/>
      <c r="EN74" s="667"/>
      <c r="EO74" s="667"/>
      <c r="EP74" s="667"/>
      <c r="EQ74" s="667"/>
      <c r="ER74" s="667"/>
      <c r="ES74" s="667"/>
      <c r="ET74" s="667"/>
      <c r="EU74" s="667"/>
      <c r="EV74" s="667"/>
      <c r="EW74" s="667"/>
      <c r="EX74" s="667"/>
      <c r="EY74" s="667"/>
      <c r="EZ74" s="667"/>
      <c r="FA74" s="667"/>
      <c r="FB74" s="667"/>
      <c r="FC74" s="667"/>
      <c r="FD74" s="667"/>
      <c r="FE74" s="667"/>
      <c r="FF74" s="667"/>
      <c r="FG74" s="667"/>
      <c r="FH74" s="667"/>
      <c r="FI74" s="667"/>
      <c r="FJ74" s="667"/>
      <c r="FK74" s="667"/>
      <c r="FL74" s="667"/>
      <c r="FM74" s="667"/>
      <c r="FN74" s="667"/>
      <c r="FO74" s="667"/>
      <c r="FP74" s="667"/>
      <c r="FQ74" s="667"/>
      <c r="FR74" s="667"/>
      <c r="FS74" s="667"/>
      <c r="FT74" s="667"/>
      <c r="FU74" s="667"/>
      <c r="FV74" s="667"/>
      <c r="FW74" s="667"/>
      <c r="FX74" s="667"/>
      <c r="FY74" s="667"/>
      <c r="FZ74" s="667"/>
      <c r="GA74" s="667"/>
      <c r="GB74" s="667"/>
      <c r="GC74" s="667"/>
      <c r="GD74" s="667"/>
      <c r="GE74" s="667"/>
      <c r="GF74" s="667"/>
      <c r="GG74" s="667"/>
      <c r="GH74" s="667"/>
      <c r="GI74" s="667"/>
      <c r="GJ74" s="667"/>
      <c r="GK74" s="667"/>
      <c r="GL74" s="667"/>
      <c r="GM74" s="667"/>
      <c r="GN74" s="667"/>
      <c r="GO74" s="667"/>
      <c r="GP74" s="667"/>
      <c r="GQ74" s="667"/>
      <c r="GR74" s="667"/>
      <c r="GS74" s="667"/>
      <c r="GT74" s="667"/>
      <c r="GU74" s="667"/>
      <c r="GV74" s="667"/>
      <c r="GW74" s="667"/>
      <c r="GX74" s="667"/>
      <c r="GY74" s="667"/>
      <c r="GZ74" s="667"/>
      <c r="HA74" s="667"/>
      <c r="HB74" s="667"/>
      <c r="HC74" s="667"/>
      <c r="HD74" s="667"/>
      <c r="HE74" s="667"/>
      <c r="HF74" s="667"/>
      <c r="HG74" s="667"/>
      <c r="HH74" s="667"/>
      <c r="HI74" s="667"/>
      <c r="HJ74" s="667"/>
      <c r="HK74" s="667"/>
      <c r="HL74" s="667"/>
      <c r="HM74" s="667"/>
      <c r="HN74" s="667"/>
      <c r="HO74" s="667"/>
      <c r="HP74" s="667"/>
      <c r="HQ74" s="667"/>
      <c r="HR74" s="667"/>
      <c r="HS74" s="667"/>
      <c r="HT74" s="667"/>
      <c r="HU74" s="667"/>
      <c r="HV74" s="667"/>
      <c r="HW74" s="667"/>
    </row>
    <row r="75" spans="1:231" ht="14.1" customHeight="1">
      <c r="A75" s="667"/>
      <c r="B75" s="691"/>
      <c r="C75" s="691"/>
      <c r="E75" s="712"/>
      <c r="F75" s="667"/>
      <c r="G75" s="667"/>
      <c r="H75" s="667"/>
      <c r="I75" s="667"/>
      <c r="K75" s="683"/>
      <c r="L75" s="666"/>
      <c r="M75" s="666"/>
      <c r="N75" s="666"/>
      <c r="O75" s="666"/>
      <c r="P75" s="666"/>
      <c r="Q75" s="666"/>
      <c r="R75" s="666"/>
      <c r="S75" s="666"/>
      <c r="T75" s="666"/>
      <c r="U75" s="666"/>
      <c r="V75" s="666"/>
      <c r="W75" s="666"/>
      <c r="X75" s="667"/>
      <c r="Y75" s="667"/>
      <c r="Z75" s="667"/>
      <c r="AA75" s="667"/>
      <c r="AB75" s="667"/>
      <c r="AC75" s="667"/>
      <c r="AD75" s="667"/>
      <c r="AE75" s="667"/>
      <c r="AF75" s="667"/>
      <c r="AG75" s="667"/>
      <c r="AH75" s="667"/>
      <c r="AI75" s="667"/>
      <c r="AJ75" s="667"/>
      <c r="AK75" s="667"/>
      <c r="AL75" s="667"/>
      <c r="AM75" s="667"/>
      <c r="AN75" s="667"/>
      <c r="AO75" s="667"/>
      <c r="AP75" s="667"/>
      <c r="AQ75" s="667"/>
      <c r="AR75" s="667"/>
      <c r="AS75" s="667"/>
      <c r="AT75" s="667"/>
      <c r="AU75" s="667"/>
      <c r="AV75" s="667"/>
      <c r="AW75" s="667"/>
      <c r="AX75" s="667"/>
      <c r="AY75" s="667"/>
      <c r="AZ75" s="667"/>
      <c r="BA75" s="667"/>
      <c r="BB75" s="667"/>
      <c r="BC75" s="667"/>
      <c r="BD75" s="667"/>
      <c r="BE75" s="667"/>
      <c r="BF75" s="667"/>
      <c r="BG75" s="667"/>
      <c r="BH75" s="667"/>
      <c r="BI75" s="667"/>
      <c r="BJ75" s="667"/>
      <c r="BK75" s="667"/>
      <c r="BL75" s="667"/>
      <c r="BM75" s="667"/>
      <c r="BN75" s="667"/>
      <c r="BO75" s="667"/>
      <c r="BP75" s="667"/>
      <c r="BQ75" s="667"/>
      <c r="BR75" s="667"/>
      <c r="BS75" s="667"/>
      <c r="BT75" s="667"/>
      <c r="BU75" s="667"/>
      <c r="BV75" s="667"/>
      <c r="BW75" s="667"/>
      <c r="BX75" s="667"/>
      <c r="BY75" s="667"/>
      <c r="BZ75" s="667"/>
      <c r="CA75" s="667"/>
      <c r="CB75" s="667"/>
      <c r="CC75" s="667"/>
      <c r="CD75" s="667"/>
      <c r="CE75" s="667"/>
      <c r="CF75" s="667"/>
      <c r="CG75" s="667"/>
      <c r="CH75" s="667"/>
      <c r="CI75" s="667"/>
      <c r="CJ75" s="667"/>
      <c r="CK75" s="667"/>
      <c r="CL75" s="667"/>
      <c r="CM75" s="667"/>
      <c r="CN75" s="667"/>
      <c r="CO75" s="667"/>
      <c r="CP75" s="667"/>
      <c r="CQ75" s="667"/>
      <c r="CR75" s="667"/>
      <c r="CS75" s="667"/>
      <c r="CT75" s="667"/>
      <c r="CU75" s="667"/>
      <c r="CV75" s="667"/>
      <c r="CW75" s="667"/>
      <c r="CX75" s="667"/>
      <c r="CY75" s="667"/>
      <c r="CZ75" s="667"/>
      <c r="DA75" s="667"/>
      <c r="DB75" s="667"/>
      <c r="DC75" s="667"/>
      <c r="DD75" s="667"/>
      <c r="DE75" s="667"/>
      <c r="DF75" s="667"/>
      <c r="DG75" s="667"/>
      <c r="DH75" s="667"/>
      <c r="DI75" s="667"/>
      <c r="DJ75" s="667"/>
      <c r="DK75" s="667"/>
      <c r="DL75" s="667"/>
      <c r="DM75" s="667"/>
      <c r="DN75" s="667"/>
      <c r="DO75" s="667"/>
      <c r="DP75" s="667"/>
      <c r="DQ75" s="667"/>
      <c r="DR75" s="667"/>
      <c r="DS75" s="667"/>
      <c r="DT75" s="667"/>
      <c r="DU75" s="667"/>
      <c r="DV75" s="667"/>
      <c r="DW75" s="667"/>
      <c r="DX75" s="667"/>
      <c r="DY75" s="667"/>
      <c r="DZ75" s="667"/>
      <c r="EA75" s="667"/>
      <c r="EB75" s="667"/>
      <c r="EC75" s="667"/>
      <c r="ED75" s="667"/>
      <c r="EE75" s="667"/>
      <c r="EF75" s="667"/>
      <c r="EG75" s="667"/>
      <c r="EH75" s="667"/>
      <c r="EI75" s="667"/>
      <c r="EJ75" s="667"/>
      <c r="EK75" s="667"/>
      <c r="EL75" s="667"/>
      <c r="EM75" s="667"/>
      <c r="EN75" s="667"/>
      <c r="EO75" s="667"/>
      <c r="EP75" s="667"/>
      <c r="EQ75" s="667"/>
      <c r="ER75" s="667"/>
      <c r="ES75" s="667"/>
      <c r="ET75" s="667"/>
      <c r="EU75" s="667"/>
      <c r="EV75" s="667"/>
      <c r="EW75" s="667"/>
      <c r="EX75" s="667"/>
      <c r="EY75" s="667"/>
      <c r="EZ75" s="667"/>
      <c r="FA75" s="667"/>
      <c r="FB75" s="667"/>
      <c r="FC75" s="667"/>
      <c r="FD75" s="667"/>
      <c r="FE75" s="667"/>
      <c r="FF75" s="667"/>
      <c r="FG75" s="667"/>
      <c r="FH75" s="667"/>
      <c r="FI75" s="667"/>
      <c r="FJ75" s="667"/>
      <c r="FK75" s="667"/>
      <c r="FL75" s="667"/>
      <c r="FM75" s="667"/>
      <c r="FN75" s="667"/>
      <c r="FO75" s="667"/>
      <c r="FP75" s="667"/>
      <c r="FQ75" s="667"/>
      <c r="FR75" s="667"/>
      <c r="FS75" s="667"/>
      <c r="FT75" s="667"/>
      <c r="FU75" s="667"/>
      <c r="FV75" s="667"/>
      <c r="FW75" s="667"/>
      <c r="FX75" s="667"/>
      <c r="FY75" s="667"/>
      <c r="FZ75" s="667"/>
      <c r="GA75" s="667"/>
      <c r="GB75" s="667"/>
      <c r="GC75" s="667"/>
      <c r="GD75" s="667"/>
      <c r="GE75" s="667"/>
      <c r="GF75" s="667"/>
      <c r="GG75" s="667"/>
      <c r="GH75" s="667"/>
      <c r="GI75" s="667"/>
      <c r="GJ75" s="667"/>
      <c r="GK75" s="667"/>
      <c r="GL75" s="667"/>
      <c r="GM75" s="667"/>
      <c r="GN75" s="667"/>
      <c r="GO75" s="667"/>
      <c r="GP75" s="667"/>
      <c r="GQ75" s="667"/>
      <c r="GR75" s="667"/>
      <c r="GS75" s="667"/>
      <c r="GT75" s="667"/>
      <c r="GU75" s="667"/>
      <c r="GV75" s="667"/>
      <c r="GW75" s="667"/>
      <c r="GX75" s="667"/>
      <c r="GY75" s="667"/>
      <c r="GZ75" s="667"/>
      <c r="HA75" s="667"/>
      <c r="HB75" s="667"/>
      <c r="HC75" s="667"/>
      <c r="HD75" s="667"/>
      <c r="HE75" s="667"/>
      <c r="HF75" s="667"/>
      <c r="HG75" s="667"/>
      <c r="HH75" s="667"/>
      <c r="HI75" s="667"/>
      <c r="HJ75" s="667"/>
      <c r="HK75" s="667"/>
      <c r="HL75" s="667"/>
      <c r="HM75" s="667"/>
      <c r="HN75" s="667"/>
      <c r="HO75" s="667"/>
      <c r="HP75" s="667"/>
      <c r="HQ75" s="667"/>
      <c r="HR75" s="667"/>
      <c r="HS75" s="667"/>
      <c r="HT75" s="667"/>
      <c r="HU75" s="667"/>
      <c r="HV75" s="667"/>
      <c r="HW75" s="667"/>
    </row>
    <row r="76" spans="1:231" ht="14.1" customHeight="1">
      <c r="A76" s="667"/>
      <c r="B76" s="691"/>
      <c r="C76" s="691"/>
      <c r="E76" s="712"/>
      <c r="F76" s="667"/>
      <c r="G76" s="667"/>
      <c r="H76" s="667"/>
      <c r="I76" s="667"/>
      <c r="K76" s="683"/>
      <c r="L76" s="666"/>
      <c r="M76" s="666"/>
      <c r="N76" s="666"/>
      <c r="O76" s="666"/>
      <c r="P76" s="666"/>
      <c r="Q76" s="666"/>
      <c r="R76" s="666"/>
      <c r="S76" s="666"/>
      <c r="T76" s="666"/>
      <c r="U76" s="666"/>
      <c r="V76" s="666"/>
      <c r="W76" s="666"/>
      <c r="X76" s="667"/>
      <c r="Y76" s="667"/>
      <c r="Z76" s="667"/>
      <c r="AA76" s="667"/>
      <c r="AB76" s="667"/>
      <c r="AC76" s="667"/>
      <c r="AD76" s="667"/>
      <c r="AE76" s="667"/>
      <c r="AF76" s="667"/>
      <c r="AG76" s="667"/>
      <c r="AH76" s="667"/>
      <c r="AI76" s="667"/>
      <c r="AJ76" s="667"/>
      <c r="AK76" s="667"/>
      <c r="AL76" s="667"/>
      <c r="AM76" s="667"/>
      <c r="AN76" s="667"/>
      <c r="AO76" s="667"/>
      <c r="AP76" s="667"/>
      <c r="AQ76" s="667"/>
      <c r="AR76" s="667"/>
      <c r="AS76" s="667"/>
      <c r="AT76" s="667"/>
      <c r="AU76" s="667"/>
      <c r="AV76" s="667"/>
      <c r="AW76" s="667"/>
      <c r="AX76" s="667"/>
      <c r="AY76" s="667"/>
      <c r="AZ76" s="667"/>
      <c r="BA76" s="667"/>
      <c r="BB76" s="667"/>
      <c r="BC76" s="667"/>
      <c r="BD76" s="667"/>
      <c r="BE76" s="667"/>
      <c r="BF76" s="667"/>
      <c r="BG76" s="667"/>
      <c r="BH76" s="667"/>
      <c r="BI76" s="667"/>
      <c r="BJ76" s="667"/>
      <c r="BK76" s="667"/>
      <c r="BL76" s="667"/>
      <c r="BM76" s="667"/>
      <c r="BN76" s="667"/>
      <c r="BO76" s="667"/>
      <c r="BP76" s="667"/>
      <c r="BQ76" s="667"/>
      <c r="BR76" s="667"/>
      <c r="BS76" s="667"/>
      <c r="BT76" s="667"/>
      <c r="BU76" s="667"/>
      <c r="BV76" s="667"/>
      <c r="BW76" s="667"/>
      <c r="BX76" s="667"/>
      <c r="BY76" s="667"/>
      <c r="BZ76" s="667"/>
      <c r="CA76" s="667"/>
      <c r="CB76" s="667"/>
      <c r="CC76" s="667"/>
      <c r="CD76" s="667"/>
      <c r="CE76" s="667"/>
      <c r="CF76" s="667"/>
      <c r="CG76" s="667"/>
      <c r="CH76" s="667"/>
      <c r="CI76" s="667"/>
      <c r="CJ76" s="667"/>
      <c r="CK76" s="667"/>
      <c r="CL76" s="667"/>
      <c r="CM76" s="667"/>
      <c r="CN76" s="667"/>
      <c r="CO76" s="667"/>
      <c r="CP76" s="667"/>
      <c r="CQ76" s="667"/>
      <c r="CR76" s="667"/>
      <c r="CS76" s="667"/>
      <c r="CT76" s="667"/>
      <c r="CU76" s="667"/>
      <c r="CV76" s="667"/>
      <c r="CW76" s="667"/>
      <c r="CX76" s="667"/>
      <c r="CY76" s="667"/>
      <c r="CZ76" s="667"/>
      <c r="DA76" s="667"/>
      <c r="DB76" s="667"/>
      <c r="DC76" s="667"/>
      <c r="DD76" s="667"/>
      <c r="DE76" s="667"/>
      <c r="DF76" s="667"/>
      <c r="DG76" s="667"/>
      <c r="DH76" s="667"/>
      <c r="DI76" s="667"/>
      <c r="DJ76" s="667"/>
      <c r="DK76" s="667"/>
      <c r="DL76" s="667"/>
      <c r="DM76" s="667"/>
      <c r="DN76" s="667"/>
      <c r="DO76" s="667"/>
      <c r="DP76" s="667"/>
      <c r="DQ76" s="667"/>
      <c r="DR76" s="667"/>
      <c r="DS76" s="667"/>
      <c r="DT76" s="667"/>
      <c r="DU76" s="667"/>
      <c r="DV76" s="667"/>
      <c r="DW76" s="667"/>
      <c r="DX76" s="667"/>
      <c r="DY76" s="667"/>
      <c r="DZ76" s="667"/>
      <c r="EA76" s="667"/>
      <c r="EB76" s="667"/>
      <c r="EC76" s="667"/>
      <c r="ED76" s="667"/>
      <c r="EE76" s="667"/>
      <c r="EF76" s="667"/>
      <c r="EG76" s="667"/>
      <c r="EH76" s="667"/>
      <c r="EI76" s="667"/>
      <c r="EJ76" s="667"/>
      <c r="EK76" s="667"/>
      <c r="EL76" s="667"/>
      <c r="EM76" s="667"/>
      <c r="EN76" s="667"/>
      <c r="EO76" s="667"/>
      <c r="EP76" s="667"/>
      <c r="EQ76" s="667"/>
      <c r="ER76" s="667"/>
      <c r="ES76" s="667"/>
      <c r="ET76" s="667"/>
      <c r="EU76" s="667"/>
      <c r="EV76" s="667"/>
      <c r="EW76" s="667"/>
      <c r="EX76" s="667"/>
      <c r="EY76" s="667"/>
      <c r="EZ76" s="667"/>
      <c r="FA76" s="667"/>
      <c r="FB76" s="667"/>
      <c r="FC76" s="667"/>
      <c r="FD76" s="667"/>
      <c r="FE76" s="667"/>
      <c r="FF76" s="667"/>
      <c r="FG76" s="667"/>
      <c r="FH76" s="667"/>
      <c r="FI76" s="667"/>
      <c r="FJ76" s="667"/>
      <c r="FK76" s="667"/>
      <c r="FL76" s="667"/>
      <c r="FM76" s="667"/>
      <c r="FN76" s="667"/>
      <c r="FO76" s="667"/>
      <c r="FP76" s="667"/>
      <c r="FQ76" s="667"/>
      <c r="FR76" s="667"/>
      <c r="FS76" s="667"/>
      <c r="FT76" s="667"/>
      <c r="FU76" s="667"/>
      <c r="FV76" s="667"/>
      <c r="FW76" s="667"/>
      <c r="FX76" s="667"/>
      <c r="FY76" s="667"/>
      <c r="FZ76" s="667"/>
      <c r="GA76" s="667"/>
      <c r="GB76" s="667"/>
      <c r="GC76" s="667"/>
      <c r="GD76" s="667"/>
      <c r="GE76" s="667"/>
      <c r="GF76" s="667"/>
      <c r="GG76" s="667"/>
      <c r="GH76" s="667"/>
      <c r="GI76" s="667"/>
      <c r="GJ76" s="667"/>
      <c r="GK76" s="667"/>
      <c r="GL76" s="667"/>
      <c r="GM76" s="667"/>
      <c r="GN76" s="667"/>
      <c r="GO76" s="667"/>
      <c r="GP76" s="667"/>
      <c r="GQ76" s="667"/>
      <c r="GR76" s="667"/>
      <c r="GS76" s="667"/>
      <c r="GT76" s="667"/>
      <c r="GU76" s="667"/>
      <c r="GV76" s="667"/>
      <c r="GW76" s="667"/>
      <c r="GX76" s="667"/>
      <c r="GY76" s="667"/>
      <c r="GZ76" s="667"/>
      <c r="HA76" s="667"/>
      <c r="HB76" s="667"/>
      <c r="HC76" s="667"/>
      <c r="HD76" s="667"/>
      <c r="HE76" s="667"/>
      <c r="HF76" s="667"/>
      <c r="HG76" s="667"/>
      <c r="HH76" s="667"/>
      <c r="HI76" s="667"/>
      <c r="HJ76" s="667"/>
      <c r="HK76" s="667"/>
      <c r="HL76" s="667"/>
      <c r="HM76" s="667"/>
      <c r="HN76" s="667"/>
      <c r="HO76" s="667"/>
      <c r="HP76" s="667"/>
      <c r="HQ76" s="667"/>
      <c r="HR76" s="667"/>
      <c r="HS76" s="667"/>
      <c r="HT76" s="667"/>
      <c r="HU76" s="667"/>
      <c r="HV76" s="667"/>
      <c r="HW76" s="667"/>
    </row>
    <row r="77" spans="1:231" ht="14.1" customHeight="1">
      <c r="A77" s="667"/>
      <c r="B77" s="691"/>
      <c r="C77" s="691"/>
      <c r="E77" s="712"/>
      <c r="F77" s="667"/>
      <c r="G77" s="667"/>
      <c r="H77" s="667"/>
      <c r="I77" s="667"/>
      <c r="K77" s="683"/>
      <c r="L77" s="666"/>
      <c r="M77" s="666"/>
      <c r="N77" s="666"/>
      <c r="O77" s="666"/>
      <c r="P77" s="666"/>
      <c r="Q77" s="666"/>
      <c r="R77" s="666"/>
      <c r="S77" s="666"/>
      <c r="T77" s="666"/>
      <c r="U77" s="666"/>
      <c r="V77" s="666"/>
      <c r="W77" s="666"/>
      <c r="X77" s="667"/>
      <c r="Y77" s="667"/>
      <c r="Z77" s="667"/>
      <c r="AA77" s="667"/>
      <c r="AB77" s="667"/>
      <c r="AC77" s="667"/>
      <c r="AD77" s="667"/>
      <c r="AE77" s="667"/>
      <c r="AF77" s="667"/>
      <c r="AG77" s="667"/>
      <c r="AH77" s="667"/>
      <c r="AI77" s="667"/>
      <c r="AJ77" s="667"/>
      <c r="AK77" s="667"/>
      <c r="AL77" s="667"/>
      <c r="AM77" s="667"/>
      <c r="AN77" s="667"/>
      <c r="AO77" s="667"/>
      <c r="AP77" s="667"/>
      <c r="AQ77" s="667"/>
      <c r="AR77" s="667"/>
      <c r="AS77" s="667"/>
      <c r="AT77" s="667"/>
      <c r="AU77" s="667"/>
      <c r="AV77" s="667"/>
      <c r="AW77" s="667"/>
      <c r="AX77" s="667"/>
      <c r="AY77" s="667"/>
      <c r="AZ77" s="667"/>
      <c r="BA77" s="667"/>
      <c r="BB77" s="667"/>
      <c r="BC77" s="667"/>
      <c r="BD77" s="667"/>
      <c r="BE77" s="667"/>
      <c r="BF77" s="667"/>
      <c r="BG77" s="667"/>
      <c r="BH77" s="667"/>
      <c r="BI77" s="667"/>
      <c r="BJ77" s="667"/>
      <c r="BK77" s="667"/>
      <c r="BL77" s="667"/>
      <c r="BM77" s="667"/>
      <c r="BN77" s="667"/>
      <c r="BO77" s="667"/>
      <c r="BP77" s="667"/>
      <c r="BQ77" s="667"/>
      <c r="BR77" s="667"/>
      <c r="BS77" s="667"/>
      <c r="BT77" s="667"/>
      <c r="BU77" s="667"/>
      <c r="BV77" s="667"/>
      <c r="BW77" s="667"/>
      <c r="BX77" s="667"/>
      <c r="BY77" s="667"/>
      <c r="BZ77" s="667"/>
      <c r="CA77" s="667"/>
      <c r="CB77" s="667"/>
      <c r="CC77" s="667"/>
      <c r="CD77" s="667"/>
      <c r="CE77" s="667"/>
      <c r="CF77" s="667"/>
      <c r="CG77" s="667"/>
      <c r="CH77" s="667"/>
      <c r="CI77" s="667"/>
      <c r="CJ77" s="667"/>
      <c r="CK77" s="667"/>
      <c r="CL77" s="667"/>
      <c r="CM77" s="667"/>
      <c r="CN77" s="667"/>
      <c r="CO77" s="667"/>
      <c r="CP77" s="667"/>
      <c r="CQ77" s="667"/>
      <c r="CR77" s="667"/>
      <c r="CS77" s="667"/>
      <c r="CT77" s="667"/>
      <c r="CU77" s="667"/>
      <c r="CV77" s="667"/>
      <c r="CW77" s="667"/>
      <c r="CX77" s="667"/>
      <c r="CY77" s="667"/>
      <c r="CZ77" s="667"/>
      <c r="DA77" s="667"/>
      <c r="DB77" s="667"/>
      <c r="DC77" s="667"/>
      <c r="DD77" s="667"/>
      <c r="DE77" s="667"/>
      <c r="DF77" s="667"/>
      <c r="DG77" s="667"/>
      <c r="DH77" s="667"/>
      <c r="DI77" s="667"/>
      <c r="DJ77" s="667"/>
      <c r="DK77" s="667"/>
      <c r="DL77" s="667"/>
      <c r="DM77" s="667"/>
      <c r="DN77" s="667"/>
      <c r="DO77" s="667"/>
      <c r="DP77" s="667"/>
      <c r="DQ77" s="667"/>
      <c r="DR77" s="667"/>
      <c r="DS77" s="667"/>
      <c r="DT77" s="667"/>
      <c r="DU77" s="667"/>
      <c r="DV77" s="667"/>
      <c r="DW77" s="667"/>
      <c r="DX77" s="667"/>
      <c r="DY77" s="667"/>
      <c r="DZ77" s="667"/>
      <c r="EA77" s="667"/>
      <c r="EB77" s="667"/>
      <c r="EC77" s="667"/>
      <c r="ED77" s="667"/>
      <c r="EE77" s="667"/>
      <c r="EF77" s="667"/>
      <c r="EG77" s="667"/>
      <c r="EH77" s="667"/>
      <c r="EI77" s="667"/>
      <c r="EJ77" s="667"/>
      <c r="EK77" s="667"/>
      <c r="EL77" s="667"/>
      <c r="EM77" s="667"/>
      <c r="EN77" s="667"/>
      <c r="EO77" s="667"/>
      <c r="EP77" s="667"/>
      <c r="EQ77" s="667"/>
      <c r="ER77" s="667"/>
      <c r="ES77" s="667"/>
      <c r="ET77" s="667"/>
      <c r="EU77" s="667"/>
      <c r="EV77" s="667"/>
      <c r="EW77" s="667"/>
      <c r="EX77" s="667"/>
      <c r="EY77" s="667"/>
      <c r="EZ77" s="667"/>
      <c r="FA77" s="667"/>
      <c r="FB77" s="667"/>
      <c r="FC77" s="667"/>
      <c r="FD77" s="667"/>
      <c r="FE77" s="667"/>
      <c r="FF77" s="667"/>
      <c r="FG77" s="667"/>
      <c r="FH77" s="667"/>
      <c r="FI77" s="667"/>
      <c r="FJ77" s="667"/>
      <c r="FK77" s="667"/>
      <c r="FL77" s="667"/>
      <c r="FM77" s="667"/>
      <c r="FN77" s="667"/>
      <c r="FO77" s="667"/>
      <c r="FP77" s="667"/>
      <c r="FQ77" s="667"/>
      <c r="FR77" s="667"/>
      <c r="FS77" s="667"/>
      <c r="FT77" s="667"/>
      <c r="FU77" s="667"/>
      <c r="FV77" s="667"/>
      <c r="FW77" s="667"/>
      <c r="FX77" s="667"/>
      <c r="FY77" s="667"/>
      <c r="FZ77" s="667"/>
      <c r="GA77" s="667"/>
      <c r="GB77" s="667"/>
      <c r="GC77" s="667"/>
      <c r="GD77" s="667"/>
      <c r="GE77" s="667"/>
      <c r="GF77" s="667"/>
      <c r="GG77" s="667"/>
      <c r="GH77" s="667"/>
      <c r="GI77" s="667"/>
      <c r="GJ77" s="667"/>
      <c r="GK77" s="667"/>
      <c r="GL77" s="667"/>
      <c r="GM77" s="667"/>
      <c r="GN77" s="667"/>
      <c r="GO77" s="667"/>
      <c r="GP77" s="667"/>
      <c r="GQ77" s="667"/>
      <c r="GR77" s="667"/>
      <c r="GS77" s="667"/>
      <c r="GT77" s="667"/>
      <c r="GU77" s="667"/>
      <c r="GV77" s="667"/>
      <c r="GW77" s="667"/>
      <c r="GX77" s="667"/>
      <c r="GY77" s="667"/>
      <c r="GZ77" s="667"/>
      <c r="HA77" s="667"/>
      <c r="HB77" s="667"/>
      <c r="HC77" s="667"/>
      <c r="HD77" s="667"/>
      <c r="HE77" s="667"/>
      <c r="HF77" s="667"/>
      <c r="HG77" s="667"/>
      <c r="HH77" s="667"/>
      <c r="HI77" s="667"/>
      <c r="HJ77" s="667"/>
      <c r="HK77" s="667"/>
      <c r="HL77" s="667"/>
      <c r="HM77" s="667"/>
      <c r="HN77" s="667"/>
      <c r="HO77" s="667"/>
      <c r="HP77" s="667"/>
      <c r="HQ77" s="667"/>
      <c r="HR77" s="667"/>
      <c r="HS77" s="667"/>
      <c r="HT77" s="667"/>
      <c r="HU77" s="667"/>
      <c r="HV77" s="667"/>
      <c r="HW77" s="667"/>
    </row>
    <row r="78" spans="1:231" ht="14.1" customHeight="1">
      <c r="A78" s="667"/>
      <c r="B78" s="691"/>
      <c r="C78" s="691"/>
      <c r="E78" s="712"/>
      <c r="F78" s="667"/>
      <c r="G78" s="667"/>
      <c r="H78" s="667"/>
      <c r="I78" s="667"/>
      <c r="K78" s="683"/>
      <c r="L78" s="666"/>
      <c r="M78" s="666"/>
      <c r="N78" s="666"/>
      <c r="O78" s="666"/>
      <c r="P78" s="666"/>
      <c r="Q78" s="666"/>
      <c r="R78" s="666"/>
      <c r="S78" s="666"/>
      <c r="T78" s="666"/>
      <c r="U78" s="666"/>
      <c r="V78" s="666"/>
      <c r="W78" s="666"/>
      <c r="X78" s="667"/>
      <c r="Y78" s="667"/>
      <c r="Z78" s="667"/>
      <c r="AA78" s="667"/>
      <c r="AB78" s="667"/>
      <c r="AC78" s="667"/>
      <c r="AD78" s="667"/>
      <c r="AE78" s="667"/>
      <c r="AF78" s="667"/>
      <c r="AG78" s="667"/>
      <c r="AH78" s="667"/>
      <c r="AI78" s="667"/>
      <c r="AJ78" s="667"/>
      <c r="AK78" s="667"/>
      <c r="AL78" s="667"/>
      <c r="AM78" s="667"/>
      <c r="AN78" s="667"/>
      <c r="AO78" s="667"/>
      <c r="AP78" s="667"/>
      <c r="AQ78" s="667"/>
      <c r="AR78" s="667"/>
      <c r="AS78" s="667"/>
      <c r="AT78" s="667"/>
      <c r="AU78" s="667"/>
      <c r="AV78" s="667"/>
      <c r="AW78" s="667"/>
      <c r="AX78" s="667"/>
      <c r="AY78" s="667"/>
      <c r="AZ78" s="667"/>
      <c r="BA78" s="667"/>
      <c r="BB78" s="667"/>
      <c r="BC78" s="667"/>
      <c r="BD78" s="667"/>
      <c r="BE78" s="667"/>
      <c r="BF78" s="667"/>
      <c r="BG78" s="667"/>
      <c r="BH78" s="667"/>
      <c r="BI78" s="667"/>
      <c r="BJ78" s="667"/>
      <c r="BK78" s="667"/>
      <c r="BL78" s="667"/>
      <c r="BM78" s="667"/>
      <c r="BN78" s="667"/>
      <c r="BO78" s="667"/>
      <c r="BP78" s="667"/>
      <c r="BQ78" s="667"/>
      <c r="BR78" s="667"/>
      <c r="BS78" s="667"/>
      <c r="BT78" s="667"/>
      <c r="BU78" s="667"/>
      <c r="BV78" s="667"/>
      <c r="BW78" s="667"/>
      <c r="BX78" s="667"/>
      <c r="BY78" s="667"/>
      <c r="BZ78" s="667"/>
      <c r="CA78" s="667"/>
      <c r="CB78" s="667"/>
      <c r="CC78" s="667"/>
      <c r="CD78" s="667"/>
      <c r="CE78" s="667"/>
      <c r="CF78" s="667"/>
      <c r="CG78" s="667"/>
      <c r="CH78" s="667"/>
      <c r="CI78" s="667"/>
      <c r="CJ78" s="667"/>
      <c r="CK78" s="667"/>
      <c r="CL78" s="667"/>
      <c r="CM78" s="667"/>
      <c r="CN78" s="667"/>
      <c r="CO78" s="667"/>
      <c r="CP78" s="667"/>
      <c r="CQ78" s="667"/>
      <c r="CR78" s="667"/>
      <c r="CS78" s="667"/>
      <c r="CT78" s="667"/>
      <c r="CU78" s="667"/>
      <c r="CV78" s="667"/>
      <c r="CW78" s="667"/>
      <c r="CX78" s="667"/>
      <c r="CY78" s="667"/>
      <c r="CZ78" s="667"/>
      <c r="DA78" s="667"/>
      <c r="DB78" s="667"/>
      <c r="DC78" s="667"/>
      <c r="DD78" s="667"/>
      <c r="DE78" s="667"/>
      <c r="DF78" s="667"/>
      <c r="DG78" s="667"/>
      <c r="DH78" s="667"/>
      <c r="DI78" s="667"/>
      <c r="DJ78" s="667"/>
      <c r="DK78" s="667"/>
      <c r="DL78" s="667"/>
      <c r="DM78" s="667"/>
      <c r="DN78" s="667"/>
      <c r="DO78" s="667"/>
      <c r="DP78" s="667"/>
      <c r="DQ78" s="667"/>
      <c r="DR78" s="667"/>
      <c r="DS78" s="667"/>
      <c r="DT78" s="667"/>
      <c r="DU78" s="667"/>
      <c r="DV78" s="667"/>
      <c r="DW78" s="667"/>
      <c r="DX78" s="667"/>
      <c r="DY78" s="667"/>
      <c r="DZ78" s="667"/>
      <c r="EA78" s="667"/>
      <c r="EB78" s="667"/>
      <c r="EC78" s="667"/>
      <c r="ED78" s="667"/>
      <c r="EE78" s="667"/>
      <c r="EF78" s="667"/>
      <c r="EG78" s="667"/>
      <c r="EH78" s="667"/>
      <c r="EI78" s="667"/>
      <c r="EJ78" s="667"/>
      <c r="EK78" s="667"/>
      <c r="EL78" s="667"/>
      <c r="EM78" s="667"/>
      <c r="EN78" s="667"/>
      <c r="EO78" s="667"/>
      <c r="EP78" s="667"/>
      <c r="EQ78" s="667"/>
      <c r="ER78" s="667"/>
      <c r="ES78" s="667"/>
      <c r="ET78" s="667"/>
      <c r="EU78" s="667"/>
      <c r="EV78" s="667"/>
      <c r="EW78" s="667"/>
      <c r="EX78" s="667"/>
      <c r="EY78" s="667"/>
      <c r="EZ78" s="667"/>
      <c r="FA78" s="667"/>
      <c r="FB78" s="667"/>
      <c r="FC78" s="667"/>
      <c r="FD78" s="667"/>
      <c r="FE78" s="667"/>
      <c r="FF78" s="667"/>
      <c r="FG78" s="667"/>
      <c r="FH78" s="667"/>
      <c r="FI78" s="667"/>
      <c r="FJ78" s="667"/>
      <c r="FK78" s="667"/>
      <c r="FL78" s="667"/>
      <c r="FM78" s="667"/>
      <c r="FN78" s="667"/>
      <c r="FO78" s="667"/>
      <c r="FP78" s="667"/>
      <c r="FQ78" s="667"/>
      <c r="FR78" s="667"/>
      <c r="FS78" s="667"/>
      <c r="FT78" s="667"/>
      <c r="FU78" s="667"/>
      <c r="FV78" s="667"/>
      <c r="FW78" s="667"/>
      <c r="FX78" s="667"/>
      <c r="FY78" s="667"/>
      <c r="FZ78" s="667"/>
      <c r="GA78" s="667"/>
      <c r="GB78" s="667"/>
      <c r="GC78" s="667"/>
      <c r="GD78" s="667"/>
      <c r="GE78" s="667"/>
      <c r="GF78" s="667"/>
      <c r="GG78" s="667"/>
      <c r="GH78" s="667"/>
      <c r="GI78" s="667"/>
      <c r="GJ78" s="667"/>
      <c r="GK78" s="667"/>
      <c r="GL78" s="667"/>
      <c r="GM78" s="667"/>
      <c r="GN78" s="667"/>
      <c r="GO78" s="667"/>
      <c r="GP78" s="667"/>
      <c r="GQ78" s="667"/>
      <c r="GR78" s="667"/>
      <c r="GS78" s="667"/>
      <c r="GT78" s="667"/>
      <c r="GU78" s="667"/>
      <c r="GV78" s="667"/>
      <c r="GW78" s="667"/>
      <c r="GX78" s="667"/>
      <c r="GY78" s="667"/>
      <c r="GZ78" s="667"/>
      <c r="HA78" s="667"/>
      <c r="HB78" s="667"/>
      <c r="HC78" s="667"/>
      <c r="HD78" s="667"/>
      <c r="HE78" s="667"/>
      <c r="HF78" s="667"/>
      <c r="HG78" s="667"/>
      <c r="HH78" s="667"/>
      <c r="HI78" s="667"/>
      <c r="HJ78" s="667"/>
      <c r="HK78" s="667"/>
      <c r="HL78" s="667"/>
      <c r="HM78" s="667"/>
      <c r="HN78" s="667"/>
      <c r="HO78" s="667"/>
      <c r="HP78" s="667"/>
      <c r="HQ78" s="667"/>
      <c r="HR78" s="667"/>
      <c r="HS78" s="667"/>
      <c r="HT78" s="667"/>
      <c r="HU78" s="667"/>
      <c r="HV78" s="667"/>
      <c r="HW78" s="667"/>
    </row>
    <row r="79" spans="1:231" ht="14.1" customHeight="1">
      <c r="A79" s="667"/>
      <c r="B79" s="691"/>
      <c r="C79" s="691"/>
      <c r="E79" s="712"/>
      <c r="F79" s="667"/>
      <c r="G79" s="667"/>
      <c r="H79" s="667"/>
      <c r="I79" s="667"/>
      <c r="K79" s="683"/>
      <c r="L79" s="666"/>
      <c r="M79" s="666"/>
      <c r="N79" s="666"/>
      <c r="O79" s="666"/>
      <c r="P79" s="666"/>
      <c r="Q79" s="666"/>
      <c r="R79" s="666"/>
      <c r="S79" s="666"/>
      <c r="T79" s="666"/>
      <c r="U79" s="666"/>
      <c r="V79" s="666"/>
      <c r="W79" s="666"/>
      <c r="X79" s="667"/>
      <c r="Y79" s="667"/>
      <c r="Z79" s="667"/>
      <c r="AA79" s="667"/>
      <c r="AB79" s="667"/>
      <c r="AC79" s="667"/>
      <c r="AD79" s="667"/>
      <c r="AE79" s="667"/>
      <c r="AF79" s="667"/>
      <c r="AG79" s="667"/>
      <c r="AH79" s="667"/>
      <c r="AI79" s="667"/>
      <c r="AJ79" s="667"/>
      <c r="AK79" s="667"/>
      <c r="AL79" s="667"/>
      <c r="AM79" s="667"/>
      <c r="AN79" s="667"/>
      <c r="AO79" s="667"/>
      <c r="AP79" s="667"/>
      <c r="AQ79" s="667"/>
      <c r="AR79" s="667"/>
      <c r="AS79" s="667"/>
      <c r="AT79" s="667"/>
      <c r="AU79" s="667"/>
      <c r="AV79" s="667"/>
      <c r="AW79" s="667"/>
      <c r="AX79" s="667"/>
      <c r="AY79" s="667"/>
      <c r="AZ79" s="667"/>
      <c r="BA79" s="667"/>
      <c r="BB79" s="667"/>
      <c r="BC79" s="667"/>
      <c r="BD79" s="667"/>
      <c r="BE79" s="667"/>
      <c r="BF79" s="667"/>
      <c r="BG79" s="667"/>
      <c r="BH79" s="667"/>
      <c r="BI79" s="667"/>
      <c r="BJ79" s="667"/>
      <c r="BK79" s="667"/>
      <c r="BL79" s="667"/>
      <c r="BM79" s="667"/>
      <c r="BN79" s="667"/>
      <c r="BO79" s="667"/>
      <c r="BP79" s="667"/>
      <c r="BQ79" s="667"/>
      <c r="BR79" s="667"/>
      <c r="BS79" s="667"/>
      <c r="BT79" s="667"/>
      <c r="BU79" s="667"/>
      <c r="BV79" s="667"/>
      <c r="BW79" s="667"/>
      <c r="BX79" s="667"/>
      <c r="BY79" s="667"/>
      <c r="BZ79" s="667"/>
      <c r="CA79" s="667"/>
      <c r="CB79" s="667"/>
      <c r="CC79" s="667"/>
      <c r="CD79" s="667"/>
      <c r="CE79" s="667"/>
      <c r="CF79" s="667"/>
      <c r="CG79" s="667"/>
      <c r="CH79" s="667"/>
      <c r="CI79" s="667"/>
      <c r="CJ79" s="667"/>
      <c r="CK79" s="667"/>
      <c r="CL79" s="667"/>
      <c r="CM79" s="667"/>
      <c r="CN79" s="667"/>
      <c r="CO79" s="667"/>
      <c r="CP79" s="667"/>
      <c r="CQ79" s="667"/>
      <c r="CR79" s="667"/>
      <c r="CS79" s="667"/>
      <c r="CT79" s="667"/>
      <c r="CU79" s="667"/>
      <c r="CV79" s="667"/>
      <c r="CW79" s="667"/>
      <c r="CX79" s="667"/>
      <c r="CY79" s="667"/>
      <c r="CZ79" s="667"/>
      <c r="DA79" s="667"/>
      <c r="DB79" s="667"/>
      <c r="DC79" s="667"/>
      <c r="DD79" s="667"/>
      <c r="DE79" s="667"/>
      <c r="DF79" s="667"/>
      <c r="DG79" s="667"/>
      <c r="DH79" s="667"/>
      <c r="DI79" s="667"/>
      <c r="DJ79" s="667"/>
      <c r="DK79" s="667"/>
      <c r="DL79" s="667"/>
      <c r="DM79" s="667"/>
      <c r="DN79" s="667"/>
      <c r="DO79" s="667"/>
      <c r="DP79" s="667"/>
      <c r="DQ79" s="667"/>
      <c r="DR79" s="667"/>
      <c r="DS79" s="667"/>
      <c r="DT79" s="667"/>
      <c r="DU79" s="667"/>
      <c r="DV79" s="667"/>
      <c r="DW79" s="667"/>
      <c r="DX79" s="667"/>
      <c r="DY79" s="667"/>
      <c r="DZ79" s="667"/>
      <c r="EA79" s="667"/>
      <c r="EB79" s="667"/>
      <c r="EC79" s="667"/>
      <c r="ED79" s="667"/>
      <c r="EE79" s="667"/>
      <c r="EF79" s="667"/>
      <c r="EG79" s="667"/>
      <c r="EH79" s="667"/>
      <c r="EI79" s="667"/>
      <c r="EJ79" s="667"/>
      <c r="EK79" s="667"/>
      <c r="EL79" s="667"/>
      <c r="EM79" s="667"/>
      <c r="EN79" s="667"/>
      <c r="EO79" s="667"/>
      <c r="EP79" s="667"/>
      <c r="EQ79" s="667"/>
      <c r="ER79" s="667"/>
      <c r="ES79" s="667"/>
      <c r="ET79" s="667"/>
      <c r="EU79" s="667"/>
      <c r="EV79" s="667"/>
      <c r="EW79" s="667"/>
      <c r="EX79" s="667"/>
      <c r="EY79" s="667"/>
      <c r="EZ79" s="667"/>
      <c r="FA79" s="667"/>
      <c r="FB79" s="667"/>
      <c r="FC79" s="667"/>
      <c r="FD79" s="667"/>
      <c r="FE79" s="667"/>
      <c r="FF79" s="667"/>
      <c r="FG79" s="667"/>
      <c r="FH79" s="667"/>
      <c r="FI79" s="667"/>
      <c r="FJ79" s="667"/>
      <c r="FK79" s="667"/>
      <c r="FL79" s="667"/>
      <c r="FM79" s="667"/>
      <c r="FN79" s="667"/>
      <c r="FO79" s="667"/>
      <c r="FP79" s="667"/>
      <c r="FQ79" s="667"/>
      <c r="FR79" s="667"/>
      <c r="FS79" s="667"/>
      <c r="FT79" s="667"/>
      <c r="FU79" s="667"/>
      <c r="FV79" s="667"/>
      <c r="FW79" s="667"/>
      <c r="FX79" s="667"/>
      <c r="FY79" s="667"/>
      <c r="FZ79" s="667"/>
      <c r="GA79" s="667"/>
      <c r="GB79" s="667"/>
      <c r="GC79" s="667"/>
      <c r="GD79" s="667"/>
      <c r="GE79" s="667"/>
      <c r="GF79" s="667"/>
      <c r="GG79" s="667"/>
      <c r="GH79" s="667"/>
      <c r="GI79" s="667"/>
      <c r="GJ79" s="667"/>
      <c r="GK79" s="667"/>
      <c r="GL79" s="667"/>
      <c r="GM79" s="667"/>
      <c r="GN79" s="667"/>
      <c r="GO79" s="667"/>
      <c r="GP79" s="667"/>
      <c r="GQ79" s="667"/>
      <c r="GR79" s="667"/>
      <c r="GS79" s="667"/>
      <c r="GT79" s="667"/>
      <c r="GU79" s="667"/>
      <c r="GV79" s="667"/>
      <c r="GW79" s="667"/>
      <c r="GX79" s="667"/>
      <c r="GY79" s="667"/>
      <c r="GZ79" s="667"/>
      <c r="HA79" s="667"/>
      <c r="HB79" s="667"/>
      <c r="HC79" s="667"/>
      <c r="HD79" s="667"/>
      <c r="HE79" s="667"/>
      <c r="HF79" s="667"/>
      <c r="HG79" s="667"/>
      <c r="HH79" s="667"/>
      <c r="HI79" s="667"/>
      <c r="HJ79" s="667"/>
      <c r="HK79" s="667"/>
      <c r="HL79" s="667"/>
      <c r="HM79" s="667"/>
      <c r="HN79" s="667"/>
      <c r="HO79" s="667"/>
      <c r="HP79" s="667"/>
      <c r="HQ79" s="667"/>
      <c r="HR79" s="667"/>
      <c r="HS79" s="667"/>
      <c r="HT79" s="667"/>
      <c r="HU79" s="667"/>
      <c r="HV79" s="667"/>
      <c r="HW79" s="667"/>
    </row>
    <row r="80" spans="1:231" ht="14.1" customHeight="1">
      <c r="A80" s="667"/>
      <c r="B80" s="691"/>
      <c r="C80" s="691"/>
      <c r="E80" s="712"/>
      <c r="F80" s="667"/>
      <c r="G80" s="667"/>
      <c r="H80" s="667"/>
      <c r="I80" s="667"/>
      <c r="K80" s="683"/>
      <c r="L80" s="666"/>
      <c r="M80" s="666"/>
      <c r="N80" s="666"/>
      <c r="O80" s="666"/>
      <c r="P80" s="666"/>
      <c r="Q80" s="666"/>
      <c r="R80" s="666"/>
      <c r="S80" s="666"/>
      <c r="T80" s="666"/>
      <c r="U80" s="666"/>
      <c r="V80" s="666"/>
      <c r="W80" s="666"/>
      <c r="X80" s="667"/>
      <c r="Y80" s="667"/>
      <c r="Z80" s="667"/>
      <c r="AA80" s="667"/>
      <c r="AB80" s="667"/>
      <c r="AC80" s="667"/>
      <c r="AD80" s="667"/>
      <c r="AE80" s="667"/>
      <c r="AF80" s="667"/>
      <c r="AG80" s="667"/>
      <c r="AH80" s="667"/>
      <c r="AI80" s="667"/>
      <c r="AJ80" s="667"/>
      <c r="AK80" s="667"/>
      <c r="AL80" s="667"/>
      <c r="AM80" s="667"/>
      <c r="AN80" s="667"/>
      <c r="AO80" s="667"/>
      <c r="AP80" s="667"/>
      <c r="AQ80" s="667"/>
      <c r="AR80" s="667"/>
      <c r="AS80" s="667"/>
      <c r="AT80" s="667"/>
      <c r="AU80" s="667"/>
      <c r="AV80" s="667"/>
      <c r="AW80" s="667"/>
      <c r="AX80" s="667"/>
      <c r="AY80" s="667"/>
      <c r="AZ80" s="667"/>
      <c r="BA80" s="667"/>
      <c r="BB80" s="667"/>
      <c r="BC80" s="667"/>
      <c r="BD80" s="667"/>
      <c r="BE80" s="667"/>
      <c r="BF80" s="667"/>
      <c r="BG80" s="667"/>
      <c r="BH80" s="667"/>
      <c r="BI80" s="667"/>
      <c r="BJ80" s="667"/>
      <c r="BK80" s="667"/>
      <c r="BL80" s="667"/>
      <c r="BM80" s="667"/>
      <c r="BN80" s="667"/>
      <c r="BO80" s="667"/>
      <c r="BP80" s="667"/>
      <c r="BQ80" s="667"/>
      <c r="BR80" s="667"/>
      <c r="BS80" s="667"/>
      <c r="BT80" s="667"/>
      <c r="BU80" s="667"/>
      <c r="BV80" s="667"/>
      <c r="BW80" s="667"/>
      <c r="BX80" s="667"/>
      <c r="BY80" s="667"/>
      <c r="BZ80" s="667"/>
      <c r="CA80" s="667"/>
      <c r="CB80" s="667"/>
      <c r="CC80" s="667"/>
      <c r="CD80" s="667"/>
      <c r="CE80" s="667"/>
      <c r="CF80" s="667"/>
      <c r="CG80" s="667"/>
      <c r="CH80" s="667"/>
      <c r="CI80" s="667"/>
      <c r="CJ80" s="667"/>
      <c r="CK80" s="667"/>
      <c r="CL80" s="667"/>
      <c r="CM80" s="667"/>
      <c r="CN80" s="667"/>
      <c r="CO80" s="667"/>
      <c r="CP80" s="667"/>
      <c r="CQ80" s="667"/>
      <c r="CR80" s="667"/>
      <c r="CS80" s="667"/>
      <c r="CT80" s="667"/>
      <c r="CU80" s="667"/>
      <c r="CV80" s="667"/>
      <c r="CW80" s="667"/>
      <c r="CX80" s="667"/>
      <c r="CY80" s="667"/>
      <c r="CZ80" s="667"/>
      <c r="DA80" s="667"/>
      <c r="DB80" s="667"/>
      <c r="DC80" s="667"/>
      <c r="DD80" s="667"/>
      <c r="DE80" s="667"/>
      <c r="DF80" s="667"/>
      <c r="DG80" s="667"/>
      <c r="DH80" s="667"/>
      <c r="DI80" s="667"/>
      <c r="DJ80" s="667"/>
      <c r="DK80" s="667"/>
      <c r="DL80" s="667"/>
      <c r="DM80" s="667"/>
      <c r="DN80" s="667"/>
      <c r="DO80" s="667"/>
      <c r="DP80" s="667"/>
      <c r="DQ80" s="667"/>
      <c r="DR80" s="667"/>
      <c r="DS80" s="667"/>
      <c r="DT80" s="667"/>
      <c r="DU80" s="667"/>
      <c r="DV80" s="667"/>
      <c r="DW80" s="667"/>
      <c r="DX80" s="667"/>
      <c r="DY80" s="667"/>
      <c r="DZ80" s="667"/>
      <c r="EA80" s="667"/>
      <c r="EB80" s="667"/>
      <c r="EC80" s="667"/>
      <c r="ED80" s="667"/>
      <c r="EE80" s="667"/>
      <c r="EF80" s="667"/>
      <c r="EG80" s="667"/>
      <c r="EH80" s="667"/>
      <c r="EI80" s="667"/>
      <c r="EJ80" s="667"/>
      <c r="EK80" s="667"/>
      <c r="EL80" s="667"/>
      <c r="EM80" s="667"/>
      <c r="EN80" s="667"/>
      <c r="EO80" s="667"/>
      <c r="EP80" s="667"/>
      <c r="EQ80" s="667"/>
      <c r="ER80" s="667"/>
      <c r="ES80" s="667"/>
      <c r="ET80" s="667"/>
      <c r="EU80" s="667"/>
      <c r="EV80" s="667"/>
      <c r="EW80" s="667"/>
      <c r="EX80" s="667"/>
      <c r="EY80" s="667"/>
      <c r="EZ80" s="667"/>
      <c r="FA80" s="667"/>
      <c r="FB80" s="667"/>
      <c r="FC80" s="667"/>
      <c r="FD80" s="667"/>
      <c r="FE80" s="667"/>
      <c r="FF80" s="667"/>
      <c r="FG80" s="667"/>
      <c r="FH80" s="667"/>
      <c r="FI80" s="667"/>
      <c r="FJ80" s="667"/>
      <c r="FK80" s="667"/>
      <c r="FL80" s="667"/>
      <c r="FM80" s="667"/>
      <c r="FN80" s="667"/>
      <c r="FO80" s="667"/>
      <c r="FP80" s="667"/>
      <c r="FQ80" s="667"/>
      <c r="FR80" s="667"/>
      <c r="FS80" s="667"/>
      <c r="FT80" s="667"/>
      <c r="FU80" s="667"/>
      <c r="FV80" s="667"/>
      <c r="FW80" s="667"/>
      <c r="FX80" s="667"/>
      <c r="FY80" s="667"/>
      <c r="FZ80" s="667"/>
      <c r="GA80" s="667"/>
      <c r="GB80" s="667"/>
      <c r="GC80" s="667"/>
      <c r="GD80" s="667"/>
      <c r="GE80" s="667"/>
      <c r="GF80" s="667"/>
      <c r="GG80" s="667"/>
      <c r="GH80" s="667"/>
      <c r="GI80" s="667"/>
      <c r="GJ80" s="667"/>
      <c r="GK80" s="667"/>
      <c r="GL80" s="667"/>
      <c r="GM80" s="667"/>
      <c r="GN80" s="667"/>
      <c r="GO80" s="667"/>
      <c r="GP80" s="667"/>
      <c r="GQ80" s="667"/>
      <c r="GR80" s="667"/>
      <c r="GS80" s="667"/>
      <c r="GT80" s="667"/>
      <c r="GU80" s="667"/>
      <c r="GV80" s="667"/>
      <c r="GW80" s="667"/>
      <c r="GX80" s="667"/>
      <c r="GY80" s="667"/>
      <c r="GZ80" s="667"/>
      <c r="HA80" s="667"/>
      <c r="HB80" s="667"/>
      <c r="HC80" s="667"/>
      <c r="HD80" s="667"/>
      <c r="HE80" s="667"/>
      <c r="HF80" s="667"/>
      <c r="HG80" s="667"/>
      <c r="HH80" s="667"/>
      <c r="HI80" s="667"/>
      <c r="HJ80" s="667"/>
      <c r="HK80" s="667"/>
      <c r="HL80" s="667"/>
      <c r="HM80" s="667"/>
      <c r="HN80" s="667"/>
      <c r="HO80" s="667"/>
      <c r="HP80" s="667"/>
      <c r="HQ80" s="667"/>
      <c r="HR80" s="667"/>
      <c r="HS80" s="667"/>
      <c r="HT80" s="667"/>
      <c r="HU80" s="667"/>
      <c r="HV80" s="667"/>
      <c r="HW80" s="667"/>
    </row>
    <row r="81" spans="1:231" ht="14.1" customHeight="1">
      <c r="A81" s="667"/>
      <c r="B81" s="691"/>
      <c r="C81" s="691"/>
      <c r="E81" s="712"/>
      <c r="F81" s="667"/>
      <c r="G81" s="667"/>
      <c r="H81" s="667"/>
      <c r="I81" s="667"/>
      <c r="K81" s="683"/>
      <c r="L81" s="666"/>
      <c r="M81" s="666"/>
      <c r="N81" s="666"/>
      <c r="O81" s="666"/>
      <c r="P81" s="666"/>
      <c r="Q81" s="666"/>
      <c r="R81" s="666"/>
      <c r="S81" s="666"/>
      <c r="T81" s="666"/>
      <c r="U81" s="666"/>
      <c r="V81" s="666"/>
      <c r="W81" s="666"/>
      <c r="X81" s="667"/>
      <c r="Y81" s="667"/>
      <c r="Z81" s="667"/>
      <c r="AA81" s="667"/>
      <c r="AB81" s="667"/>
      <c r="AC81" s="667"/>
      <c r="AD81" s="667"/>
      <c r="AE81" s="667"/>
      <c r="AF81" s="667"/>
      <c r="AG81" s="667"/>
      <c r="AH81" s="667"/>
      <c r="AI81" s="667"/>
      <c r="AJ81" s="667"/>
      <c r="AK81" s="667"/>
      <c r="AL81" s="667"/>
      <c r="AM81" s="667"/>
      <c r="AN81" s="667"/>
      <c r="AO81" s="667"/>
      <c r="AP81" s="667"/>
      <c r="AQ81" s="667"/>
      <c r="AR81" s="667"/>
      <c r="AS81" s="667"/>
      <c r="AT81" s="667"/>
      <c r="AU81" s="667"/>
      <c r="AV81" s="667"/>
      <c r="AW81" s="667"/>
      <c r="AX81" s="667"/>
      <c r="AY81" s="667"/>
      <c r="AZ81" s="667"/>
      <c r="BA81" s="667"/>
      <c r="BB81" s="667"/>
      <c r="BC81" s="667"/>
      <c r="BD81" s="667"/>
      <c r="BE81" s="667"/>
      <c r="BF81" s="667"/>
      <c r="BG81" s="667"/>
      <c r="BH81" s="667"/>
      <c r="BI81" s="667"/>
      <c r="BJ81" s="667"/>
      <c r="BK81" s="667"/>
      <c r="BL81" s="667"/>
      <c r="BM81" s="667"/>
      <c r="BN81" s="667"/>
      <c r="BO81" s="667"/>
      <c r="BP81" s="667"/>
      <c r="BQ81" s="667"/>
      <c r="BR81" s="667"/>
      <c r="BS81" s="667"/>
      <c r="BT81" s="667"/>
      <c r="BU81" s="667"/>
      <c r="BV81" s="667"/>
      <c r="BW81" s="667"/>
      <c r="BX81" s="667"/>
      <c r="BY81" s="667"/>
      <c r="BZ81" s="667"/>
      <c r="CA81" s="667"/>
      <c r="CB81" s="667"/>
      <c r="CC81" s="667"/>
      <c r="CD81" s="667"/>
      <c r="CE81" s="667"/>
      <c r="CF81" s="667"/>
      <c r="CG81" s="667"/>
      <c r="CH81" s="667"/>
      <c r="CI81" s="667"/>
      <c r="CJ81" s="667"/>
      <c r="CK81" s="667"/>
      <c r="CL81" s="667"/>
      <c r="CM81" s="667"/>
      <c r="CN81" s="667"/>
      <c r="CO81" s="667"/>
      <c r="CP81" s="667"/>
      <c r="CQ81" s="667"/>
      <c r="CR81" s="667"/>
      <c r="CS81" s="667"/>
      <c r="CT81" s="667"/>
      <c r="CU81" s="667"/>
      <c r="CV81" s="667"/>
      <c r="CW81" s="667"/>
      <c r="CX81" s="667"/>
      <c r="CY81" s="667"/>
      <c r="CZ81" s="667"/>
      <c r="DA81" s="667"/>
      <c r="DB81" s="667"/>
      <c r="DC81" s="667"/>
      <c r="DD81" s="667"/>
      <c r="DE81" s="667"/>
      <c r="DF81" s="667"/>
      <c r="DG81" s="667"/>
      <c r="DH81" s="667"/>
      <c r="DI81" s="667"/>
      <c r="DJ81" s="667"/>
      <c r="DK81" s="667"/>
      <c r="DL81" s="667"/>
      <c r="DM81" s="667"/>
      <c r="DN81" s="667"/>
      <c r="DO81" s="667"/>
      <c r="DP81" s="667"/>
      <c r="DQ81" s="667"/>
      <c r="DR81" s="667"/>
      <c r="DS81" s="667"/>
      <c r="DT81" s="667"/>
      <c r="DU81" s="667"/>
      <c r="DV81" s="667"/>
      <c r="DW81" s="667"/>
      <c r="DX81" s="667"/>
      <c r="DY81" s="667"/>
      <c r="DZ81" s="667"/>
      <c r="EA81" s="667"/>
      <c r="EB81" s="667"/>
      <c r="EC81" s="667"/>
      <c r="ED81" s="667"/>
      <c r="EE81" s="667"/>
      <c r="EF81" s="667"/>
      <c r="EG81" s="667"/>
      <c r="EH81" s="667"/>
      <c r="EI81" s="667"/>
      <c r="EJ81" s="667"/>
      <c r="EK81" s="667"/>
      <c r="EL81" s="667"/>
      <c r="EM81" s="667"/>
      <c r="EN81" s="667"/>
      <c r="EO81" s="667"/>
      <c r="EP81" s="667"/>
      <c r="EQ81" s="667"/>
      <c r="ER81" s="667"/>
      <c r="ES81" s="667"/>
      <c r="ET81" s="667"/>
      <c r="EU81" s="667"/>
      <c r="EV81" s="667"/>
      <c r="EW81" s="667"/>
      <c r="EX81" s="667"/>
      <c r="EY81" s="667"/>
      <c r="EZ81" s="667"/>
      <c r="FA81" s="667"/>
      <c r="FB81" s="667"/>
      <c r="FC81" s="667"/>
      <c r="FD81" s="667"/>
      <c r="FE81" s="667"/>
      <c r="FF81" s="667"/>
      <c r="FG81" s="667"/>
      <c r="FH81" s="667"/>
      <c r="FI81" s="667"/>
      <c r="FJ81" s="667"/>
      <c r="FK81" s="667"/>
      <c r="FL81" s="667"/>
      <c r="FM81" s="667"/>
      <c r="FN81" s="667"/>
      <c r="FO81" s="667"/>
      <c r="FP81" s="667"/>
      <c r="FQ81" s="667"/>
      <c r="FR81" s="667"/>
      <c r="FS81" s="667"/>
      <c r="FT81" s="667"/>
      <c r="FU81" s="667"/>
      <c r="FV81" s="667"/>
      <c r="FW81" s="667"/>
      <c r="FX81" s="667"/>
      <c r="FY81" s="667"/>
      <c r="FZ81" s="667"/>
      <c r="GA81" s="667"/>
      <c r="GB81" s="667"/>
      <c r="GC81" s="667"/>
      <c r="GD81" s="667"/>
      <c r="GE81" s="667"/>
      <c r="GF81" s="667"/>
      <c r="GG81" s="667"/>
      <c r="GH81" s="667"/>
      <c r="GI81" s="667"/>
      <c r="GJ81" s="667"/>
      <c r="GK81" s="667"/>
      <c r="GL81" s="667"/>
      <c r="GM81" s="667"/>
      <c r="GN81" s="667"/>
      <c r="GO81" s="667"/>
      <c r="GP81" s="667"/>
      <c r="GQ81" s="667"/>
      <c r="GR81" s="667"/>
      <c r="GS81" s="667"/>
      <c r="GT81" s="667"/>
      <c r="GU81" s="667"/>
      <c r="GV81" s="667"/>
      <c r="GW81" s="667"/>
      <c r="GX81" s="667"/>
      <c r="GY81" s="667"/>
      <c r="GZ81" s="667"/>
      <c r="HA81" s="667"/>
      <c r="HB81" s="667"/>
      <c r="HC81" s="667"/>
      <c r="HD81" s="667"/>
      <c r="HE81" s="667"/>
      <c r="HF81" s="667"/>
      <c r="HG81" s="667"/>
      <c r="HH81" s="667"/>
      <c r="HI81" s="667"/>
      <c r="HJ81" s="667"/>
      <c r="HK81" s="667"/>
      <c r="HL81" s="667"/>
      <c r="HM81" s="667"/>
      <c r="HN81" s="667"/>
      <c r="HO81" s="667"/>
      <c r="HP81" s="667"/>
      <c r="HQ81" s="667"/>
      <c r="HR81" s="667"/>
      <c r="HS81" s="667"/>
      <c r="HT81" s="667"/>
      <c r="HU81" s="667"/>
      <c r="HV81" s="667"/>
      <c r="HW81" s="667"/>
    </row>
    <row r="82" spans="1:231" ht="14.1" customHeight="1">
      <c r="A82" s="667"/>
      <c r="B82" s="691"/>
      <c r="C82" s="691"/>
      <c r="E82" s="712"/>
      <c r="F82" s="667"/>
      <c r="G82" s="667"/>
      <c r="H82" s="667"/>
      <c r="I82" s="667"/>
      <c r="K82" s="683"/>
      <c r="L82" s="666"/>
      <c r="M82" s="666"/>
      <c r="N82" s="666"/>
      <c r="O82" s="666"/>
      <c r="P82" s="666"/>
      <c r="Q82" s="666"/>
      <c r="R82" s="666"/>
      <c r="S82" s="666"/>
      <c r="T82" s="666"/>
      <c r="U82" s="666"/>
      <c r="V82" s="666"/>
      <c r="W82" s="666"/>
      <c r="X82" s="667"/>
      <c r="Y82" s="667"/>
      <c r="Z82" s="667"/>
      <c r="AA82" s="667"/>
      <c r="AB82" s="667"/>
      <c r="AC82" s="667"/>
      <c r="AD82" s="667"/>
      <c r="AE82" s="667"/>
      <c r="AF82" s="667"/>
      <c r="AG82" s="667"/>
      <c r="AH82" s="667"/>
      <c r="AI82" s="667"/>
      <c r="AJ82" s="667"/>
      <c r="AK82" s="667"/>
      <c r="AL82" s="667"/>
      <c r="AM82" s="667"/>
      <c r="AN82" s="667"/>
      <c r="AO82" s="667"/>
      <c r="AP82" s="667"/>
      <c r="AQ82" s="667"/>
      <c r="AR82" s="667"/>
      <c r="AS82" s="667"/>
      <c r="AT82" s="667"/>
      <c r="AU82" s="667"/>
      <c r="AV82" s="667"/>
      <c r="AW82" s="667"/>
      <c r="AX82" s="667"/>
      <c r="AY82" s="667"/>
      <c r="AZ82" s="667"/>
      <c r="BA82" s="667"/>
      <c r="BB82" s="667"/>
      <c r="BC82" s="667"/>
      <c r="BD82" s="667"/>
      <c r="BE82" s="667"/>
      <c r="BF82" s="667"/>
      <c r="BG82" s="667"/>
      <c r="BH82" s="667"/>
      <c r="BI82" s="667"/>
      <c r="BJ82" s="667"/>
      <c r="BK82" s="667"/>
      <c r="BL82" s="667"/>
      <c r="BM82" s="667"/>
      <c r="BN82" s="667"/>
      <c r="BO82" s="667"/>
      <c r="BP82" s="667"/>
      <c r="BQ82" s="667"/>
      <c r="BR82" s="667"/>
      <c r="BS82" s="667"/>
      <c r="BT82" s="667"/>
      <c r="BU82" s="667"/>
      <c r="BV82" s="667"/>
      <c r="BW82" s="667"/>
      <c r="BX82" s="667"/>
      <c r="BY82" s="667"/>
      <c r="BZ82" s="667"/>
      <c r="CA82" s="667"/>
      <c r="CB82" s="667"/>
      <c r="CC82" s="667"/>
      <c r="CD82" s="667"/>
      <c r="CE82" s="667"/>
      <c r="CF82" s="667"/>
      <c r="CG82" s="667"/>
      <c r="CH82" s="667"/>
      <c r="CI82" s="667"/>
      <c r="CJ82" s="667"/>
      <c r="CK82" s="667"/>
      <c r="CL82" s="667"/>
      <c r="CM82" s="667"/>
      <c r="CN82" s="667"/>
      <c r="CO82" s="667"/>
      <c r="CP82" s="667"/>
      <c r="CQ82" s="667"/>
      <c r="CR82" s="667"/>
      <c r="CS82" s="667"/>
      <c r="CT82" s="667"/>
      <c r="CU82" s="667"/>
      <c r="CV82" s="667"/>
      <c r="CW82" s="667"/>
      <c r="CX82" s="667"/>
      <c r="CY82" s="667"/>
      <c r="CZ82" s="667"/>
      <c r="DA82" s="667"/>
      <c r="DB82" s="667"/>
      <c r="DC82" s="667"/>
      <c r="DD82" s="667"/>
      <c r="DE82" s="667"/>
      <c r="DF82" s="667"/>
      <c r="DG82" s="667"/>
      <c r="DH82" s="667"/>
      <c r="DI82" s="667"/>
      <c r="DJ82" s="667"/>
      <c r="DK82" s="667"/>
      <c r="DL82" s="667"/>
      <c r="DM82" s="667"/>
      <c r="DN82" s="667"/>
      <c r="DO82" s="667"/>
      <c r="DP82" s="667"/>
      <c r="DQ82" s="667"/>
      <c r="DR82" s="667"/>
      <c r="DS82" s="667"/>
      <c r="DT82" s="667"/>
      <c r="DU82" s="667"/>
      <c r="DV82" s="667"/>
      <c r="DW82" s="667"/>
      <c r="DX82" s="667"/>
      <c r="DY82" s="667"/>
      <c r="DZ82" s="667"/>
      <c r="EA82" s="667"/>
      <c r="EB82" s="667"/>
      <c r="EC82" s="667"/>
      <c r="ED82" s="667"/>
      <c r="EE82" s="667"/>
      <c r="EF82" s="667"/>
      <c r="EG82" s="667"/>
      <c r="EH82" s="667"/>
      <c r="EI82" s="667"/>
      <c r="EJ82" s="667"/>
      <c r="EK82" s="667"/>
      <c r="EL82" s="667"/>
      <c r="EM82" s="667"/>
      <c r="EN82" s="667"/>
      <c r="EO82" s="667"/>
      <c r="EP82" s="667"/>
      <c r="EQ82" s="667"/>
      <c r="ER82" s="667"/>
      <c r="ES82" s="667"/>
      <c r="ET82" s="667"/>
      <c r="EU82" s="667"/>
      <c r="EV82" s="667"/>
      <c r="EW82" s="667"/>
      <c r="EX82" s="667"/>
      <c r="EY82" s="667"/>
      <c r="EZ82" s="667"/>
      <c r="FA82" s="667"/>
      <c r="FB82" s="667"/>
      <c r="FC82" s="667"/>
      <c r="FD82" s="667"/>
      <c r="FE82" s="667"/>
      <c r="FF82" s="667"/>
      <c r="FG82" s="667"/>
      <c r="FH82" s="667"/>
      <c r="FI82" s="667"/>
      <c r="FJ82" s="667"/>
      <c r="FK82" s="667"/>
      <c r="FL82" s="667"/>
      <c r="FM82" s="667"/>
      <c r="FN82" s="667"/>
      <c r="FO82" s="667"/>
      <c r="FP82" s="667"/>
      <c r="FQ82" s="667"/>
      <c r="FR82" s="667"/>
      <c r="FS82" s="667"/>
      <c r="FT82" s="667"/>
      <c r="FU82" s="667"/>
      <c r="FV82" s="667"/>
      <c r="FW82" s="667"/>
      <c r="FX82" s="667"/>
      <c r="FY82" s="667"/>
      <c r="FZ82" s="667"/>
      <c r="GA82" s="667"/>
      <c r="GB82" s="667"/>
      <c r="GC82" s="667"/>
      <c r="GD82" s="667"/>
      <c r="GE82" s="667"/>
      <c r="GF82" s="667"/>
      <c r="GG82" s="667"/>
      <c r="GH82" s="667"/>
      <c r="GI82" s="667"/>
      <c r="GJ82" s="667"/>
      <c r="GK82" s="667"/>
      <c r="GL82" s="667"/>
      <c r="GM82" s="667"/>
      <c r="GN82" s="667"/>
      <c r="GO82" s="667"/>
      <c r="GP82" s="667"/>
      <c r="GQ82" s="667"/>
      <c r="GR82" s="667"/>
      <c r="GS82" s="667"/>
      <c r="GT82" s="667"/>
      <c r="GU82" s="667"/>
      <c r="GV82" s="667"/>
      <c r="GW82" s="667"/>
      <c r="GX82" s="667"/>
      <c r="GY82" s="667"/>
      <c r="GZ82" s="667"/>
      <c r="HA82" s="667"/>
      <c r="HB82" s="667"/>
      <c r="HC82" s="667"/>
      <c r="HD82" s="667"/>
      <c r="HE82" s="667"/>
      <c r="HF82" s="667"/>
      <c r="HG82" s="667"/>
      <c r="HH82" s="667"/>
      <c r="HI82" s="667"/>
      <c r="HJ82" s="667"/>
      <c r="HK82" s="667"/>
      <c r="HL82" s="667"/>
      <c r="HM82" s="667"/>
      <c r="HN82" s="667"/>
      <c r="HO82" s="667"/>
      <c r="HP82" s="667"/>
      <c r="HQ82" s="667"/>
      <c r="HR82" s="667"/>
      <c r="HS82" s="667"/>
      <c r="HT82" s="667"/>
      <c r="HU82" s="667"/>
      <c r="HV82" s="667"/>
      <c r="HW82" s="667"/>
    </row>
    <row r="83" spans="1:231" ht="14.1" customHeight="1">
      <c r="A83" s="667"/>
      <c r="B83" s="691"/>
      <c r="C83" s="691"/>
      <c r="E83" s="712"/>
      <c r="F83" s="667"/>
      <c r="G83" s="667"/>
      <c r="H83" s="667"/>
      <c r="I83" s="667"/>
      <c r="K83" s="683"/>
      <c r="L83" s="666"/>
      <c r="M83" s="666"/>
      <c r="N83" s="666"/>
      <c r="O83" s="666"/>
      <c r="P83" s="666"/>
      <c r="Q83" s="666"/>
      <c r="R83" s="666"/>
      <c r="S83" s="666"/>
      <c r="T83" s="666"/>
      <c r="U83" s="666"/>
      <c r="V83" s="666"/>
      <c r="W83" s="666"/>
      <c r="X83" s="667"/>
      <c r="Y83" s="667"/>
      <c r="Z83" s="667"/>
      <c r="AA83" s="667"/>
      <c r="AB83" s="667"/>
      <c r="AC83" s="667"/>
      <c r="AD83" s="667"/>
      <c r="AE83" s="667"/>
      <c r="AF83" s="667"/>
      <c r="AG83" s="667"/>
      <c r="AH83" s="667"/>
      <c r="AI83" s="667"/>
      <c r="AJ83" s="667"/>
      <c r="AK83" s="667"/>
      <c r="AL83" s="667"/>
      <c r="AM83" s="667"/>
      <c r="AN83" s="667"/>
      <c r="AO83" s="667"/>
      <c r="AP83" s="667"/>
      <c r="AQ83" s="667"/>
      <c r="AR83" s="667"/>
      <c r="AS83" s="667"/>
      <c r="AT83" s="667"/>
      <c r="AU83" s="667"/>
      <c r="AV83" s="667"/>
      <c r="AW83" s="667"/>
      <c r="AX83" s="667"/>
      <c r="AY83" s="667"/>
      <c r="AZ83" s="667"/>
      <c r="BA83" s="667"/>
      <c r="BB83" s="667"/>
      <c r="BC83" s="667"/>
      <c r="BD83" s="667"/>
      <c r="BE83" s="667"/>
      <c r="BF83" s="667"/>
      <c r="BG83" s="667"/>
      <c r="BH83" s="667"/>
      <c r="BI83" s="667"/>
      <c r="BJ83" s="667"/>
      <c r="BK83" s="667"/>
      <c r="BL83" s="667"/>
      <c r="BM83" s="667"/>
      <c r="BN83" s="667"/>
      <c r="BO83" s="667"/>
      <c r="BP83" s="667"/>
      <c r="BQ83" s="667"/>
      <c r="BR83" s="667"/>
      <c r="BS83" s="667"/>
      <c r="BT83" s="667"/>
      <c r="BU83" s="667"/>
      <c r="BV83" s="667"/>
      <c r="BW83" s="667"/>
      <c r="BX83" s="667"/>
      <c r="BY83" s="667"/>
      <c r="BZ83" s="667"/>
      <c r="CA83" s="667"/>
      <c r="CB83" s="667"/>
      <c r="CC83" s="667"/>
      <c r="CD83" s="667"/>
      <c r="CE83" s="667"/>
      <c r="CF83" s="667"/>
      <c r="CG83" s="667"/>
      <c r="CH83" s="667"/>
      <c r="CI83" s="667"/>
      <c r="CJ83" s="667"/>
      <c r="CK83" s="667"/>
      <c r="CL83" s="667"/>
      <c r="CM83" s="667"/>
      <c r="CN83" s="667"/>
      <c r="CO83" s="667"/>
      <c r="CP83" s="667"/>
      <c r="CQ83" s="667"/>
      <c r="CR83" s="667"/>
      <c r="CS83" s="667"/>
      <c r="CT83" s="667"/>
      <c r="CU83" s="667"/>
      <c r="CV83" s="667"/>
      <c r="CW83" s="667"/>
      <c r="CX83" s="667"/>
      <c r="CY83" s="667"/>
      <c r="CZ83" s="667"/>
      <c r="DA83" s="667"/>
      <c r="DB83" s="667"/>
      <c r="DC83" s="667"/>
      <c r="DD83" s="667"/>
      <c r="DE83" s="667"/>
      <c r="DF83" s="667"/>
      <c r="DG83" s="667"/>
      <c r="DH83" s="667"/>
      <c r="DI83" s="667"/>
      <c r="DJ83" s="667"/>
      <c r="DK83" s="667"/>
      <c r="DL83" s="667"/>
      <c r="DM83" s="667"/>
      <c r="DN83" s="667"/>
      <c r="DO83" s="667"/>
      <c r="DP83" s="667"/>
      <c r="DQ83" s="667"/>
      <c r="DR83" s="667"/>
      <c r="DS83" s="667"/>
      <c r="DT83" s="667"/>
      <c r="DU83" s="667"/>
      <c r="DV83" s="667"/>
      <c r="DW83" s="667"/>
      <c r="DX83" s="667"/>
      <c r="DY83" s="667"/>
      <c r="DZ83" s="667"/>
      <c r="EA83" s="667"/>
      <c r="EB83" s="667"/>
      <c r="EC83" s="667"/>
      <c r="ED83" s="667"/>
      <c r="EE83" s="667"/>
      <c r="EF83" s="667"/>
      <c r="EG83" s="667"/>
      <c r="EH83" s="667"/>
      <c r="EI83" s="667"/>
      <c r="EJ83" s="667"/>
      <c r="EK83" s="667"/>
      <c r="EL83" s="667"/>
      <c r="EM83" s="667"/>
      <c r="EN83" s="667"/>
      <c r="EO83" s="667"/>
      <c r="EP83" s="667"/>
      <c r="EQ83" s="667"/>
      <c r="ER83" s="667"/>
      <c r="ES83" s="667"/>
      <c r="ET83" s="667"/>
      <c r="EU83" s="667"/>
      <c r="EV83" s="667"/>
      <c r="EW83" s="667"/>
      <c r="EX83" s="667"/>
      <c r="EY83" s="667"/>
      <c r="EZ83" s="667"/>
      <c r="FA83" s="667"/>
      <c r="FB83" s="667"/>
      <c r="FC83" s="667"/>
      <c r="FD83" s="667"/>
      <c r="FE83" s="667"/>
      <c r="FF83" s="667"/>
      <c r="FG83" s="667"/>
      <c r="FH83" s="667"/>
      <c r="FI83" s="667"/>
      <c r="FJ83" s="667"/>
      <c r="FK83" s="667"/>
      <c r="FL83" s="667"/>
      <c r="FM83" s="667"/>
      <c r="FN83" s="667"/>
      <c r="FO83" s="667"/>
      <c r="FP83" s="667"/>
      <c r="FQ83" s="667"/>
      <c r="FR83" s="667"/>
      <c r="FS83" s="667"/>
      <c r="FT83" s="667"/>
      <c r="FU83" s="667"/>
      <c r="FV83" s="667"/>
      <c r="FW83" s="667"/>
      <c r="FX83" s="667"/>
      <c r="FY83" s="667"/>
      <c r="FZ83" s="667"/>
      <c r="GA83" s="667"/>
      <c r="GB83" s="667"/>
      <c r="GC83" s="667"/>
      <c r="GD83" s="667"/>
      <c r="GE83" s="667"/>
      <c r="GF83" s="667"/>
      <c r="GG83" s="667"/>
      <c r="GH83" s="667"/>
      <c r="GI83" s="667"/>
      <c r="GJ83" s="667"/>
      <c r="GK83" s="667"/>
      <c r="GL83" s="667"/>
      <c r="GM83" s="667"/>
      <c r="GN83" s="667"/>
      <c r="GO83" s="667"/>
      <c r="GP83" s="667"/>
      <c r="GQ83" s="667"/>
      <c r="GR83" s="667"/>
      <c r="GS83" s="667"/>
      <c r="GT83" s="667"/>
      <c r="GU83" s="667"/>
      <c r="GV83" s="667"/>
      <c r="GW83" s="667"/>
      <c r="GX83" s="667"/>
      <c r="GY83" s="667"/>
      <c r="GZ83" s="667"/>
      <c r="HA83" s="667"/>
      <c r="HB83" s="667"/>
      <c r="HC83" s="667"/>
      <c r="HD83" s="667"/>
      <c r="HE83" s="667"/>
      <c r="HF83" s="667"/>
      <c r="HG83" s="667"/>
      <c r="HH83" s="667"/>
      <c r="HI83" s="667"/>
      <c r="HJ83" s="667"/>
      <c r="HK83" s="667"/>
      <c r="HL83" s="667"/>
      <c r="HM83" s="667"/>
      <c r="HN83" s="667"/>
      <c r="HO83" s="667"/>
      <c r="HP83" s="667"/>
      <c r="HQ83" s="667"/>
      <c r="HR83" s="667"/>
      <c r="HS83" s="667"/>
      <c r="HT83" s="667"/>
      <c r="HU83" s="667"/>
      <c r="HV83" s="667"/>
      <c r="HW83" s="667"/>
    </row>
    <row r="84" spans="1:231" ht="14.1" customHeight="1">
      <c r="A84" s="667"/>
      <c r="B84" s="691"/>
      <c r="C84" s="691"/>
      <c r="E84" s="712"/>
      <c r="F84" s="667"/>
      <c r="G84" s="667"/>
      <c r="H84" s="667"/>
      <c r="I84" s="667"/>
      <c r="K84" s="683"/>
      <c r="L84" s="666"/>
      <c r="M84" s="666"/>
      <c r="N84" s="666"/>
      <c r="O84" s="666"/>
      <c r="P84" s="666"/>
      <c r="Q84" s="666"/>
      <c r="R84" s="666"/>
      <c r="S84" s="666"/>
      <c r="T84" s="666"/>
      <c r="U84" s="666"/>
      <c r="V84" s="666"/>
      <c r="W84" s="666"/>
      <c r="X84" s="667"/>
      <c r="Y84" s="667"/>
      <c r="Z84" s="667"/>
      <c r="AA84" s="667"/>
      <c r="AB84" s="667"/>
      <c r="AC84" s="667"/>
      <c r="AD84" s="667"/>
      <c r="AE84" s="667"/>
      <c r="AF84" s="667"/>
      <c r="AG84" s="667"/>
      <c r="AH84" s="667"/>
      <c r="AI84" s="667"/>
      <c r="AJ84" s="667"/>
      <c r="AK84" s="667"/>
      <c r="AL84" s="667"/>
      <c r="AM84" s="667"/>
      <c r="AN84" s="667"/>
      <c r="AO84" s="667"/>
      <c r="AP84" s="667"/>
      <c r="AQ84" s="667"/>
      <c r="AR84" s="667"/>
      <c r="AS84" s="667"/>
      <c r="AT84" s="667"/>
      <c r="AU84" s="667"/>
      <c r="AV84" s="667"/>
      <c r="AW84" s="667"/>
      <c r="AX84" s="667"/>
      <c r="AY84" s="667"/>
      <c r="AZ84" s="667"/>
      <c r="BA84" s="667"/>
      <c r="BB84" s="667"/>
      <c r="BC84" s="667"/>
      <c r="BD84" s="667"/>
      <c r="BE84" s="667"/>
      <c r="BF84" s="667"/>
      <c r="BG84" s="667"/>
      <c r="BH84" s="667"/>
      <c r="BI84" s="667"/>
      <c r="BJ84" s="667"/>
      <c r="BK84" s="667"/>
      <c r="BL84" s="667"/>
      <c r="BM84" s="667"/>
      <c r="BN84" s="667"/>
      <c r="BO84" s="667"/>
      <c r="BP84" s="667"/>
      <c r="BQ84" s="667"/>
      <c r="BR84" s="667"/>
      <c r="BS84" s="667"/>
      <c r="BT84" s="667"/>
      <c r="BU84" s="667"/>
      <c r="BV84" s="667"/>
      <c r="BW84" s="667"/>
      <c r="BX84" s="667"/>
      <c r="BY84" s="667"/>
      <c r="BZ84" s="667"/>
      <c r="CA84" s="667"/>
      <c r="CB84" s="667"/>
      <c r="CC84" s="667"/>
      <c r="CD84" s="667"/>
      <c r="CE84" s="667"/>
      <c r="CF84" s="667"/>
      <c r="CG84" s="667"/>
      <c r="CH84" s="667"/>
      <c r="CI84" s="667"/>
      <c r="CJ84" s="667"/>
      <c r="CK84" s="667"/>
      <c r="CL84" s="667"/>
      <c r="CM84" s="667"/>
      <c r="CN84" s="667"/>
      <c r="CO84" s="667"/>
      <c r="CP84" s="667"/>
      <c r="CQ84" s="667"/>
      <c r="CR84" s="667"/>
      <c r="CS84" s="667"/>
      <c r="CT84" s="667"/>
      <c r="CU84" s="667"/>
      <c r="CV84" s="667"/>
      <c r="CW84" s="667"/>
      <c r="CX84" s="667"/>
      <c r="CY84" s="667"/>
      <c r="CZ84" s="667"/>
      <c r="DA84" s="667"/>
      <c r="DB84" s="667"/>
      <c r="DC84" s="667"/>
      <c r="DD84" s="667"/>
      <c r="DE84" s="667"/>
      <c r="DF84" s="667"/>
      <c r="DG84" s="667"/>
      <c r="DH84" s="667"/>
      <c r="DI84" s="667"/>
      <c r="DJ84" s="667"/>
      <c r="DK84" s="667"/>
      <c r="DL84" s="667"/>
      <c r="DM84" s="667"/>
      <c r="DN84" s="667"/>
      <c r="DO84" s="667"/>
      <c r="DP84" s="667"/>
      <c r="DQ84" s="667"/>
      <c r="DR84" s="667"/>
      <c r="DS84" s="667"/>
      <c r="DT84" s="667"/>
      <c r="DU84" s="667"/>
      <c r="DV84" s="667"/>
      <c r="DW84" s="667"/>
      <c r="DX84" s="667"/>
      <c r="DY84" s="667"/>
      <c r="DZ84" s="667"/>
      <c r="EA84" s="667"/>
      <c r="EB84" s="667"/>
      <c r="EC84" s="667"/>
      <c r="ED84" s="667"/>
      <c r="EE84" s="667"/>
      <c r="EF84" s="667"/>
      <c r="EG84" s="667"/>
      <c r="EH84" s="667"/>
      <c r="EI84" s="667"/>
      <c r="EJ84" s="667"/>
      <c r="EK84" s="667"/>
      <c r="EL84" s="667"/>
      <c r="EM84" s="667"/>
      <c r="EN84" s="667"/>
      <c r="EO84" s="667"/>
      <c r="EP84" s="667"/>
      <c r="EQ84" s="667"/>
      <c r="ER84" s="667"/>
      <c r="ES84" s="667"/>
      <c r="ET84" s="667"/>
      <c r="EU84" s="667"/>
      <c r="EV84" s="667"/>
      <c r="EW84" s="667"/>
      <c r="EX84" s="667"/>
      <c r="EY84" s="667"/>
      <c r="EZ84" s="667"/>
      <c r="FA84" s="667"/>
      <c r="FB84" s="667"/>
      <c r="FC84" s="667"/>
      <c r="FD84" s="667"/>
      <c r="FE84" s="667"/>
      <c r="FF84" s="667"/>
      <c r="FG84" s="667"/>
      <c r="FH84" s="667"/>
      <c r="FI84" s="667"/>
      <c r="FJ84" s="667"/>
      <c r="FK84" s="667"/>
      <c r="FL84" s="667"/>
      <c r="FM84" s="667"/>
      <c r="FN84" s="667"/>
      <c r="FO84" s="667"/>
      <c r="FP84" s="667"/>
      <c r="FQ84" s="667"/>
      <c r="FR84" s="667"/>
      <c r="FS84" s="667"/>
      <c r="FT84" s="667"/>
      <c r="FU84" s="667"/>
      <c r="FV84" s="667"/>
      <c r="FW84" s="667"/>
      <c r="FX84" s="667"/>
      <c r="FY84" s="667"/>
      <c r="FZ84" s="667"/>
      <c r="GA84" s="667"/>
      <c r="GB84" s="667"/>
      <c r="GC84" s="667"/>
      <c r="GD84" s="667"/>
      <c r="GE84" s="667"/>
      <c r="GF84" s="667"/>
      <c r="GG84" s="667"/>
      <c r="GH84" s="667"/>
      <c r="GI84" s="667"/>
      <c r="GJ84" s="667"/>
      <c r="GK84" s="667"/>
      <c r="GL84" s="667"/>
      <c r="GM84" s="667"/>
      <c r="GN84" s="667"/>
      <c r="GO84" s="667"/>
      <c r="GP84" s="667"/>
      <c r="GQ84" s="667"/>
      <c r="GR84" s="667"/>
      <c r="GS84" s="667"/>
      <c r="GT84" s="667"/>
      <c r="GU84" s="667"/>
      <c r="GV84" s="667"/>
      <c r="GW84" s="667"/>
      <c r="GX84" s="667"/>
      <c r="GY84" s="667"/>
      <c r="GZ84" s="667"/>
      <c r="HA84" s="667"/>
      <c r="HB84" s="667"/>
      <c r="HC84" s="667"/>
      <c r="HD84" s="667"/>
      <c r="HE84" s="667"/>
      <c r="HF84" s="667"/>
      <c r="HG84" s="667"/>
      <c r="HH84" s="667"/>
      <c r="HI84" s="667"/>
      <c r="HJ84" s="667"/>
      <c r="HK84" s="667"/>
      <c r="HL84" s="667"/>
      <c r="HM84" s="667"/>
      <c r="HN84" s="667"/>
      <c r="HO84" s="667"/>
      <c r="HP84" s="667"/>
      <c r="HQ84" s="667"/>
      <c r="HR84" s="667"/>
      <c r="HS84" s="667"/>
      <c r="HT84" s="667"/>
      <c r="HU84" s="667"/>
      <c r="HV84" s="667"/>
      <c r="HW84" s="667"/>
    </row>
    <row r="85" spans="1:231" ht="14.1" customHeight="1">
      <c r="A85" s="667"/>
      <c r="B85" s="691"/>
      <c r="C85" s="691"/>
      <c r="E85" s="712"/>
      <c r="F85" s="667"/>
      <c r="G85" s="667"/>
      <c r="H85" s="667"/>
      <c r="I85" s="667"/>
      <c r="K85" s="683"/>
      <c r="L85" s="666"/>
      <c r="M85" s="666"/>
      <c r="N85" s="666"/>
      <c r="O85" s="666"/>
      <c r="P85" s="666"/>
      <c r="Q85" s="666"/>
      <c r="R85" s="666"/>
      <c r="S85" s="666"/>
      <c r="T85" s="666"/>
      <c r="U85" s="666"/>
      <c r="V85" s="666"/>
      <c r="W85" s="666"/>
      <c r="X85" s="667"/>
      <c r="Y85" s="667"/>
      <c r="Z85" s="667"/>
      <c r="AA85" s="667"/>
      <c r="AB85" s="667"/>
      <c r="AC85" s="667"/>
      <c r="AD85" s="667"/>
      <c r="AE85" s="667"/>
      <c r="AF85" s="667"/>
      <c r="AG85" s="667"/>
      <c r="AH85" s="667"/>
      <c r="AI85" s="667"/>
      <c r="AJ85" s="667"/>
      <c r="AK85" s="667"/>
      <c r="AL85" s="667"/>
      <c r="AM85" s="667"/>
      <c r="AN85" s="667"/>
      <c r="AO85" s="667"/>
      <c r="AP85" s="667"/>
      <c r="AQ85" s="667"/>
      <c r="AR85" s="667"/>
      <c r="AS85" s="667"/>
      <c r="AT85" s="667"/>
      <c r="AU85" s="667"/>
      <c r="AV85" s="667"/>
      <c r="AW85" s="667"/>
      <c r="AX85" s="667"/>
      <c r="AY85" s="667"/>
      <c r="AZ85" s="667"/>
      <c r="BA85" s="667"/>
      <c r="BB85" s="667"/>
      <c r="BC85" s="667"/>
      <c r="BD85" s="667"/>
      <c r="BE85" s="667"/>
      <c r="BF85" s="667"/>
      <c r="BG85" s="667"/>
      <c r="BH85" s="667"/>
      <c r="BI85" s="667"/>
      <c r="BJ85" s="667"/>
      <c r="BK85" s="667"/>
      <c r="BL85" s="667"/>
      <c r="BM85" s="667"/>
      <c r="BN85" s="667"/>
      <c r="BO85" s="667"/>
      <c r="BP85" s="667"/>
      <c r="BQ85" s="667"/>
      <c r="BR85" s="667"/>
      <c r="BS85" s="667"/>
      <c r="BT85" s="667"/>
      <c r="BU85" s="667"/>
      <c r="BV85" s="667"/>
      <c r="BW85" s="667"/>
      <c r="BX85" s="667"/>
      <c r="BY85" s="667"/>
      <c r="BZ85" s="667"/>
      <c r="CA85" s="667"/>
      <c r="CB85" s="667"/>
      <c r="CC85" s="667"/>
      <c r="CD85" s="667"/>
      <c r="CE85" s="667"/>
      <c r="CF85" s="667"/>
      <c r="CG85" s="667"/>
      <c r="CH85" s="667"/>
      <c r="CI85" s="667"/>
      <c r="CJ85" s="667"/>
      <c r="CK85" s="667"/>
      <c r="CL85" s="667"/>
      <c r="CM85" s="667"/>
      <c r="CN85" s="667"/>
      <c r="CO85" s="667"/>
      <c r="CP85" s="667"/>
      <c r="CQ85" s="667"/>
      <c r="CR85" s="667"/>
      <c r="CS85" s="667"/>
      <c r="CT85" s="667"/>
      <c r="CU85" s="667"/>
      <c r="CV85" s="667"/>
      <c r="CW85" s="667"/>
      <c r="CX85" s="667"/>
      <c r="CY85" s="667"/>
      <c r="CZ85" s="667"/>
      <c r="DA85" s="667"/>
      <c r="DB85" s="667"/>
      <c r="DC85" s="667"/>
      <c r="DD85" s="667"/>
      <c r="DE85" s="667"/>
      <c r="DF85" s="667"/>
      <c r="DG85" s="667"/>
      <c r="DH85" s="667"/>
      <c r="DI85" s="667"/>
      <c r="DJ85" s="667"/>
      <c r="DK85" s="667"/>
      <c r="DL85" s="667"/>
      <c r="DM85" s="667"/>
      <c r="DN85" s="667"/>
      <c r="DO85" s="667"/>
      <c r="DP85" s="667"/>
      <c r="DQ85" s="667"/>
      <c r="DR85" s="667"/>
      <c r="DS85" s="667"/>
      <c r="DT85" s="667"/>
      <c r="DU85" s="667"/>
      <c r="DV85" s="667"/>
      <c r="DW85" s="667"/>
      <c r="DX85" s="667"/>
      <c r="DY85" s="667"/>
      <c r="DZ85" s="667"/>
      <c r="EA85" s="667"/>
      <c r="EB85" s="667"/>
      <c r="EC85" s="667"/>
      <c r="ED85" s="667"/>
      <c r="EE85" s="667"/>
      <c r="EF85" s="667"/>
      <c r="EG85" s="667"/>
      <c r="EH85" s="667"/>
      <c r="EI85" s="667"/>
      <c r="EJ85" s="667"/>
      <c r="EK85" s="667"/>
      <c r="EL85" s="667"/>
      <c r="EM85" s="667"/>
      <c r="EN85" s="667"/>
      <c r="EO85" s="667"/>
      <c r="EP85" s="667"/>
      <c r="EQ85" s="667"/>
      <c r="ER85" s="667"/>
      <c r="ES85" s="667"/>
      <c r="ET85" s="667"/>
      <c r="EU85" s="667"/>
      <c r="EV85" s="667"/>
      <c r="EW85" s="667"/>
      <c r="EX85" s="667"/>
      <c r="EY85" s="667"/>
      <c r="EZ85" s="667"/>
      <c r="FA85" s="667"/>
      <c r="FB85" s="667"/>
      <c r="FC85" s="667"/>
      <c r="FD85" s="667"/>
      <c r="FE85" s="667"/>
      <c r="FF85" s="667"/>
      <c r="FG85" s="667"/>
      <c r="FH85" s="667"/>
      <c r="FI85" s="667"/>
      <c r="FJ85" s="667"/>
      <c r="FK85" s="667"/>
      <c r="FL85" s="667"/>
      <c r="FM85" s="667"/>
      <c r="FN85" s="667"/>
      <c r="FO85" s="667"/>
      <c r="FP85" s="667"/>
      <c r="FQ85" s="667"/>
      <c r="FR85" s="667"/>
      <c r="FS85" s="667"/>
      <c r="FT85" s="667"/>
      <c r="FU85" s="667"/>
      <c r="FV85" s="667"/>
      <c r="FW85" s="667"/>
      <c r="FX85" s="667"/>
      <c r="FY85" s="667"/>
      <c r="FZ85" s="667"/>
      <c r="GA85" s="667"/>
      <c r="GB85" s="667"/>
      <c r="GC85" s="667"/>
      <c r="GD85" s="667"/>
      <c r="GE85" s="667"/>
      <c r="GF85" s="667"/>
      <c r="GG85" s="667"/>
      <c r="GH85" s="667"/>
      <c r="GI85" s="667"/>
      <c r="GJ85" s="667"/>
      <c r="GK85" s="667"/>
      <c r="GL85" s="667"/>
      <c r="GM85" s="667"/>
      <c r="GN85" s="667"/>
      <c r="GO85" s="667"/>
      <c r="GP85" s="667"/>
      <c r="GQ85" s="667"/>
      <c r="GR85" s="667"/>
      <c r="GS85" s="667"/>
      <c r="GT85" s="667"/>
      <c r="GU85" s="667"/>
      <c r="GV85" s="667"/>
      <c r="GW85" s="667"/>
      <c r="GX85" s="667"/>
      <c r="GY85" s="667"/>
      <c r="GZ85" s="667"/>
      <c r="HA85" s="667"/>
      <c r="HB85" s="667"/>
      <c r="HC85" s="667"/>
      <c r="HD85" s="667"/>
      <c r="HE85" s="667"/>
      <c r="HF85" s="667"/>
      <c r="HG85" s="667"/>
      <c r="HH85" s="667"/>
      <c r="HI85" s="667"/>
      <c r="HJ85" s="667"/>
      <c r="HK85" s="667"/>
      <c r="HL85" s="667"/>
      <c r="HM85" s="667"/>
      <c r="HN85" s="667"/>
      <c r="HO85" s="667"/>
      <c r="HP85" s="667"/>
      <c r="HQ85" s="667"/>
      <c r="HR85" s="667"/>
      <c r="HS85" s="667"/>
      <c r="HT85" s="667"/>
      <c r="HU85" s="667"/>
      <c r="HV85" s="667"/>
      <c r="HW85" s="667"/>
    </row>
    <row r="86" spans="1:231" ht="14.1" customHeight="1">
      <c r="A86" s="667"/>
      <c r="B86" s="691"/>
      <c r="C86" s="691"/>
      <c r="E86" s="712"/>
      <c r="F86" s="667"/>
      <c r="G86" s="667"/>
      <c r="H86" s="667"/>
      <c r="I86" s="667"/>
      <c r="K86" s="683"/>
      <c r="L86" s="666"/>
      <c r="M86" s="666"/>
      <c r="N86" s="666"/>
      <c r="O86" s="666"/>
      <c r="P86" s="666"/>
      <c r="Q86" s="666"/>
      <c r="R86" s="666"/>
      <c r="S86" s="666"/>
      <c r="T86" s="666"/>
      <c r="U86" s="666"/>
      <c r="V86" s="666"/>
      <c r="W86" s="666"/>
      <c r="X86" s="667"/>
      <c r="Y86" s="667"/>
      <c r="Z86" s="667"/>
      <c r="AA86" s="667"/>
      <c r="AB86" s="667"/>
      <c r="AC86" s="667"/>
      <c r="AD86" s="667"/>
      <c r="AE86" s="667"/>
      <c r="AF86" s="667"/>
      <c r="AG86" s="667"/>
      <c r="AH86" s="667"/>
      <c r="AI86" s="667"/>
      <c r="AJ86" s="667"/>
      <c r="AK86" s="667"/>
      <c r="AL86" s="667"/>
      <c r="AM86" s="667"/>
      <c r="AN86" s="667"/>
      <c r="AO86" s="667"/>
      <c r="AP86" s="667"/>
      <c r="AQ86" s="667"/>
      <c r="AR86" s="667"/>
      <c r="AS86" s="667"/>
      <c r="AT86" s="667"/>
      <c r="AU86" s="667"/>
      <c r="AV86" s="667"/>
      <c r="AW86" s="667"/>
      <c r="AX86" s="667"/>
      <c r="AY86" s="667"/>
      <c r="AZ86" s="667"/>
      <c r="BA86" s="667"/>
      <c r="BB86" s="667"/>
      <c r="BC86" s="667"/>
      <c r="BD86" s="667"/>
      <c r="BE86" s="667"/>
      <c r="BF86" s="667"/>
      <c r="BG86" s="667"/>
      <c r="BH86" s="667"/>
      <c r="BI86" s="667"/>
      <c r="BJ86" s="667"/>
      <c r="BK86" s="667"/>
      <c r="BL86" s="667"/>
      <c r="BM86" s="667"/>
      <c r="BN86" s="667"/>
      <c r="BO86" s="667"/>
      <c r="BP86" s="667"/>
      <c r="BQ86" s="667"/>
      <c r="BR86" s="667"/>
      <c r="BS86" s="667"/>
      <c r="BT86" s="667"/>
      <c r="BU86" s="667"/>
      <c r="BV86" s="667"/>
      <c r="BW86" s="667"/>
      <c r="BX86" s="667"/>
      <c r="BY86" s="667"/>
      <c r="BZ86" s="667"/>
      <c r="CA86" s="667"/>
      <c r="CB86" s="667"/>
      <c r="CC86" s="667"/>
      <c r="CD86" s="667"/>
      <c r="CE86" s="667"/>
      <c r="CF86" s="667"/>
      <c r="CG86" s="667"/>
      <c r="CH86" s="667"/>
      <c r="CI86" s="667"/>
      <c r="CJ86" s="667"/>
      <c r="CK86" s="667"/>
      <c r="CL86" s="667"/>
      <c r="CM86" s="667"/>
      <c r="CN86" s="667"/>
      <c r="CO86" s="667"/>
      <c r="CP86" s="667"/>
      <c r="CQ86" s="667"/>
      <c r="CR86" s="667"/>
      <c r="CS86" s="667"/>
      <c r="CT86" s="667"/>
      <c r="CU86" s="667"/>
      <c r="CV86" s="667"/>
      <c r="CW86" s="667"/>
      <c r="CX86" s="667"/>
      <c r="CY86" s="667"/>
      <c r="CZ86" s="667"/>
      <c r="DA86" s="667"/>
      <c r="DB86" s="667"/>
      <c r="DC86" s="667"/>
      <c r="DD86" s="667"/>
      <c r="DE86" s="667"/>
      <c r="DF86" s="667"/>
      <c r="DG86" s="667"/>
      <c r="DH86" s="667"/>
      <c r="DI86" s="667"/>
      <c r="DJ86" s="667"/>
      <c r="DK86" s="667"/>
      <c r="DL86" s="667"/>
      <c r="DM86" s="667"/>
      <c r="DN86" s="667"/>
      <c r="DO86" s="667"/>
      <c r="DP86" s="667"/>
      <c r="DQ86" s="667"/>
      <c r="DR86" s="667"/>
      <c r="DS86" s="667"/>
      <c r="DT86" s="667"/>
      <c r="DU86" s="667"/>
      <c r="DV86" s="667"/>
      <c r="DW86" s="667"/>
      <c r="DX86" s="667"/>
      <c r="DY86" s="667"/>
      <c r="DZ86" s="667"/>
      <c r="EA86" s="667"/>
      <c r="EB86" s="667"/>
      <c r="EC86" s="667"/>
      <c r="ED86" s="667"/>
      <c r="EE86" s="667"/>
      <c r="EF86" s="667"/>
      <c r="EG86" s="667"/>
      <c r="EH86" s="667"/>
      <c r="EI86" s="667"/>
      <c r="EJ86" s="667"/>
      <c r="EK86" s="667"/>
      <c r="EL86" s="667"/>
      <c r="EM86" s="667"/>
      <c r="EN86" s="667"/>
      <c r="EO86" s="667"/>
      <c r="EP86" s="667"/>
      <c r="EQ86" s="667"/>
      <c r="ER86" s="667"/>
      <c r="ES86" s="667"/>
      <c r="ET86" s="667"/>
      <c r="EU86" s="667"/>
      <c r="EV86" s="667"/>
      <c r="EW86" s="667"/>
      <c r="EX86" s="667"/>
      <c r="EY86" s="667"/>
      <c r="EZ86" s="667"/>
      <c r="FA86" s="667"/>
      <c r="FB86" s="667"/>
      <c r="FC86" s="667"/>
      <c r="FD86" s="667"/>
      <c r="FE86" s="667"/>
      <c r="FF86" s="667"/>
      <c r="FG86" s="667"/>
      <c r="FH86" s="667"/>
      <c r="FI86" s="667"/>
      <c r="FJ86" s="667"/>
      <c r="FK86" s="667"/>
      <c r="FL86" s="667"/>
      <c r="FM86" s="667"/>
      <c r="FN86" s="667"/>
      <c r="FO86" s="667"/>
      <c r="FP86" s="667"/>
      <c r="FQ86" s="667"/>
      <c r="FR86" s="667"/>
      <c r="FS86" s="667"/>
      <c r="FT86" s="667"/>
      <c r="FU86" s="667"/>
      <c r="FV86" s="667"/>
      <c r="FW86" s="667"/>
      <c r="FX86" s="667"/>
      <c r="FY86" s="667"/>
      <c r="FZ86" s="667"/>
      <c r="GA86" s="667"/>
      <c r="GB86" s="667"/>
      <c r="GC86" s="667"/>
      <c r="GD86" s="667"/>
      <c r="GE86" s="667"/>
      <c r="GF86" s="667"/>
      <c r="GG86" s="667"/>
      <c r="GH86" s="667"/>
      <c r="GI86" s="667"/>
      <c r="GJ86" s="667"/>
      <c r="GK86" s="667"/>
      <c r="GL86" s="667"/>
      <c r="GM86" s="667"/>
      <c r="GN86" s="667"/>
      <c r="GO86" s="667"/>
      <c r="GP86" s="667"/>
      <c r="GQ86" s="667"/>
      <c r="GR86" s="667"/>
      <c r="GS86" s="667"/>
      <c r="GT86" s="667"/>
      <c r="GU86" s="667"/>
      <c r="GV86" s="667"/>
      <c r="GW86" s="667"/>
      <c r="GX86" s="667"/>
      <c r="GY86" s="667"/>
      <c r="GZ86" s="667"/>
      <c r="HA86" s="667"/>
      <c r="HB86" s="667"/>
      <c r="HC86" s="667"/>
      <c r="HD86" s="667"/>
      <c r="HE86" s="667"/>
      <c r="HF86" s="667"/>
      <c r="HG86" s="667"/>
      <c r="HH86" s="667"/>
      <c r="HI86" s="667"/>
      <c r="HJ86" s="667"/>
      <c r="HK86" s="667"/>
      <c r="HL86" s="667"/>
      <c r="HM86" s="667"/>
      <c r="HN86" s="667"/>
      <c r="HO86" s="667"/>
      <c r="HP86" s="667"/>
      <c r="HQ86" s="667"/>
      <c r="HR86" s="667"/>
      <c r="HS86" s="667"/>
      <c r="HT86" s="667"/>
      <c r="HU86" s="667"/>
      <c r="HV86" s="667"/>
      <c r="HW86" s="667"/>
    </row>
    <row r="87" spans="1:231" ht="14.1" customHeight="1">
      <c r="A87" s="667"/>
      <c r="B87" s="691"/>
      <c r="C87" s="691"/>
      <c r="E87" s="712"/>
      <c r="F87" s="667"/>
      <c r="G87" s="667"/>
      <c r="H87" s="667"/>
      <c r="I87" s="667"/>
      <c r="K87" s="683"/>
      <c r="L87" s="666"/>
      <c r="M87" s="666"/>
      <c r="N87" s="666"/>
      <c r="O87" s="666"/>
      <c r="P87" s="666"/>
      <c r="Q87" s="666"/>
      <c r="R87" s="666"/>
      <c r="S87" s="666"/>
      <c r="T87" s="666"/>
      <c r="U87" s="666"/>
      <c r="V87" s="666"/>
      <c r="W87" s="666"/>
      <c r="X87" s="667"/>
      <c r="Y87" s="667"/>
      <c r="Z87" s="667"/>
      <c r="AA87" s="667"/>
      <c r="AB87" s="667"/>
      <c r="AC87" s="667"/>
      <c r="AD87" s="667"/>
      <c r="AE87" s="667"/>
      <c r="AF87" s="667"/>
      <c r="AG87" s="667"/>
      <c r="AH87" s="667"/>
      <c r="AI87" s="667"/>
      <c r="AJ87" s="667"/>
      <c r="AK87" s="667"/>
      <c r="AL87" s="667"/>
      <c r="AM87" s="667"/>
      <c r="AN87" s="667"/>
      <c r="AO87" s="667"/>
      <c r="AP87" s="667"/>
      <c r="AQ87" s="667"/>
      <c r="AR87" s="667"/>
      <c r="AS87" s="667"/>
      <c r="AT87" s="667"/>
      <c r="AU87" s="667"/>
      <c r="AV87" s="667"/>
      <c r="AW87" s="667"/>
      <c r="AX87" s="667"/>
      <c r="AY87" s="667"/>
      <c r="AZ87" s="667"/>
      <c r="BA87" s="667"/>
      <c r="BB87" s="667"/>
      <c r="BC87" s="667"/>
      <c r="BD87" s="667"/>
      <c r="BE87" s="667"/>
      <c r="BF87" s="667"/>
      <c r="BG87" s="667"/>
      <c r="BH87" s="667"/>
      <c r="BI87" s="667"/>
      <c r="BJ87" s="667"/>
      <c r="BK87" s="667"/>
      <c r="BL87" s="667"/>
      <c r="BM87" s="667"/>
      <c r="BN87" s="667"/>
      <c r="BO87" s="667"/>
      <c r="BP87" s="667"/>
      <c r="BQ87" s="667"/>
      <c r="BR87" s="667"/>
      <c r="BS87" s="667"/>
      <c r="BT87" s="667"/>
      <c r="BU87" s="667"/>
      <c r="BV87" s="667"/>
      <c r="BW87" s="667"/>
      <c r="BX87" s="667"/>
      <c r="BY87" s="667"/>
      <c r="BZ87" s="667"/>
      <c r="CA87" s="667"/>
      <c r="CB87" s="667"/>
      <c r="CC87" s="667"/>
      <c r="CD87" s="667"/>
      <c r="CE87" s="667"/>
      <c r="CF87" s="667"/>
      <c r="CG87" s="667"/>
      <c r="CH87" s="667"/>
      <c r="CI87" s="667"/>
      <c r="CJ87" s="667"/>
      <c r="CK87" s="667"/>
      <c r="CL87" s="667"/>
      <c r="CM87" s="667"/>
      <c r="CN87" s="667"/>
      <c r="CO87" s="667"/>
      <c r="CP87" s="667"/>
      <c r="CQ87" s="667"/>
      <c r="CR87" s="667"/>
      <c r="CS87" s="667"/>
      <c r="CT87" s="667"/>
      <c r="CU87" s="667"/>
      <c r="CV87" s="667"/>
      <c r="CW87" s="667"/>
      <c r="CX87" s="667"/>
      <c r="CY87" s="667"/>
      <c r="CZ87" s="667"/>
      <c r="DA87" s="667"/>
      <c r="DB87" s="667"/>
      <c r="DC87" s="667"/>
      <c r="DD87" s="667"/>
      <c r="DE87" s="667"/>
      <c r="DF87" s="667"/>
      <c r="DG87" s="667"/>
      <c r="DH87" s="667"/>
      <c r="DI87" s="667"/>
      <c r="DJ87" s="667"/>
      <c r="DK87" s="667"/>
      <c r="DL87" s="667"/>
      <c r="DM87" s="667"/>
      <c r="DN87" s="667"/>
      <c r="DO87" s="667"/>
      <c r="DP87" s="667"/>
      <c r="DQ87" s="667"/>
      <c r="DR87" s="667"/>
      <c r="DS87" s="667"/>
      <c r="DT87" s="667"/>
      <c r="DU87" s="667"/>
      <c r="DV87" s="667"/>
      <c r="DW87" s="667"/>
      <c r="DX87" s="667"/>
      <c r="DY87" s="667"/>
      <c r="DZ87" s="667"/>
      <c r="EA87" s="667"/>
      <c r="EB87" s="667"/>
      <c r="EC87" s="667"/>
      <c r="ED87" s="667"/>
      <c r="EE87" s="667"/>
      <c r="EF87" s="667"/>
      <c r="EG87" s="667"/>
      <c r="EH87" s="667"/>
      <c r="EI87" s="667"/>
      <c r="EJ87" s="667"/>
      <c r="EK87" s="667"/>
      <c r="EL87" s="667"/>
      <c r="EM87" s="667"/>
      <c r="EN87" s="667"/>
      <c r="EO87" s="667"/>
      <c r="EP87" s="667"/>
      <c r="EQ87" s="667"/>
      <c r="ER87" s="667"/>
      <c r="ES87" s="667"/>
      <c r="ET87" s="667"/>
      <c r="EU87" s="667"/>
      <c r="EV87" s="667"/>
      <c r="EW87" s="667"/>
      <c r="EX87" s="667"/>
      <c r="EY87" s="667"/>
      <c r="EZ87" s="667"/>
      <c r="FA87" s="667"/>
      <c r="FB87" s="667"/>
      <c r="FC87" s="667"/>
      <c r="FD87" s="667"/>
      <c r="FE87" s="667"/>
      <c r="FF87" s="667"/>
      <c r="FG87" s="667"/>
      <c r="FH87" s="667"/>
      <c r="FI87" s="667"/>
      <c r="FJ87" s="667"/>
      <c r="FK87" s="667"/>
      <c r="FL87" s="667"/>
      <c r="FM87" s="667"/>
      <c r="FN87" s="667"/>
      <c r="FO87" s="667"/>
      <c r="FP87" s="667"/>
      <c r="FQ87" s="667"/>
      <c r="FR87" s="667"/>
      <c r="FS87" s="667"/>
      <c r="FT87" s="667"/>
      <c r="FU87" s="667"/>
      <c r="FV87" s="667"/>
      <c r="FW87" s="667"/>
      <c r="FX87" s="667"/>
      <c r="FY87" s="667"/>
      <c r="FZ87" s="667"/>
      <c r="GA87" s="667"/>
      <c r="GB87" s="667"/>
      <c r="GC87" s="667"/>
      <c r="GD87" s="667"/>
      <c r="GE87" s="667"/>
      <c r="GF87" s="667"/>
      <c r="GG87" s="667"/>
      <c r="GH87" s="667"/>
      <c r="GI87" s="667"/>
      <c r="GJ87" s="667"/>
      <c r="GK87" s="667"/>
      <c r="GL87" s="667"/>
      <c r="GM87" s="667"/>
      <c r="GN87" s="667"/>
      <c r="GO87" s="667"/>
      <c r="GP87" s="667"/>
      <c r="GQ87" s="667"/>
      <c r="GR87" s="667"/>
      <c r="GS87" s="667"/>
      <c r="GT87" s="667"/>
      <c r="GU87" s="667"/>
      <c r="GV87" s="667"/>
      <c r="GW87" s="667"/>
      <c r="GX87" s="667"/>
      <c r="GY87" s="667"/>
      <c r="GZ87" s="667"/>
      <c r="HA87" s="667"/>
      <c r="HB87" s="667"/>
      <c r="HC87" s="667"/>
      <c r="HD87" s="667"/>
      <c r="HE87" s="667"/>
      <c r="HF87" s="667"/>
      <c r="HG87" s="667"/>
      <c r="HH87" s="667"/>
      <c r="HI87" s="667"/>
      <c r="HJ87" s="667"/>
      <c r="HK87" s="667"/>
      <c r="HL87" s="667"/>
      <c r="HM87" s="667"/>
      <c r="HN87" s="667"/>
      <c r="HO87" s="667"/>
      <c r="HP87" s="667"/>
      <c r="HQ87" s="667"/>
      <c r="HR87" s="667"/>
      <c r="HS87" s="667"/>
      <c r="HT87" s="667"/>
      <c r="HU87" s="667"/>
      <c r="HV87" s="667"/>
      <c r="HW87" s="667"/>
    </row>
    <row r="88" spans="1:231" ht="14.1" customHeight="1">
      <c r="A88" s="667"/>
      <c r="B88" s="691"/>
      <c r="C88" s="691"/>
      <c r="E88" s="712"/>
      <c r="F88" s="667"/>
      <c r="G88" s="667"/>
      <c r="H88" s="667"/>
      <c r="I88" s="667"/>
      <c r="K88" s="683"/>
      <c r="L88" s="666"/>
      <c r="M88" s="666"/>
      <c r="N88" s="666"/>
      <c r="O88" s="666"/>
      <c r="P88" s="666"/>
      <c r="Q88" s="666"/>
      <c r="R88" s="666"/>
      <c r="S88" s="666"/>
      <c r="T88" s="666"/>
      <c r="U88" s="666"/>
      <c r="V88" s="666"/>
      <c r="W88" s="666"/>
      <c r="X88" s="667"/>
      <c r="Y88" s="667"/>
      <c r="Z88" s="667"/>
      <c r="AA88" s="667"/>
      <c r="AB88" s="667"/>
      <c r="AC88" s="667"/>
      <c r="AD88" s="667"/>
      <c r="AE88" s="667"/>
      <c r="AF88" s="667"/>
      <c r="AG88" s="667"/>
      <c r="AH88" s="667"/>
      <c r="AI88" s="667"/>
      <c r="AJ88" s="667"/>
      <c r="AK88" s="667"/>
      <c r="AL88" s="667"/>
      <c r="AM88" s="667"/>
      <c r="AN88" s="667"/>
      <c r="AO88" s="667"/>
      <c r="AP88" s="667"/>
      <c r="AQ88" s="667"/>
      <c r="AR88" s="667"/>
      <c r="AS88" s="667"/>
      <c r="AT88" s="667"/>
      <c r="AU88" s="667"/>
      <c r="AV88" s="667"/>
      <c r="AW88" s="667"/>
      <c r="AX88" s="667"/>
      <c r="AY88" s="667"/>
      <c r="AZ88" s="667"/>
      <c r="BA88" s="667"/>
      <c r="BB88" s="667"/>
      <c r="BC88" s="667"/>
      <c r="BD88" s="667"/>
      <c r="BE88" s="667"/>
      <c r="BF88" s="667"/>
      <c r="BG88" s="667"/>
      <c r="BH88" s="667"/>
      <c r="BI88" s="667"/>
      <c r="BJ88" s="667"/>
      <c r="BK88" s="667"/>
      <c r="BL88" s="667"/>
      <c r="BM88" s="667"/>
      <c r="BN88" s="667"/>
      <c r="BO88" s="667"/>
      <c r="BP88" s="667"/>
      <c r="BQ88" s="667"/>
      <c r="BR88" s="667"/>
      <c r="BS88" s="667"/>
      <c r="BT88" s="667"/>
      <c r="BU88" s="667"/>
      <c r="BV88" s="667"/>
      <c r="BW88" s="667"/>
      <c r="BX88" s="667"/>
      <c r="BY88" s="667"/>
      <c r="BZ88" s="667"/>
      <c r="CA88" s="667"/>
      <c r="CB88" s="667"/>
      <c r="CC88" s="667"/>
      <c r="CD88" s="667"/>
      <c r="CE88" s="667"/>
      <c r="CF88" s="667"/>
      <c r="CG88" s="667"/>
      <c r="CH88" s="667"/>
      <c r="CI88" s="667"/>
      <c r="CJ88" s="667"/>
      <c r="CK88" s="667"/>
      <c r="CL88" s="667"/>
      <c r="CM88" s="667"/>
      <c r="CN88" s="667"/>
      <c r="CO88" s="667"/>
      <c r="CP88" s="667"/>
      <c r="CQ88" s="667"/>
      <c r="CR88" s="667"/>
      <c r="CS88" s="667"/>
      <c r="CT88" s="667"/>
      <c r="CU88" s="667"/>
      <c r="CV88" s="667"/>
      <c r="CW88" s="667"/>
      <c r="CX88" s="667"/>
      <c r="CY88" s="667"/>
      <c r="CZ88" s="667"/>
      <c r="DA88" s="667"/>
      <c r="DB88" s="667"/>
      <c r="DC88" s="667"/>
      <c r="DD88" s="667"/>
      <c r="DE88" s="667"/>
      <c r="DF88" s="667"/>
      <c r="DG88" s="667"/>
      <c r="DH88" s="667"/>
      <c r="DI88" s="667"/>
      <c r="DJ88" s="667"/>
      <c r="DK88" s="667"/>
      <c r="DL88" s="667"/>
      <c r="DM88" s="667"/>
      <c r="DN88" s="667"/>
      <c r="DO88" s="667"/>
      <c r="DP88" s="667"/>
      <c r="DQ88" s="667"/>
      <c r="DR88" s="667"/>
      <c r="DS88" s="667"/>
      <c r="DT88" s="667"/>
      <c r="DU88" s="667"/>
      <c r="DV88" s="667"/>
      <c r="DW88" s="667"/>
      <c r="DX88" s="667"/>
      <c r="DY88" s="667"/>
      <c r="DZ88" s="667"/>
      <c r="EA88" s="667"/>
      <c r="EB88" s="667"/>
      <c r="EC88" s="667"/>
      <c r="ED88" s="667"/>
      <c r="EE88" s="667"/>
      <c r="EF88" s="667"/>
      <c r="EG88" s="667"/>
      <c r="EH88" s="667"/>
      <c r="EI88" s="667"/>
      <c r="EJ88" s="667"/>
      <c r="EK88" s="667"/>
      <c r="EL88" s="667"/>
      <c r="EM88" s="667"/>
      <c r="EN88" s="667"/>
      <c r="EO88" s="667"/>
      <c r="EP88" s="667"/>
      <c r="EQ88" s="667"/>
      <c r="ER88" s="667"/>
      <c r="ES88" s="667"/>
      <c r="ET88" s="667"/>
      <c r="EU88" s="667"/>
      <c r="EV88" s="667"/>
      <c r="EW88" s="667"/>
      <c r="EX88" s="667"/>
      <c r="EY88" s="667"/>
      <c r="EZ88" s="667"/>
      <c r="FA88" s="667"/>
      <c r="FB88" s="667"/>
      <c r="FC88" s="667"/>
      <c r="FD88" s="667"/>
      <c r="FE88" s="667"/>
      <c r="FF88" s="667"/>
      <c r="FG88" s="667"/>
      <c r="FH88" s="667"/>
      <c r="FI88" s="667"/>
      <c r="FJ88" s="667"/>
      <c r="FK88" s="667"/>
      <c r="FL88" s="667"/>
      <c r="FM88" s="667"/>
      <c r="FN88" s="667"/>
      <c r="FO88" s="667"/>
      <c r="FP88" s="667"/>
      <c r="FQ88" s="667"/>
      <c r="FR88" s="667"/>
      <c r="FS88" s="667"/>
      <c r="FT88" s="667"/>
      <c r="FU88" s="667"/>
      <c r="FV88" s="667"/>
      <c r="FW88" s="667"/>
      <c r="FX88" s="667"/>
      <c r="FY88" s="667"/>
      <c r="FZ88" s="667"/>
      <c r="GA88" s="667"/>
      <c r="GB88" s="667"/>
      <c r="GC88" s="667"/>
      <c r="GD88" s="667"/>
      <c r="GE88" s="667"/>
      <c r="GF88" s="667"/>
      <c r="GG88" s="667"/>
      <c r="GH88" s="667"/>
      <c r="GI88" s="667"/>
      <c r="GJ88" s="667"/>
      <c r="GK88" s="667"/>
      <c r="GL88" s="667"/>
      <c r="GM88" s="667"/>
      <c r="GN88" s="667"/>
      <c r="GO88" s="667"/>
      <c r="GP88" s="667"/>
      <c r="GQ88" s="667"/>
      <c r="GR88" s="667"/>
      <c r="GS88" s="667"/>
      <c r="GT88" s="667"/>
      <c r="GU88" s="667"/>
      <c r="GV88" s="667"/>
      <c r="GW88" s="667"/>
      <c r="GX88" s="667"/>
      <c r="GY88" s="667"/>
      <c r="GZ88" s="667"/>
      <c r="HA88" s="667"/>
      <c r="HB88" s="667"/>
      <c r="HC88" s="667"/>
      <c r="HD88" s="667"/>
      <c r="HE88" s="667"/>
      <c r="HF88" s="667"/>
      <c r="HG88" s="667"/>
      <c r="HH88" s="667"/>
      <c r="HI88" s="667"/>
      <c r="HJ88" s="667"/>
      <c r="HK88" s="667"/>
      <c r="HL88" s="667"/>
      <c r="HM88" s="667"/>
      <c r="HN88" s="667"/>
      <c r="HO88" s="667"/>
      <c r="HP88" s="667"/>
      <c r="HQ88" s="667"/>
      <c r="HR88" s="667"/>
      <c r="HS88" s="667"/>
      <c r="HT88" s="667"/>
      <c r="HU88" s="667"/>
      <c r="HV88" s="667"/>
      <c r="HW88" s="667"/>
    </row>
    <row r="89" spans="1:231" ht="14.1" customHeight="1">
      <c r="A89" s="667"/>
      <c r="B89" s="691"/>
      <c r="C89" s="691"/>
      <c r="E89" s="712"/>
      <c r="F89" s="667"/>
      <c r="G89" s="667"/>
      <c r="H89" s="667"/>
      <c r="I89" s="667"/>
      <c r="K89" s="683"/>
      <c r="L89" s="666"/>
      <c r="M89" s="666"/>
      <c r="N89" s="666"/>
      <c r="O89" s="666"/>
      <c r="P89" s="666"/>
      <c r="Q89" s="666"/>
      <c r="R89" s="666"/>
      <c r="S89" s="666"/>
      <c r="T89" s="666"/>
      <c r="U89" s="666"/>
      <c r="V89" s="666"/>
      <c r="W89" s="666"/>
      <c r="X89" s="667"/>
      <c r="Y89" s="667"/>
      <c r="Z89" s="667"/>
      <c r="AA89" s="667"/>
      <c r="AB89" s="667"/>
      <c r="AC89" s="667"/>
      <c r="AD89" s="667"/>
      <c r="AE89" s="667"/>
      <c r="AF89" s="667"/>
      <c r="AG89" s="667"/>
      <c r="AH89" s="667"/>
      <c r="AI89" s="667"/>
      <c r="AJ89" s="667"/>
      <c r="AK89" s="667"/>
      <c r="AL89" s="667"/>
      <c r="AM89" s="667"/>
      <c r="AN89" s="667"/>
      <c r="AO89" s="667"/>
      <c r="AP89" s="667"/>
      <c r="AQ89" s="667"/>
      <c r="AR89" s="667"/>
      <c r="AS89" s="667"/>
      <c r="AT89" s="667"/>
      <c r="AU89" s="667"/>
      <c r="AV89" s="667"/>
      <c r="AW89" s="667"/>
      <c r="AX89" s="667"/>
      <c r="AY89" s="667"/>
      <c r="AZ89" s="667"/>
      <c r="BA89" s="667"/>
      <c r="BB89" s="667"/>
      <c r="BC89" s="667"/>
      <c r="BD89" s="667"/>
      <c r="BE89" s="667"/>
      <c r="BF89" s="667"/>
      <c r="BG89" s="667"/>
      <c r="BH89" s="667"/>
      <c r="BI89" s="667"/>
      <c r="BJ89" s="667"/>
      <c r="BK89" s="667"/>
      <c r="BL89" s="667"/>
      <c r="BM89" s="667"/>
      <c r="BN89" s="667"/>
      <c r="BO89" s="667"/>
      <c r="BP89" s="667"/>
      <c r="BQ89" s="667"/>
      <c r="BR89" s="667"/>
      <c r="BS89" s="667"/>
      <c r="BT89" s="667"/>
      <c r="BU89" s="667"/>
      <c r="BV89" s="667"/>
      <c r="BW89" s="667"/>
      <c r="BX89" s="667"/>
      <c r="BY89" s="667"/>
      <c r="BZ89" s="667"/>
      <c r="CA89" s="667"/>
      <c r="CB89" s="667"/>
      <c r="CC89" s="667"/>
      <c r="CD89" s="667"/>
      <c r="CE89" s="667"/>
      <c r="CF89" s="667"/>
      <c r="CG89" s="667"/>
      <c r="CH89" s="667"/>
      <c r="CI89" s="667"/>
      <c r="CJ89" s="667"/>
      <c r="CK89" s="667"/>
      <c r="CL89" s="667"/>
      <c r="CM89" s="667"/>
      <c r="CN89" s="667"/>
      <c r="CO89" s="667"/>
      <c r="CP89" s="667"/>
      <c r="CQ89" s="667"/>
      <c r="CR89" s="667"/>
      <c r="CS89" s="667"/>
      <c r="CT89" s="667"/>
      <c r="CU89" s="667"/>
      <c r="CV89" s="667"/>
      <c r="CW89" s="667"/>
      <c r="CX89" s="667"/>
      <c r="CY89" s="667"/>
      <c r="CZ89" s="667"/>
      <c r="DA89" s="667"/>
      <c r="DB89" s="667"/>
      <c r="DC89" s="667"/>
      <c r="DD89" s="667"/>
      <c r="DE89" s="667"/>
      <c r="DF89" s="667"/>
      <c r="DG89" s="667"/>
      <c r="DH89" s="667"/>
      <c r="DI89" s="667"/>
      <c r="DJ89" s="667"/>
      <c r="DK89" s="667"/>
      <c r="DL89" s="667"/>
      <c r="DM89" s="667"/>
      <c r="DN89" s="667"/>
      <c r="DO89" s="667"/>
      <c r="DP89" s="667"/>
      <c r="DQ89" s="667"/>
      <c r="DR89" s="667"/>
      <c r="DS89" s="667"/>
      <c r="DT89" s="667"/>
      <c r="DU89" s="667"/>
      <c r="DV89" s="667"/>
      <c r="DW89" s="667"/>
      <c r="DX89" s="667"/>
      <c r="DY89" s="667"/>
      <c r="DZ89" s="667"/>
      <c r="EA89" s="667"/>
      <c r="EB89" s="667"/>
      <c r="EC89" s="667"/>
      <c r="ED89" s="667"/>
      <c r="EE89" s="667"/>
      <c r="EF89" s="667"/>
      <c r="EG89" s="667"/>
      <c r="EH89" s="667"/>
      <c r="EI89" s="667"/>
      <c r="EJ89" s="667"/>
      <c r="EK89" s="667"/>
      <c r="EL89" s="667"/>
      <c r="EM89" s="667"/>
      <c r="EN89" s="667"/>
      <c r="EO89" s="667"/>
      <c r="EP89" s="667"/>
      <c r="EQ89" s="667"/>
      <c r="ER89" s="667"/>
      <c r="ES89" s="667"/>
      <c r="ET89" s="667"/>
      <c r="EU89" s="667"/>
      <c r="EV89" s="667"/>
      <c r="EW89" s="667"/>
      <c r="EX89" s="667"/>
      <c r="EY89" s="667"/>
      <c r="EZ89" s="667"/>
      <c r="FA89" s="667"/>
      <c r="FB89" s="667"/>
      <c r="FC89" s="667"/>
      <c r="FD89" s="667"/>
      <c r="FE89" s="667"/>
      <c r="FF89" s="667"/>
      <c r="FG89" s="667"/>
      <c r="FH89" s="667"/>
      <c r="FI89" s="667"/>
      <c r="FJ89" s="667"/>
      <c r="FK89" s="667"/>
      <c r="FL89" s="667"/>
      <c r="FM89" s="667"/>
      <c r="FN89" s="667"/>
      <c r="FO89" s="667"/>
      <c r="FP89" s="667"/>
      <c r="FQ89" s="667"/>
      <c r="FR89" s="667"/>
      <c r="FS89" s="667"/>
      <c r="FT89" s="667"/>
      <c r="FU89" s="667"/>
      <c r="FV89" s="667"/>
      <c r="FW89" s="667"/>
      <c r="FX89" s="667"/>
      <c r="FY89" s="667"/>
      <c r="FZ89" s="667"/>
      <c r="GA89" s="667"/>
      <c r="GB89" s="667"/>
      <c r="GC89" s="667"/>
      <c r="GD89" s="667"/>
      <c r="GE89" s="667"/>
      <c r="GF89" s="667"/>
      <c r="GG89" s="667"/>
      <c r="GH89" s="667"/>
      <c r="GI89" s="667"/>
      <c r="GJ89" s="667"/>
      <c r="GK89" s="667"/>
      <c r="GL89" s="667"/>
      <c r="GM89" s="667"/>
      <c r="GN89" s="667"/>
      <c r="GO89" s="667"/>
      <c r="GP89" s="667"/>
      <c r="GQ89" s="667"/>
      <c r="GR89" s="667"/>
      <c r="GS89" s="667"/>
      <c r="GT89" s="667"/>
      <c r="GU89" s="667"/>
      <c r="GV89" s="667"/>
      <c r="GW89" s="667"/>
      <c r="GX89" s="667"/>
      <c r="GY89" s="667"/>
      <c r="GZ89" s="667"/>
      <c r="HA89" s="667"/>
      <c r="HB89" s="667"/>
      <c r="HC89" s="667"/>
      <c r="HD89" s="667"/>
      <c r="HE89" s="667"/>
      <c r="HF89" s="667"/>
      <c r="HG89" s="667"/>
      <c r="HH89" s="667"/>
      <c r="HI89" s="667"/>
      <c r="HJ89" s="667"/>
      <c r="HK89" s="667"/>
      <c r="HL89" s="667"/>
      <c r="HM89" s="667"/>
      <c r="HN89" s="667"/>
      <c r="HO89" s="667"/>
      <c r="HP89" s="667"/>
      <c r="HQ89" s="667"/>
      <c r="HR89" s="667"/>
      <c r="HS89" s="667"/>
      <c r="HT89" s="667"/>
      <c r="HU89" s="667"/>
      <c r="HV89" s="667"/>
      <c r="HW89" s="667"/>
    </row>
    <row r="90" spans="1:231" ht="14.1" customHeight="1">
      <c r="A90" s="667"/>
      <c r="B90" s="691"/>
      <c r="C90" s="691"/>
      <c r="E90" s="712"/>
      <c r="F90" s="667"/>
      <c r="G90" s="667"/>
      <c r="H90" s="667"/>
      <c r="I90" s="667"/>
      <c r="K90" s="683"/>
      <c r="L90" s="666"/>
      <c r="M90" s="666"/>
      <c r="N90" s="666"/>
      <c r="O90" s="666"/>
      <c r="P90" s="666"/>
      <c r="Q90" s="666"/>
      <c r="R90" s="666"/>
      <c r="S90" s="666"/>
      <c r="T90" s="666"/>
      <c r="U90" s="666"/>
      <c r="V90" s="666"/>
      <c r="W90" s="666"/>
      <c r="X90" s="667"/>
      <c r="Y90" s="667"/>
      <c r="Z90" s="667"/>
      <c r="AA90" s="667"/>
      <c r="AB90" s="667"/>
      <c r="AC90" s="667"/>
      <c r="AD90" s="667"/>
      <c r="AE90" s="667"/>
      <c r="AF90" s="667"/>
      <c r="AG90" s="667"/>
      <c r="AH90" s="667"/>
      <c r="AI90" s="667"/>
      <c r="AJ90" s="667"/>
      <c r="AK90" s="667"/>
      <c r="AL90" s="667"/>
      <c r="AM90" s="667"/>
      <c r="AN90" s="667"/>
      <c r="AO90" s="667"/>
      <c r="AP90" s="667"/>
      <c r="AQ90" s="667"/>
      <c r="AR90" s="667"/>
      <c r="AS90" s="667"/>
      <c r="AT90" s="667"/>
      <c r="AU90" s="667"/>
      <c r="AV90" s="667"/>
      <c r="AW90" s="667"/>
      <c r="AX90" s="667"/>
      <c r="AY90" s="667"/>
      <c r="AZ90" s="667"/>
      <c r="BA90" s="667"/>
      <c r="BB90" s="667"/>
      <c r="BC90" s="667"/>
      <c r="BD90" s="667"/>
      <c r="BE90" s="667"/>
      <c r="BF90" s="667"/>
      <c r="BG90" s="667"/>
      <c r="BH90" s="667"/>
      <c r="BI90" s="667"/>
      <c r="BJ90" s="667"/>
      <c r="BK90" s="667"/>
      <c r="BL90" s="667"/>
      <c r="BM90" s="667"/>
      <c r="BN90" s="667"/>
      <c r="BO90" s="667"/>
      <c r="BP90" s="667"/>
      <c r="BQ90" s="667"/>
      <c r="BR90" s="667"/>
      <c r="BS90" s="667"/>
      <c r="BT90" s="667"/>
      <c r="BU90" s="667"/>
      <c r="BV90" s="667"/>
      <c r="BW90" s="667"/>
      <c r="BX90" s="667"/>
      <c r="BY90" s="667"/>
      <c r="BZ90" s="667"/>
      <c r="CA90" s="667"/>
      <c r="CB90" s="667"/>
      <c r="CC90" s="667"/>
      <c r="CD90" s="667"/>
      <c r="CE90" s="667"/>
      <c r="CF90" s="667"/>
      <c r="CG90" s="667"/>
      <c r="CH90" s="667"/>
      <c r="CI90" s="667"/>
      <c r="CJ90" s="667"/>
      <c r="CK90" s="667"/>
      <c r="CL90" s="667"/>
      <c r="CM90" s="667"/>
      <c r="CN90" s="667"/>
      <c r="CO90" s="667"/>
      <c r="CP90" s="667"/>
      <c r="CQ90" s="667"/>
      <c r="CR90" s="667"/>
      <c r="CS90" s="667"/>
      <c r="CT90" s="667"/>
      <c r="CU90" s="667"/>
      <c r="CV90" s="667"/>
      <c r="CW90" s="667"/>
      <c r="CX90" s="667"/>
      <c r="CY90" s="667"/>
      <c r="CZ90" s="667"/>
      <c r="DA90" s="667"/>
      <c r="DB90" s="667"/>
      <c r="DC90" s="667"/>
      <c r="DD90" s="667"/>
      <c r="DE90" s="667"/>
      <c r="DF90" s="667"/>
      <c r="DG90" s="667"/>
      <c r="DH90" s="667"/>
      <c r="DI90" s="667"/>
      <c r="DJ90" s="667"/>
      <c r="DK90" s="667"/>
      <c r="DL90" s="667"/>
      <c r="DM90" s="667"/>
      <c r="DN90" s="667"/>
      <c r="DO90" s="667"/>
      <c r="DP90" s="667"/>
      <c r="DQ90" s="667"/>
      <c r="DR90" s="667"/>
      <c r="DS90" s="667"/>
      <c r="DT90" s="667"/>
      <c r="DU90" s="667"/>
      <c r="DV90" s="667"/>
      <c r="DW90" s="667"/>
      <c r="DX90" s="667"/>
      <c r="DY90" s="667"/>
      <c r="DZ90" s="667"/>
      <c r="EA90" s="667"/>
      <c r="EB90" s="667"/>
      <c r="EC90" s="667"/>
      <c r="ED90" s="667"/>
      <c r="EE90" s="667"/>
      <c r="EF90" s="667"/>
      <c r="EG90" s="667"/>
      <c r="EH90" s="667"/>
      <c r="EI90" s="667"/>
      <c r="EJ90" s="667"/>
      <c r="EK90" s="667"/>
      <c r="EL90" s="667"/>
      <c r="EM90" s="667"/>
      <c r="EN90" s="667"/>
      <c r="EO90" s="667"/>
      <c r="EP90" s="667"/>
      <c r="EQ90" s="667"/>
      <c r="ER90" s="667"/>
      <c r="ES90" s="667"/>
      <c r="ET90" s="667"/>
      <c r="EU90" s="667"/>
      <c r="EV90" s="667"/>
      <c r="EW90" s="667"/>
      <c r="EX90" s="667"/>
      <c r="EY90" s="667"/>
      <c r="EZ90" s="667"/>
      <c r="FA90" s="667"/>
      <c r="FB90" s="667"/>
      <c r="FC90" s="667"/>
      <c r="FD90" s="667"/>
      <c r="FE90" s="667"/>
      <c r="FF90" s="667"/>
      <c r="FG90" s="667"/>
      <c r="FH90" s="667"/>
      <c r="FI90" s="667"/>
      <c r="FJ90" s="667"/>
      <c r="FK90" s="667"/>
      <c r="FL90" s="667"/>
      <c r="FM90" s="667"/>
      <c r="FN90" s="667"/>
      <c r="FO90" s="667"/>
      <c r="FP90" s="667"/>
      <c r="FQ90" s="667"/>
      <c r="FR90" s="667"/>
      <c r="FS90" s="667"/>
      <c r="FT90" s="667"/>
      <c r="FU90" s="667"/>
      <c r="FV90" s="667"/>
      <c r="FW90" s="667"/>
      <c r="FX90" s="667"/>
      <c r="FY90" s="667"/>
      <c r="FZ90" s="667"/>
      <c r="GA90" s="667"/>
      <c r="GB90" s="667"/>
      <c r="GC90" s="667"/>
      <c r="GD90" s="667"/>
      <c r="GE90" s="667"/>
      <c r="GF90" s="667"/>
      <c r="GG90" s="667"/>
      <c r="GH90" s="667"/>
      <c r="GI90" s="667"/>
      <c r="GJ90" s="667"/>
      <c r="GK90" s="667"/>
      <c r="GL90" s="667"/>
      <c r="GM90" s="667"/>
      <c r="GN90" s="667"/>
      <c r="GO90" s="667"/>
      <c r="GP90" s="667"/>
      <c r="GQ90" s="667"/>
      <c r="GR90" s="667"/>
      <c r="GS90" s="667"/>
      <c r="GT90" s="667"/>
      <c r="GU90" s="667"/>
      <c r="GV90" s="667"/>
      <c r="GW90" s="667"/>
      <c r="GX90" s="667"/>
      <c r="GY90" s="667"/>
      <c r="GZ90" s="667"/>
      <c r="HA90" s="667"/>
      <c r="HB90" s="667"/>
      <c r="HC90" s="667"/>
      <c r="HD90" s="667"/>
      <c r="HE90" s="667"/>
      <c r="HF90" s="667"/>
      <c r="HG90" s="667"/>
      <c r="HH90" s="667"/>
      <c r="HI90" s="667"/>
      <c r="HJ90" s="667"/>
      <c r="HK90" s="667"/>
      <c r="HL90" s="667"/>
      <c r="HM90" s="667"/>
      <c r="HN90" s="667"/>
      <c r="HO90" s="667"/>
      <c r="HP90" s="667"/>
      <c r="HQ90" s="667"/>
      <c r="HR90" s="667"/>
      <c r="HS90" s="667"/>
      <c r="HT90" s="667"/>
      <c r="HU90" s="667"/>
      <c r="HV90" s="667"/>
      <c r="HW90" s="667"/>
    </row>
    <row r="91" spans="1:231" ht="14.1" customHeight="1">
      <c r="A91" s="667"/>
      <c r="B91" s="691"/>
      <c r="C91" s="691"/>
      <c r="E91" s="712"/>
      <c r="F91" s="667"/>
      <c r="G91" s="667"/>
      <c r="H91" s="667"/>
      <c r="I91" s="667"/>
      <c r="K91" s="683"/>
      <c r="L91" s="666"/>
      <c r="M91" s="666"/>
      <c r="N91" s="666"/>
      <c r="O91" s="666"/>
      <c r="P91" s="666"/>
      <c r="Q91" s="666"/>
      <c r="R91" s="666"/>
      <c r="S91" s="666"/>
      <c r="T91" s="666"/>
      <c r="U91" s="666"/>
      <c r="V91" s="666"/>
      <c r="W91" s="666"/>
      <c r="X91" s="667"/>
      <c r="Y91" s="667"/>
      <c r="Z91" s="667"/>
      <c r="AA91" s="667"/>
      <c r="AB91" s="667"/>
      <c r="AC91" s="667"/>
      <c r="AD91" s="667"/>
      <c r="AE91" s="667"/>
      <c r="AF91" s="667"/>
      <c r="AG91" s="667"/>
      <c r="AH91" s="667"/>
      <c r="AI91" s="667"/>
      <c r="AJ91" s="667"/>
      <c r="AK91" s="667"/>
      <c r="AL91" s="667"/>
      <c r="AM91" s="667"/>
      <c r="AN91" s="667"/>
      <c r="AO91" s="667"/>
      <c r="AP91" s="667"/>
      <c r="AQ91" s="667"/>
      <c r="AR91" s="667"/>
      <c r="AS91" s="667"/>
      <c r="AT91" s="667"/>
      <c r="AU91" s="667"/>
      <c r="AV91" s="667"/>
      <c r="AW91" s="667"/>
      <c r="AX91" s="667"/>
      <c r="AY91" s="667"/>
      <c r="AZ91" s="667"/>
      <c r="BA91" s="667"/>
      <c r="BB91" s="667"/>
      <c r="BC91" s="667"/>
      <c r="BD91" s="667"/>
      <c r="BE91" s="667"/>
      <c r="BF91" s="667"/>
      <c r="BG91" s="667"/>
      <c r="BH91" s="667"/>
      <c r="BI91" s="667"/>
      <c r="BJ91" s="667"/>
      <c r="BK91" s="667"/>
      <c r="BL91" s="667"/>
      <c r="BM91" s="667"/>
      <c r="BN91" s="667"/>
      <c r="BO91" s="667"/>
      <c r="BP91" s="667"/>
      <c r="BQ91" s="667"/>
      <c r="BR91" s="667"/>
      <c r="BS91" s="667"/>
      <c r="BT91" s="667"/>
      <c r="BU91" s="667"/>
      <c r="BV91" s="667"/>
      <c r="BW91" s="667"/>
      <c r="BX91" s="667"/>
      <c r="BY91" s="667"/>
      <c r="BZ91" s="667"/>
      <c r="CA91" s="667"/>
      <c r="CB91" s="667"/>
      <c r="CC91" s="667"/>
      <c r="CD91" s="667"/>
      <c r="CE91" s="667"/>
      <c r="CF91" s="667"/>
      <c r="CG91" s="667"/>
      <c r="CH91" s="667"/>
      <c r="CI91" s="667"/>
      <c r="CJ91" s="667"/>
      <c r="CK91" s="667"/>
      <c r="CL91" s="667"/>
      <c r="CM91" s="667"/>
      <c r="CN91" s="667"/>
      <c r="CO91" s="667"/>
      <c r="CP91" s="667"/>
      <c r="CQ91" s="667"/>
      <c r="CR91" s="667"/>
      <c r="CS91" s="667"/>
      <c r="CT91" s="667"/>
      <c r="CU91" s="667"/>
      <c r="CV91" s="667"/>
      <c r="CW91" s="667"/>
      <c r="CX91" s="667"/>
      <c r="CY91" s="667"/>
      <c r="CZ91" s="667"/>
      <c r="DA91" s="667"/>
      <c r="DB91" s="667"/>
      <c r="DC91" s="667"/>
      <c r="DD91" s="667"/>
      <c r="DE91" s="667"/>
      <c r="DF91" s="667"/>
      <c r="DG91" s="667"/>
      <c r="DH91" s="667"/>
      <c r="DI91" s="667"/>
      <c r="DJ91" s="667"/>
      <c r="DK91" s="667"/>
      <c r="DL91" s="667"/>
      <c r="DM91" s="667"/>
      <c r="DN91" s="667"/>
      <c r="DO91" s="667"/>
      <c r="DP91" s="667"/>
      <c r="DQ91" s="667"/>
      <c r="DR91" s="667"/>
      <c r="DS91" s="667"/>
      <c r="DT91" s="667"/>
      <c r="DU91" s="667"/>
      <c r="DV91" s="667"/>
      <c r="DW91" s="667"/>
      <c r="DX91" s="667"/>
      <c r="DY91" s="667"/>
      <c r="DZ91" s="667"/>
      <c r="EA91" s="667"/>
      <c r="EB91" s="667"/>
      <c r="EC91" s="667"/>
      <c r="ED91" s="667"/>
      <c r="EE91" s="667"/>
      <c r="EF91" s="667"/>
      <c r="EG91" s="667"/>
      <c r="EH91" s="667"/>
      <c r="EI91" s="667"/>
      <c r="EJ91" s="667"/>
      <c r="EK91" s="667"/>
      <c r="EL91" s="667"/>
      <c r="EM91" s="667"/>
      <c r="EN91" s="667"/>
      <c r="EO91" s="667"/>
      <c r="EP91" s="667"/>
      <c r="EQ91" s="667"/>
      <c r="ER91" s="667"/>
      <c r="ES91" s="667"/>
      <c r="ET91" s="667"/>
      <c r="EU91" s="667"/>
      <c r="EV91" s="667"/>
      <c r="EW91" s="667"/>
      <c r="EX91" s="667"/>
      <c r="EY91" s="667"/>
      <c r="EZ91" s="667"/>
      <c r="FA91" s="667"/>
      <c r="FB91" s="667"/>
      <c r="FC91" s="667"/>
      <c r="FD91" s="667"/>
      <c r="FE91" s="667"/>
      <c r="FF91" s="667"/>
      <c r="FG91" s="667"/>
      <c r="FH91" s="667"/>
      <c r="FI91" s="667"/>
      <c r="FJ91" s="667"/>
      <c r="FK91" s="667"/>
      <c r="FL91" s="667"/>
      <c r="FM91" s="667"/>
      <c r="FN91" s="667"/>
      <c r="FO91" s="667"/>
      <c r="FP91" s="667"/>
      <c r="FQ91" s="667"/>
      <c r="FR91" s="667"/>
      <c r="FS91" s="667"/>
      <c r="FT91" s="667"/>
      <c r="FU91" s="667"/>
      <c r="FV91" s="667"/>
      <c r="FW91" s="667"/>
      <c r="FX91" s="667"/>
      <c r="FY91" s="667"/>
      <c r="FZ91" s="667"/>
      <c r="GA91" s="667"/>
      <c r="GB91" s="667"/>
      <c r="GC91" s="667"/>
      <c r="GD91" s="667"/>
      <c r="GE91" s="667"/>
      <c r="GF91" s="667"/>
      <c r="GG91" s="667"/>
      <c r="GH91" s="667"/>
      <c r="GI91" s="667"/>
      <c r="GJ91" s="667"/>
      <c r="GK91" s="667"/>
      <c r="GL91" s="667"/>
      <c r="GM91" s="667"/>
      <c r="GN91" s="667"/>
      <c r="GO91" s="667"/>
      <c r="GP91" s="667"/>
      <c r="GQ91" s="667"/>
      <c r="GR91" s="667"/>
      <c r="GS91" s="667"/>
      <c r="GT91" s="667"/>
      <c r="GU91" s="667"/>
      <c r="GV91" s="667"/>
      <c r="GW91" s="667"/>
      <c r="GX91" s="667"/>
      <c r="GY91" s="667"/>
      <c r="GZ91" s="667"/>
      <c r="HA91" s="667"/>
      <c r="HB91" s="667"/>
      <c r="HC91" s="667"/>
      <c r="HD91" s="667"/>
      <c r="HE91" s="667"/>
      <c r="HF91" s="667"/>
      <c r="HG91" s="667"/>
      <c r="HH91" s="667"/>
      <c r="HI91" s="667"/>
      <c r="HJ91" s="667"/>
      <c r="HK91" s="667"/>
      <c r="HL91" s="667"/>
      <c r="HM91" s="667"/>
      <c r="HN91" s="667"/>
      <c r="HO91" s="667"/>
      <c r="HP91" s="667"/>
      <c r="HQ91" s="667"/>
      <c r="HR91" s="667"/>
      <c r="HS91" s="667"/>
      <c r="HT91" s="667"/>
      <c r="HU91" s="667"/>
      <c r="HV91" s="667"/>
      <c r="HW91" s="667"/>
    </row>
    <row r="92" spans="1:231" ht="14.1" customHeight="1">
      <c r="A92" s="667"/>
      <c r="B92" s="691"/>
      <c r="C92" s="691"/>
      <c r="E92" s="712"/>
      <c r="F92" s="667"/>
      <c r="G92" s="667"/>
      <c r="H92" s="667"/>
      <c r="I92" s="667"/>
      <c r="K92" s="683"/>
      <c r="L92" s="666"/>
      <c r="M92" s="666"/>
      <c r="N92" s="666"/>
      <c r="O92" s="666"/>
      <c r="P92" s="666"/>
      <c r="Q92" s="666"/>
      <c r="R92" s="666"/>
      <c r="S92" s="666"/>
      <c r="T92" s="666"/>
      <c r="U92" s="666"/>
      <c r="V92" s="666"/>
      <c r="W92" s="666"/>
      <c r="X92" s="667"/>
      <c r="Y92" s="667"/>
      <c r="Z92" s="667"/>
      <c r="AA92" s="667"/>
      <c r="AB92" s="667"/>
      <c r="AC92" s="667"/>
      <c r="AD92" s="667"/>
      <c r="AE92" s="667"/>
      <c r="AF92" s="667"/>
      <c r="AG92" s="667"/>
      <c r="AH92" s="667"/>
      <c r="AI92" s="667"/>
      <c r="AJ92" s="667"/>
      <c r="AK92" s="667"/>
      <c r="AL92" s="667"/>
      <c r="AM92" s="667"/>
      <c r="AN92" s="667"/>
      <c r="AO92" s="667"/>
      <c r="AP92" s="667"/>
      <c r="AQ92" s="667"/>
      <c r="AR92" s="667"/>
      <c r="AS92" s="667"/>
      <c r="AT92" s="667"/>
      <c r="AU92" s="667"/>
      <c r="AV92" s="667"/>
      <c r="AW92" s="667"/>
      <c r="AX92" s="667"/>
      <c r="AY92" s="667"/>
      <c r="AZ92" s="667"/>
      <c r="BA92" s="667"/>
      <c r="BB92" s="667"/>
      <c r="BC92" s="667"/>
      <c r="BD92" s="667"/>
      <c r="BE92" s="667"/>
      <c r="BF92" s="667"/>
      <c r="BG92" s="667"/>
      <c r="BH92" s="667"/>
      <c r="BI92" s="667"/>
      <c r="BJ92" s="667"/>
      <c r="BK92" s="667"/>
      <c r="BL92" s="667"/>
      <c r="BM92" s="667"/>
      <c r="BN92" s="667"/>
      <c r="BO92" s="667"/>
      <c r="BP92" s="667"/>
      <c r="BQ92" s="667"/>
      <c r="BR92" s="667"/>
      <c r="BS92" s="667"/>
      <c r="BT92" s="667"/>
      <c r="BU92" s="667"/>
      <c r="BV92" s="667"/>
      <c r="BW92" s="667"/>
      <c r="BX92" s="667"/>
      <c r="BY92" s="667"/>
      <c r="BZ92" s="667"/>
      <c r="CA92" s="667"/>
      <c r="CB92" s="667"/>
      <c r="CC92" s="667"/>
      <c r="CD92" s="667"/>
      <c r="CE92" s="667"/>
      <c r="CF92" s="667"/>
      <c r="CG92" s="667"/>
      <c r="CH92" s="667"/>
      <c r="CI92" s="667"/>
      <c r="CJ92" s="667"/>
      <c r="CK92" s="667"/>
      <c r="CL92" s="667"/>
      <c r="CM92" s="667"/>
      <c r="CN92" s="667"/>
      <c r="CO92" s="667"/>
      <c r="CP92" s="667"/>
      <c r="CQ92" s="667"/>
      <c r="CR92" s="667"/>
      <c r="CS92" s="667"/>
      <c r="CT92" s="667"/>
      <c r="CU92" s="667"/>
      <c r="CV92" s="667"/>
      <c r="CW92" s="667"/>
      <c r="CX92" s="667"/>
      <c r="CY92" s="667"/>
      <c r="CZ92" s="667"/>
      <c r="DA92" s="667"/>
      <c r="DB92" s="667"/>
      <c r="DC92" s="667"/>
      <c r="DD92" s="667"/>
      <c r="DE92" s="667"/>
      <c r="DF92" s="667"/>
      <c r="DG92" s="667"/>
      <c r="DH92" s="667"/>
      <c r="DI92" s="667"/>
      <c r="DJ92" s="667"/>
      <c r="DK92" s="667"/>
      <c r="DL92" s="667"/>
      <c r="DM92" s="667"/>
      <c r="DN92" s="667"/>
      <c r="DO92" s="667"/>
      <c r="DP92" s="667"/>
      <c r="DQ92" s="667"/>
      <c r="DR92" s="667"/>
      <c r="DS92" s="667"/>
      <c r="DT92" s="667"/>
      <c r="DU92" s="667"/>
      <c r="DV92" s="667"/>
      <c r="DW92" s="667"/>
      <c r="DX92" s="667"/>
      <c r="DY92" s="667"/>
      <c r="DZ92" s="667"/>
      <c r="EA92" s="667"/>
      <c r="EB92" s="667"/>
      <c r="EC92" s="667"/>
      <c r="ED92" s="667"/>
      <c r="EE92" s="667"/>
      <c r="EF92" s="667"/>
      <c r="EG92" s="667"/>
      <c r="EH92" s="667"/>
      <c r="EI92" s="667"/>
      <c r="EJ92" s="667"/>
      <c r="EK92" s="667"/>
      <c r="EL92" s="667"/>
      <c r="EM92" s="667"/>
      <c r="EN92" s="667"/>
      <c r="EO92" s="667"/>
      <c r="EP92" s="667"/>
      <c r="EQ92" s="667"/>
      <c r="ER92" s="667"/>
      <c r="ES92" s="667"/>
      <c r="ET92" s="667"/>
      <c r="EU92" s="667"/>
      <c r="EV92" s="667"/>
      <c r="EW92" s="667"/>
      <c r="EX92" s="667"/>
      <c r="EY92" s="667"/>
      <c r="EZ92" s="667"/>
      <c r="FA92" s="667"/>
      <c r="FB92" s="667"/>
      <c r="FC92" s="667"/>
      <c r="FD92" s="667"/>
      <c r="FE92" s="667"/>
      <c r="FF92" s="667"/>
      <c r="FG92" s="667"/>
      <c r="FH92" s="667"/>
      <c r="FI92" s="667"/>
      <c r="FJ92" s="667"/>
      <c r="FK92" s="667"/>
      <c r="FL92" s="667"/>
      <c r="FM92" s="667"/>
      <c r="FN92" s="667"/>
      <c r="FO92" s="667"/>
      <c r="FP92" s="667"/>
      <c r="FQ92" s="667"/>
      <c r="FR92" s="667"/>
      <c r="FS92" s="667"/>
      <c r="FT92" s="667"/>
      <c r="FU92" s="667"/>
      <c r="FV92" s="667"/>
      <c r="FW92" s="667"/>
      <c r="FX92" s="667"/>
      <c r="FY92" s="667"/>
      <c r="FZ92" s="667"/>
      <c r="GA92" s="667"/>
      <c r="GB92" s="667"/>
      <c r="GC92" s="667"/>
      <c r="GD92" s="667"/>
      <c r="GE92" s="667"/>
      <c r="GF92" s="667"/>
      <c r="GG92" s="667"/>
      <c r="GH92" s="667"/>
      <c r="GI92" s="667"/>
      <c r="GJ92" s="667"/>
      <c r="GK92" s="667"/>
      <c r="GL92" s="667"/>
      <c r="GM92" s="667"/>
      <c r="GN92" s="667"/>
      <c r="GO92" s="667"/>
      <c r="GP92" s="667"/>
      <c r="GQ92" s="667"/>
      <c r="GR92" s="667"/>
      <c r="GS92" s="667"/>
      <c r="GT92" s="667"/>
      <c r="GU92" s="667"/>
      <c r="GV92" s="667"/>
      <c r="GW92" s="667"/>
      <c r="GX92" s="667"/>
      <c r="GY92" s="667"/>
      <c r="GZ92" s="667"/>
      <c r="HA92" s="667"/>
      <c r="HB92" s="667"/>
      <c r="HC92" s="667"/>
      <c r="HD92" s="667"/>
      <c r="HE92" s="667"/>
      <c r="HF92" s="667"/>
      <c r="HG92" s="667"/>
      <c r="HH92" s="667"/>
      <c r="HI92" s="667"/>
      <c r="HJ92" s="667"/>
      <c r="HK92" s="667"/>
      <c r="HL92" s="667"/>
      <c r="HM92" s="667"/>
      <c r="HN92" s="667"/>
      <c r="HO92" s="667"/>
      <c r="HP92" s="667"/>
      <c r="HQ92" s="667"/>
      <c r="HR92" s="667"/>
      <c r="HS92" s="667"/>
      <c r="HT92" s="667"/>
      <c r="HU92" s="667"/>
      <c r="HV92" s="667"/>
      <c r="HW92" s="667"/>
    </row>
    <row r="93" spans="1:231" ht="14.1" customHeight="1">
      <c r="A93" s="667"/>
      <c r="B93" s="691"/>
      <c r="C93" s="691"/>
      <c r="E93" s="712"/>
      <c r="F93" s="667"/>
      <c r="G93" s="667"/>
      <c r="H93" s="667"/>
      <c r="I93" s="667"/>
      <c r="K93" s="683"/>
      <c r="L93" s="666"/>
      <c r="M93" s="666"/>
      <c r="N93" s="666"/>
      <c r="O93" s="666"/>
      <c r="P93" s="666"/>
      <c r="Q93" s="666"/>
      <c r="R93" s="666"/>
      <c r="S93" s="666"/>
      <c r="T93" s="666"/>
      <c r="U93" s="666"/>
      <c r="V93" s="666"/>
      <c r="W93" s="666"/>
      <c r="X93" s="667"/>
      <c r="Y93" s="667"/>
      <c r="Z93" s="667"/>
      <c r="AA93" s="667"/>
      <c r="AB93" s="667"/>
      <c r="AC93" s="667"/>
      <c r="AD93" s="667"/>
      <c r="AE93" s="667"/>
      <c r="AF93" s="667"/>
      <c r="AG93" s="667"/>
      <c r="AH93" s="667"/>
      <c r="AI93" s="667"/>
      <c r="AJ93" s="667"/>
      <c r="AK93" s="667"/>
      <c r="AL93" s="667"/>
      <c r="AM93" s="667"/>
      <c r="AN93" s="667"/>
      <c r="AO93" s="667"/>
      <c r="AP93" s="667"/>
      <c r="AQ93" s="667"/>
      <c r="AR93" s="667"/>
      <c r="AS93" s="667"/>
      <c r="AT93" s="667"/>
      <c r="AU93" s="667"/>
      <c r="AV93" s="667"/>
      <c r="AW93" s="667"/>
      <c r="AX93" s="667"/>
      <c r="AY93" s="667"/>
      <c r="AZ93" s="667"/>
      <c r="BA93" s="667"/>
      <c r="BB93" s="667"/>
      <c r="BC93" s="667"/>
      <c r="BD93" s="667"/>
      <c r="BE93" s="667"/>
      <c r="BF93" s="667"/>
      <c r="BG93" s="667"/>
      <c r="BH93" s="667"/>
      <c r="BI93" s="667"/>
      <c r="BJ93" s="667"/>
      <c r="BK93" s="667"/>
      <c r="BL93" s="667"/>
      <c r="BM93" s="667"/>
      <c r="BN93" s="667"/>
      <c r="BO93" s="667"/>
      <c r="BP93" s="667"/>
      <c r="BQ93" s="667"/>
      <c r="BR93" s="667"/>
      <c r="BS93" s="667"/>
      <c r="BT93" s="667"/>
      <c r="BU93" s="667"/>
      <c r="BV93" s="667"/>
      <c r="BW93" s="667"/>
      <c r="BX93" s="667"/>
      <c r="BY93" s="667"/>
      <c r="BZ93" s="667"/>
      <c r="CA93" s="667"/>
      <c r="CB93" s="667"/>
      <c r="CC93" s="667"/>
      <c r="CD93" s="667"/>
      <c r="CE93" s="667"/>
      <c r="CF93" s="667"/>
      <c r="CG93" s="667"/>
      <c r="CH93" s="667"/>
      <c r="CI93" s="667"/>
      <c r="CJ93" s="667"/>
      <c r="CK93" s="667"/>
      <c r="CL93" s="667"/>
      <c r="CM93" s="667"/>
      <c r="CN93" s="667"/>
      <c r="CO93" s="667"/>
      <c r="CP93" s="667"/>
      <c r="CQ93" s="667"/>
      <c r="CR93" s="667"/>
      <c r="CS93" s="667"/>
      <c r="CT93" s="667"/>
      <c r="CU93" s="667"/>
      <c r="CV93" s="667"/>
      <c r="CW93" s="667"/>
      <c r="CX93" s="667"/>
      <c r="CY93" s="667"/>
      <c r="CZ93" s="667"/>
      <c r="DA93" s="667"/>
      <c r="DB93" s="667"/>
      <c r="DC93" s="667"/>
      <c r="DD93" s="667"/>
      <c r="DE93" s="667"/>
      <c r="DF93" s="667"/>
      <c r="DG93" s="667"/>
      <c r="DH93" s="667"/>
      <c r="DI93" s="667"/>
      <c r="DJ93" s="667"/>
      <c r="DK93" s="667"/>
      <c r="DL93" s="667"/>
      <c r="DM93" s="667"/>
      <c r="DN93" s="667"/>
      <c r="DO93" s="667"/>
      <c r="DP93" s="667"/>
      <c r="DQ93" s="667"/>
      <c r="DR93" s="667"/>
      <c r="DS93" s="667"/>
      <c r="DT93" s="667"/>
      <c r="DU93" s="667"/>
      <c r="DV93" s="667"/>
      <c r="DW93" s="667"/>
      <c r="DX93" s="667"/>
      <c r="DY93" s="667"/>
      <c r="DZ93" s="667"/>
      <c r="EA93" s="667"/>
      <c r="EB93" s="667"/>
      <c r="EC93" s="667"/>
      <c r="ED93" s="667"/>
      <c r="EE93" s="667"/>
      <c r="EF93" s="667"/>
      <c r="EG93" s="667"/>
      <c r="EH93" s="667"/>
      <c r="EI93" s="667"/>
      <c r="EJ93" s="667"/>
      <c r="EK93" s="667"/>
      <c r="EL93" s="667"/>
      <c r="EM93" s="667"/>
      <c r="EN93" s="667"/>
      <c r="EO93" s="667"/>
      <c r="EP93" s="667"/>
      <c r="EQ93" s="667"/>
      <c r="ER93" s="667"/>
      <c r="ES93" s="667"/>
      <c r="ET93" s="667"/>
      <c r="EU93" s="667"/>
      <c r="EV93" s="667"/>
      <c r="EW93" s="667"/>
      <c r="EX93" s="667"/>
      <c r="EY93" s="667"/>
      <c r="EZ93" s="667"/>
      <c r="FA93" s="667"/>
      <c r="FB93" s="667"/>
      <c r="FC93" s="667"/>
      <c r="FD93" s="667"/>
      <c r="FE93" s="667"/>
      <c r="FF93" s="667"/>
      <c r="FG93" s="667"/>
      <c r="FH93" s="667"/>
      <c r="FI93" s="667"/>
      <c r="FJ93" s="667"/>
      <c r="FK93" s="667"/>
      <c r="FL93" s="667"/>
      <c r="FM93" s="667"/>
      <c r="FN93" s="667"/>
      <c r="FO93" s="667"/>
      <c r="FP93" s="667"/>
      <c r="FQ93" s="667"/>
      <c r="FR93" s="667"/>
      <c r="FS93" s="667"/>
      <c r="FT93" s="667"/>
      <c r="FU93" s="667"/>
      <c r="FV93" s="667"/>
      <c r="FW93" s="667"/>
      <c r="FX93" s="667"/>
      <c r="FY93" s="667"/>
      <c r="FZ93" s="667"/>
      <c r="GA93" s="667"/>
      <c r="GB93" s="667"/>
      <c r="GC93" s="667"/>
      <c r="GD93" s="667"/>
      <c r="GE93" s="667"/>
      <c r="GF93" s="667"/>
      <c r="GG93" s="667"/>
      <c r="GH93" s="667"/>
      <c r="GI93" s="667"/>
      <c r="GJ93" s="667"/>
      <c r="GK93" s="667"/>
      <c r="GL93" s="667"/>
      <c r="GM93" s="667"/>
      <c r="GN93" s="667"/>
      <c r="GO93" s="667"/>
      <c r="GP93" s="667"/>
      <c r="GQ93" s="667"/>
      <c r="GR93" s="667"/>
      <c r="GS93" s="667"/>
      <c r="GT93" s="667"/>
      <c r="GU93" s="667"/>
      <c r="GV93" s="667"/>
      <c r="GW93" s="667"/>
      <c r="GX93" s="667"/>
      <c r="GY93" s="667"/>
      <c r="GZ93" s="667"/>
      <c r="HA93" s="667"/>
      <c r="HB93" s="667"/>
      <c r="HC93" s="667"/>
      <c r="HD93" s="667"/>
      <c r="HE93" s="667"/>
      <c r="HF93" s="667"/>
      <c r="HG93" s="667"/>
      <c r="HH93" s="667"/>
      <c r="HI93" s="667"/>
      <c r="HJ93" s="667"/>
      <c r="HK93" s="667"/>
      <c r="HL93" s="667"/>
      <c r="HM93" s="667"/>
      <c r="HN93" s="667"/>
      <c r="HO93" s="667"/>
      <c r="HP93" s="667"/>
      <c r="HQ93" s="667"/>
      <c r="HR93" s="667"/>
      <c r="HS93" s="667"/>
      <c r="HT93" s="667"/>
      <c r="HU93" s="667"/>
      <c r="HV93" s="667"/>
      <c r="HW93" s="667"/>
    </row>
    <row r="94" spans="1:231" ht="14.1" customHeight="1">
      <c r="A94" s="667"/>
      <c r="B94" s="691"/>
      <c r="C94" s="691"/>
      <c r="E94" s="712"/>
      <c r="F94" s="667"/>
      <c r="G94" s="667"/>
      <c r="H94" s="667"/>
      <c r="I94" s="667"/>
      <c r="K94" s="683"/>
      <c r="L94" s="666"/>
      <c r="M94" s="666"/>
      <c r="N94" s="666"/>
      <c r="O94" s="666"/>
      <c r="P94" s="666"/>
      <c r="Q94" s="666"/>
      <c r="R94" s="666"/>
      <c r="S94" s="666"/>
      <c r="T94" s="666"/>
      <c r="U94" s="666"/>
      <c r="V94" s="666"/>
      <c r="W94" s="666"/>
      <c r="X94" s="667"/>
      <c r="Y94" s="667"/>
      <c r="Z94" s="667"/>
      <c r="AA94" s="667"/>
      <c r="AB94" s="667"/>
      <c r="AC94" s="667"/>
      <c r="AD94" s="667"/>
      <c r="AE94" s="667"/>
      <c r="AF94" s="667"/>
      <c r="AG94" s="667"/>
      <c r="AH94" s="667"/>
      <c r="AI94" s="667"/>
      <c r="AJ94" s="667"/>
      <c r="AK94" s="667"/>
      <c r="AL94" s="667"/>
      <c r="AM94" s="667"/>
      <c r="AN94" s="667"/>
      <c r="AO94" s="667"/>
      <c r="AP94" s="667"/>
      <c r="AQ94" s="667"/>
      <c r="AR94" s="667"/>
      <c r="AS94" s="667"/>
      <c r="AT94" s="667"/>
      <c r="AU94" s="667"/>
      <c r="AV94" s="667"/>
      <c r="AW94" s="667"/>
      <c r="AX94" s="667"/>
      <c r="AY94" s="667"/>
      <c r="AZ94" s="667"/>
      <c r="BA94" s="667"/>
      <c r="BB94" s="667"/>
      <c r="BC94" s="667"/>
      <c r="BD94" s="667"/>
      <c r="BE94" s="667"/>
      <c r="BF94" s="667"/>
      <c r="BG94" s="667"/>
      <c r="BH94" s="667"/>
      <c r="BI94" s="667"/>
      <c r="BJ94" s="667"/>
      <c r="BK94" s="667"/>
      <c r="BL94" s="667"/>
      <c r="BM94" s="667"/>
      <c r="BN94" s="667"/>
      <c r="BO94" s="667"/>
      <c r="BP94" s="667"/>
      <c r="BQ94" s="667"/>
      <c r="BR94" s="667"/>
      <c r="BS94" s="667"/>
      <c r="BT94" s="667"/>
      <c r="BU94" s="667"/>
      <c r="BV94" s="667"/>
      <c r="BW94" s="667"/>
      <c r="BX94" s="667"/>
      <c r="BY94" s="667"/>
      <c r="BZ94" s="667"/>
      <c r="CA94" s="667"/>
      <c r="CB94" s="667"/>
      <c r="CC94" s="667"/>
      <c r="CD94" s="667"/>
      <c r="CE94" s="667"/>
      <c r="CF94" s="667"/>
      <c r="CG94" s="667"/>
      <c r="CH94" s="667"/>
      <c r="CI94" s="667"/>
      <c r="CJ94" s="667"/>
      <c r="CK94" s="667"/>
      <c r="CL94" s="667"/>
      <c r="CM94" s="667"/>
      <c r="CN94" s="667"/>
      <c r="CO94" s="667"/>
      <c r="CP94" s="667"/>
      <c r="CQ94" s="667"/>
      <c r="CR94" s="667"/>
      <c r="CS94" s="667"/>
      <c r="CT94" s="667"/>
      <c r="CU94" s="667"/>
      <c r="CV94" s="667"/>
      <c r="CW94" s="667"/>
      <c r="CX94" s="667"/>
      <c r="CY94" s="667"/>
      <c r="CZ94" s="667"/>
      <c r="DA94" s="667"/>
      <c r="DB94" s="667"/>
      <c r="DC94" s="667"/>
      <c r="DD94" s="667"/>
      <c r="DE94" s="667"/>
      <c r="DF94" s="667"/>
      <c r="DG94" s="667"/>
      <c r="DH94" s="667"/>
      <c r="DI94" s="667"/>
      <c r="DJ94" s="667"/>
      <c r="DK94" s="667"/>
      <c r="DL94" s="667"/>
      <c r="DM94" s="667"/>
      <c r="DN94" s="667"/>
      <c r="DO94" s="667"/>
      <c r="DP94" s="667"/>
      <c r="DQ94" s="667"/>
      <c r="DR94" s="667"/>
      <c r="DS94" s="667"/>
      <c r="DT94" s="667"/>
      <c r="DU94" s="667"/>
      <c r="DV94" s="667"/>
      <c r="DW94" s="667"/>
      <c r="DX94" s="667"/>
      <c r="DY94" s="667"/>
      <c r="DZ94" s="667"/>
      <c r="EA94" s="667"/>
      <c r="EB94" s="667"/>
      <c r="EC94" s="667"/>
      <c r="ED94" s="667"/>
      <c r="EE94" s="667"/>
      <c r="EF94" s="667"/>
      <c r="EG94" s="667"/>
      <c r="EH94" s="667"/>
      <c r="EI94" s="667"/>
      <c r="EJ94" s="667"/>
      <c r="EK94" s="667"/>
      <c r="EL94" s="667"/>
      <c r="EM94" s="667"/>
      <c r="EN94" s="667"/>
      <c r="EO94" s="667"/>
      <c r="EP94" s="667"/>
      <c r="EQ94" s="667"/>
      <c r="ER94" s="667"/>
      <c r="ES94" s="667"/>
      <c r="ET94" s="667"/>
      <c r="EU94" s="667"/>
      <c r="EV94" s="667"/>
      <c r="EW94" s="667"/>
      <c r="EX94" s="667"/>
      <c r="EY94" s="667"/>
      <c r="EZ94" s="667"/>
      <c r="FA94" s="667"/>
      <c r="FB94" s="667"/>
      <c r="FC94" s="667"/>
      <c r="FD94" s="667"/>
      <c r="FE94" s="667"/>
      <c r="FF94" s="667"/>
      <c r="FG94" s="667"/>
      <c r="FH94" s="667"/>
      <c r="FI94" s="667"/>
      <c r="FJ94" s="667"/>
      <c r="FK94" s="667"/>
      <c r="FL94" s="667"/>
      <c r="FM94" s="667"/>
      <c r="FN94" s="667"/>
      <c r="FO94" s="667"/>
      <c r="FP94" s="667"/>
      <c r="FQ94" s="667"/>
      <c r="FR94" s="667"/>
      <c r="FS94" s="667"/>
      <c r="FT94" s="667"/>
      <c r="FU94" s="667"/>
      <c r="FV94" s="667"/>
      <c r="FW94" s="667"/>
      <c r="FX94" s="667"/>
      <c r="FY94" s="667"/>
      <c r="FZ94" s="667"/>
      <c r="GA94" s="667"/>
      <c r="GB94" s="667"/>
      <c r="GC94" s="667"/>
      <c r="GD94" s="667"/>
      <c r="GE94" s="667"/>
      <c r="GF94" s="667"/>
      <c r="GG94" s="667"/>
      <c r="GH94" s="667"/>
      <c r="GI94" s="667"/>
      <c r="GJ94" s="667"/>
      <c r="GK94" s="667"/>
      <c r="GL94" s="667"/>
      <c r="GM94" s="667"/>
      <c r="GN94" s="667"/>
      <c r="GO94" s="667"/>
      <c r="GP94" s="667"/>
      <c r="GQ94" s="667"/>
      <c r="GR94" s="667"/>
      <c r="GS94" s="667"/>
      <c r="GT94" s="667"/>
      <c r="GU94" s="667"/>
      <c r="GV94" s="667"/>
      <c r="GW94" s="667"/>
      <c r="GX94" s="667"/>
      <c r="GY94" s="667"/>
      <c r="GZ94" s="667"/>
      <c r="HA94" s="667"/>
      <c r="HB94" s="667"/>
      <c r="HC94" s="667"/>
      <c r="HD94" s="667"/>
      <c r="HE94" s="667"/>
      <c r="HF94" s="667"/>
      <c r="HG94" s="667"/>
      <c r="HH94" s="667"/>
      <c r="HI94" s="667"/>
      <c r="HJ94" s="667"/>
      <c r="HK94" s="667"/>
      <c r="HL94" s="667"/>
      <c r="HM94" s="667"/>
      <c r="HN94" s="667"/>
      <c r="HO94" s="667"/>
      <c r="HP94" s="667"/>
      <c r="HQ94" s="667"/>
      <c r="HR94" s="667"/>
      <c r="HS94" s="667"/>
      <c r="HT94" s="667"/>
      <c r="HU94" s="667"/>
      <c r="HV94" s="667"/>
      <c r="HW94" s="667"/>
    </row>
    <row r="95" spans="1:231" ht="14.1" customHeight="1">
      <c r="A95" s="667"/>
      <c r="B95" s="691"/>
      <c r="C95" s="691"/>
      <c r="E95" s="712"/>
      <c r="F95" s="667"/>
      <c r="G95" s="667"/>
      <c r="H95" s="667"/>
      <c r="I95" s="667"/>
      <c r="K95" s="683"/>
      <c r="L95" s="666"/>
      <c r="M95" s="666"/>
      <c r="N95" s="666"/>
      <c r="O95" s="666"/>
      <c r="P95" s="666"/>
      <c r="Q95" s="666"/>
      <c r="R95" s="666"/>
      <c r="S95" s="666"/>
      <c r="T95" s="666"/>
      <c r="U95" s="666"/>
      <c r="V95" s="666"/>
      <c r="W95" s="666"/>
      <c r="X95" s="667"/>
      <c r="Y95" s="667"/>
      <c r="Z95" s="667"/>
      <c r="AA95" s="667"/>
      <c r="AB95" s="667"/>
      <c r="AC95" s="667"/>
      <c r="AD95" s="667"/>
      <c r="AE95" s="667"/>
      <c r="AF95" s="667"/>
      <c r="AG95" s="667"/>
      <c r="AH95" s="667"/>
      <c r="AI95" s="667"/>
      <c r="AJ95" s="667"/>
      <c r="AK95" s="667"/>
      <c r="AL95" s="667"/>
      <c r="AM95" s="667"/>
      <c r="AN95" s="667"/>
      <c r="AO95" s="667"/>
      <c r="AP95" s="667"/>
      <c r="AQ95" s="667"/>
      <c r="AR95" s="667"/>
      <c r="AS95" s="667"/>
      <c r="AT95" s="667"/>
      <c r="AU95" s="667"/>
      <c r="AV95" s="667"/>
      <c r="AW95" s="667"/>
      <c r="AX95" s="667"/>
      <c r="AY95" s="667"/>
      <c r="AZ95" s="667"/>
      <c r="BA95" s="667"/>
      <c r="BB95" s="667"/>
      <c r="BC95" s="667"/>
      <c r="BD95" s="667"/>
      <c r="BE95" s="667"/>
      <c r="BF95" s="667"/>
      <c r="BG95" s="667"/>
      <c r="BH95" s="667"/>
      <c r="BI95" s="667"/>
      <c r="BJ95" s="667"/>
      <c r="BK95" s="667"/>
      <c r="BL95" s="667"/>
      <c r="BM95" s="667"/>
      <c r="BN95" s="667"/>
      <c r="BO95" s="667"/>
      <c r="BP95" s="667"/>
      <c r="BQ95" s="667"/>
      <c r="BR95" s="667"/>
      <c r="BS95" s="667"/>
      <c r="BT95" s="667"/>
      <c r="BU95" s="667"/>
      <c r="BV95" s="667"/>
      <c r="BW95" s="667"/>
      <c r="BX95" s="667"/>
      <c r="BY95" s="667"/>
      <c r="BZ95" s="667"/>
      <c r="CA95" s="667"/>
      <c r="CB95" s="667"/>
      <c r="CC95" s="667"/>
      <c r="CD95" s="667"/>
      <c r="CE95" s="667"/>
      <c r="CF95" s="667"/>
      <c r="CG95" s="667"/>
      <c r="CH95" s="667"/>
      <c r="CI95" s="667"/>
      <c r="CJ95" s="667"/>
      <c r="CK95" s="667"/>
      <c r="CL95" s="667"/>
      <c r="CM95" s="667"/>
      <c r="CN95" s="667"/>
      <c r="CO95" s="667"/>
      <c r="CP95" s="667"/>
      <c r="CQ95" s="667"/>
      <c r="CR95" s="667"/>
      <c r="CS95" s="667"/>
      <c r="CT95" s="667"/>
      <c r="CU95" s="667"/>
      <c r="CV95" s="667"/>
      <c r="CW95" s="667"/>
      <c r="CX95" s="667"/>
      <c r="CY95" s="667"/>
      <c r="CZ95" s="667"/>
      <c r="DA95" s="667"/>
      <c r="DB95" s="667"/>
      <c r="DC95" s="667"/>
      <c r="DD95" s="667"/>
      <c r="DE95" s="667"/>
      <c r="DF95" s="667"/>
      <c r="DG95" s="667"/>
      <c r="DH95" s="667"/>
      <c r="DI95" s="667"/>
      <c r="DJ95" s="667"/>
      <c r="DK95" s="667"/>
      <c r="DL95" s="667"/>
      <c r="DM95" s="667"/>
      <c r="DN95" s="667"/>
      <c r="DO95" s="667"/>
      <c r="DP95" s="667"/>
      <c r="DQ95" s="667"/>
      <c r="DR95" s="667"/>
      <c r="DS95" s="667"/>
      <c r="DT95" s="667"/>
      <c r="DU95" s="667"/>
      <c r="DV95" s="667"/>
      <c r="DW95" s="667"/>
      <c r="DX95" s="667"/>
      <c r="DY95" s="667"/>
      <c r="DZ95" s="667"/>
      <c r="EA95" s="667"/>
      <c r="EB95" s="667"/>
      <c r="EC95" s="667"/>
      <c r="ED95" s="667"/>
      <c r="EE95" s="667"/>
      <c r="EF95" s="667"/>
      <c r="EG95" s="667"/>
      <c r="EH95" s="667"/>
      <c r="EI95" s="667"/>
      <c r="EJ95" s="667"/>
      <c r="EK95" s="667"/>
      <c r="EL95" s="667"/>
      <c r="EM95" s="667"/>
      <c r="EN95" s="667"/>
      <c r="EO95" s="667"/>
      <c r="EP95" s="667"/>
      <c r="EQ95" s="667"/>
      <c r="ER95" s="667"/>
      <c r="ES95" s="667"/>
      <c r="ET95" s="667"/>
      <c r="EU95" s="667"/>
      <c r="EV95" s="667"/>
      <c r="EW95" s="667"/>
      <c r="EX95" s="667"/>
      <c r="EY95" s="667"/>
      <c r="EZ95" s="667"/>
      <c r="FA95" s="667"/>
      <c r="FB95" s="667"/>
      <c r="FC95" s="667"/>
      <c r="FD95" s="667"/>
      <c r="FE95" s="667"/>
      <c r="FF95" s="667"/>
      <c r="FG95" s="667"/>
      <c r="FH95" s="667"/>
      <c r="FI95" s="667"/>
      <c r="FJ95" s="667"/>
      <c r="FK95" s="667"/>
      <c r="FL95" s="667"/>
      <c r="FM95" s="667"/>
      <c r="FN95" s="667"/>
      <c r="FO95" s="667"/>
      <c r="FP95" s="667"/>
      <c r="FQ95" s="667"/>
      <c r="FR95" s="667"/>
      <c r="FS95" s="667"/>
      <c r="FT95" s="667"/>
      <c r="FU95" s="667"/>
      <c r="FV95" s="667"/>
      <c r="FW95" s="667"/>
      <c r="FX95" s="667"/>
      <c r="FY95" s="667"/>
      <c r="FZ95" s="667"/>
      <c r="GA95" s="667"/>
      <c r="GB95" s="667"/>
      <c r="GC95" s="667"/>
      <c r="GD95" s="667"/>
      <c r="GE95" s="667"/>
      <c r="GF95" s="667"/>
      <c r="GG95" s="667"/>
      <c r="GH95" s="667"/>
      <c r="GI95" s="667"/>
      <c r="GJ95" s="667"/>
      <c r="GK95" s="667"/>
      <c r="GL95" s="667"/>
      <c r="GM95" s="667"/>
      <c r="GN95" s="667"/>
      <c r="GO95" s="667"/>
      <c r="GP95" s="667"/>
      <c r="GQ95" s="667"/>
      <c r="GR95" s="667"/>
      <c r="GS95" s="667"/>
      <c r="GT95" s="667"/>
      <c r="GU95" s="667"/>
      <c r="GV95" s="667"/>
      <c r="GW95" s="667"/>
      <c r="GX95" s="667"/>
      <c r="GY95" s="667"/>
      <c r="GZ95" s="667"/>
      <c r="HA95" s="667"/>
      <c r="HB95" s="667"/>
      <c r="HC95" s="667"/>
      <c r="HD95" s="667"/>
      <c r="HE95" s="667"/>
      <c r="HF95" s="667"/>
      <c r="HG95" s="667"/>
      <c r="HH95" s="667"/>
      <c r="HI95" s="667"/>
      <c r="HJ95" s="667"/>
      <c r="HK95" s="667"/>
      <c r="HL95" s="667"/>
      <c r="HM95" s="667"/>
      <c r="HN95" s="667"/>
      <c r="HO95" s="667"/>
      <c r="HP95" s="667"/>
      <c r="HQ95" s="667"/>
      <c r="HR95" s="667"/>
      <c r="HS95" s="667"/>
      <c r="HT95" s="667"/>
      <c r="HU95" s="667"/>
      <c r="HV95" s="667"/>
      <c r="HW95" s="667"/>
    </row>
    <row r="96" spans="1:231" ht="14.1" customHeight="1">
      <c r="A96" s="667"/>
      <c r="B96" s="691"/>
      <c r="C96" s="691"/>
      <c r="E96" s="712"/>
      <c r="F96" s="667"/>
      <c r="G96" s="667"/>
      <c r="H96" s="667"/>
      <c r="I96" s="667"/>
      <c r="K96" s="683"/>
      <c r="L96" s="666"/>
      <c r="M96" s="666"/>
      <c r="N96" s="666"/>
      <c r="O96" s="666"/>
      <c r="P96" s="666"/>
      <c r="Q96" s="666"/>
      <c r="R96" s="666"/>
      <c r="S96" s="666"/>
      <c r="T96" s="666"/>
      <c r="U96" s="666"/>
      <c r="V96" s="666"/>
      <c r="W96" s="666"/>
      <c r="X96" s="667"/>
      <c r="Y96" s="667"/>
      <c r="Z96" s="667"/>
      <c r="AA96" s="667"/>
      <c r="AB96" s="667"/>
      <c r="AC96" s="667"/>
      <c r="AD96" s="667"/>
      <c r="AE96" s="667"/>
      <c r="AF96" s="667"/>
      <c r="AG96" s="667"/>
      <c r="AH96" s="667"/>
      <c r="AI96" s="667"/>
      <c r="AJ96" s="667"/>
      <c r="AK96" s="667"/>
      <c r="AL96" s="667"/>
      <c r="AM96" s="667"/>
      <c r="AN96" s="667"/>
      <c r="AO96" s="667"/>
      <c r="AP96" s="667"/>
      <c r="AQ96" s="667"/>
      <c r="AR96" s="667"/>
      <c r="AS96" s="667"/>
      <c r="AT96" s="667"/>
      <c r="AU96" s="667"/>
      <c r="AV96" s="667"/>
      <c r="AW96" s="667"/>
      <c r="AX96" s="667"/>
      <c r="AY96" s="667"/>
      <c r="AZ96" s="667"/>
      <c r="BA96" s="667"/>
      <c r="BB96" s="667"/>
      <c r="BC96" s="667"/>
      <c r="BD96" s="667"/>
      <c r="BE96" s="667"/>
      <c r="BF96" s="667"/>
      <c r="BG96" s="667"/>
      <c r="BH96" s="667"/>
      <c r="BI96" s="667"/>
      <c r="BJ96" s="667"/>
      <c r="BK96" s="667"/>
      <c r="BL96" s="667"/>
      <c r="BM96" s="667"/>
      <c r="BN96" s="667"/>
      <c r="BO96" s="667"/>
      <c r="BP96" s="667"/>
      <c r="BQ96" s="667"/>
      <c r="BR96" s="667"/>
      <c r="BS96" s="667"/>
      <c r="BT96" s="667"/>
      <c r="BU96" s="667"/>
      <c r="BV96" s="667"/>
      <c r="BW96" s="667"/>
      <c r="BX96" s="667"/>
      <c r="BY96" s="667"/>
      <c r="BZ96" s="667"/>
      <c r="CA96" s="667"/>
      <c r="CB96" s="667"/>
      <c r="CC96" s="667"/>
      <c r="CD96" s="667"/>
      <c r="CE96" s="667"/>
      <c r="CF96" s="667"/>
      <c r="CG96" s="667"/>
      <c r="CH96" s="667"/>
      <c r="CI96" s="667"/>
      <c r="CJ96" s="667"/>
      <c r="CK96" s="667"/>
      <c r="CL96" s="667"/>
      <c r="CM96" s="667"/>
      <c r="CN96" s="667"/>
      <c r="CO96" s="667"/>
      <c r="CP96" s="667"/>
      <c r="CQ96" s="667"/>
      <c r="CR96" s="667"/>
      <c r="CS96" s="667"/>
      <c r="CT96" s="667"/>
      <c r="CU96" s="667"/>
      <c r="CV96" s="667"/>
      <c r="CW96" s="667"/>
      <c r="CX96" s="667"/>
      <c r="CY96" s="667"/>
      <c r="CZ96" s="667"/>
      <c r="DA96" s="667"/>
      <c r="DB96" s="667"/>
      <c r="DC96" s="667"/>
      <c r="DD96" s="667"/>
      <c r="DE96" s="667"/>
      <c r="DF96" s="667"/>
      <c r="DG96" s="667"/>
      <c r="DH96" s="667"/>
      <c r="DI96" s="667"/>
      <c r="DJ96" s="667"/>
      <c r="DK96" s="667"/>
      <c r="DL96" s="667"/>
      <c r="DM96" s="667"/>
      <c r="DN96" s="667"/>
      <c r="DO96" s="667"/>
      <c r="DP96" s="667"/>
      <c r="DQ96" s="667"/>
      <c r="DR96" s="667"/>
      <c r="DS96" s="667"/>
      <c r="DT96" s="667"/>
      <c r="DU96" s="667"/>
      <c r="DV96" s="667"/>
      <c r="DW96" s="667"/>
      <c r="DX96" s="667"/>
      <c r="DY96" s="667"/>
      <c r="DZ96" s="667"/>
      <c r="EA96" s="667"/>
      <c r="EB96" s="667"/>
      <c r="EC96" s="667"/>
      <c r="ED96" s="667"/>
      <c r="EE96" s="667"/>
      <c r="EF96" s="667"/>
      <c r="EG96" s="667"/>
      <c r="EH96" s="667"/>
      <c r="EI96" s="667"/>
      <c r="EJ96" s="667"/>
      <c r="EK96" s="667"/>
      <c r="EL96" s="667"/>
      <c r="EM96" s="667"/>
      <c r="EN96" s="667"/>
      <c r="EO96" s="667"/>
      <c r="EP96" s="667"/>
      <c r="EQ96" s="667"/>
      <c r="ER96" s="667"/>
      <c r="ES96" s="667"/>
      <c r="ET96" s="667"/>
      <c r="EU96" s="667"/>
      <c r="EV96" s="667"/>
      <c r="EW96" s="667"/>
      <c r="EX96" s="667"/>
      <c r="EY96" s="667"/>
      <c r="EZ96" s="667"/>
      <c r="FA96" s="667"/>
      <c r="FB96" s="667"/>
      <c r="FC96" s="667"/>
      <c r="FD96" s="667"/>
      <c r="FE96" s="667"/>
      <c r="FF96" s="667"/>
      <c r="FG96" s="667"/>
      <c r="FH96" s="667"/>
      <c r="FI96" s="667"/>
      <c r="FJ96" s="667"/>
      <c r="FK96" s="667"/>
      <c r="FL96" s="667"/>
      <c r="FM96" s="667"/>
      <c r="FN96" s="667"/>
      <c r="FO96" s="667"/>
      <c r="FP96" s="667"/>
      <c r="FQ96" s="667"/>
      <c r="FR96" s="667"/>
      <c r="FS96" s="667"/>
      <c r="FT96" s="667"/>
      <c r="FU96" s="667"/>
      <c r="FV96" s="667"/>
      <c r="FW96" s="667"/>
      <c r="FX96" s="667"/>
      <c r="FY96" s="667"/>
      <c r="FZ96" s="667"/>
      <c r="GA96" s="667"/>
      <c r="GB96" s="667"/>
      <c r="GC96" s="667"/>
      <c r="GD96" s="667"/>
      <c r="GE96" s="667"/>
      <c r="GF96" s="667"/>
      <c r="GG96" s="667"/>
      <c r="GH96" s="667"/>
      <c r="GI96" s="667"/>
      <c r="GJ96" s="667"/>
      <c r="GK96" s="667"/>
      <c r="GL96" s="667"/>
      <c r="GM96" s="667"/>
      <c r="GN96" s="667"/>
      <c r="GO96" s="667"/>
      <c r="GP96" s="667"/>
      <c r="GQ96" s="667"/>
      <c r="GR96" s="667"/>
      <c r="GS96" s="667"/>
      <c r="GT96" s="667"/>
      <c r="GU96" s="667"/>
      <c r="GV96" s="667"/>
      <c r="GW96" s="667"/>
      <c r="GX96" s="667"/>
      <c r="GY96" s="667"/>
      <c r="GZ96" s="667"/>
      <c r="HA96" s="667"/>
      <c r="HB96" s="667"/>
      <c r="HC96" s="667"/>
      <c r="HD96" s="667"/>
      <c r="HE96" s="667"/>
      <c r="HF96" s="667"/>
      <c r="HG96" s="667"/>
      <c r="HH96" s="667"/>
      <c r="HI96" s="667"/>
      <c r="HJ96" s="667"/>
      <c r="HK96" s="667"/>
      <c r="HL96" s="667"/>
      <c r="HM96" s="667"/>
      <c r="HN96" s="667"/>
      <c r="HO96" s="667"/>
      <c r="HP96" s="667"/>
      <c r="HQ96" s="667"/>
      <c r="HR96" s="667"/>
      <c r="HS96" s="667"/>
      <c r="HT96" s="667"/>
      <c r="HU96" s="667"/>
      <c r="HV96" s="667"/>
      <c r="HW96" s="667"/>
    </row>
    <row r="97" spans="1:231" ht="14.1" customHeight="1">
      <c r="A97" s="667"/>
      <c r="B97" s="691"/>
      <c r="C97" s="691"/>
      <c r="E97" s="712"/>
      <c r="F97" s="667"/>
      <c r="G97" s="667"/>
      <c r="H97" s="667"/>
      <c r="I97" s="667"/>
      <c r="K97" s="683"/>
      <c r="L97" s="666"/>
      <c r="M97" s="666"/>
      <c r="N97" s="666"/>
      <c r="O97" s="666"/>
      <c r="P97" s="666"/>
      <c r="Q97" s="666"/>
      <c r="R97" s="666"/>
      <c r="S97" s="666"/>
      <c r="T97" s="666"/>
      <c r="U97" s="666"/>
      <c r="V97" s="666"/>
      <c r="W97" s="666"/>
      <c r="X97" s="667"/>
      <c r="Y97" s="667"/>
      <c r="Z97" s="667"/>
      <c r="AA97" s="667"/>
      <c r="AB97" s="667"/>
      <c r="AC97" s="667"/>
      <c r="AD97" s="667"/>
      <c r="AE97" s="667"/>
      <c r="AF97" s="667"/>
      <c r="AG97" s="667"/>
      <c r="AH97" s="667"/>
      <c r="AI97" s="667"/>
      <c r="AJ97" s="667"/>
      <c r="AK97" s="667"/>
      <c r="AL97" s="667"/>
      <c r="AM97" s="667"/>
      <c r="AN97" s="667"/>
      <c r="AO97" s="667"/>
      <c r="AP97" s="667"/>
      <c r="AQ97" s="667"/>
      <c r="AR97" s="667"/>
      <c r="AS97" s="667"/>
      <c r="AT97" s="667"/>
      <c r="AU97" s="667"/>
      <c r="AV97" s="667"/>
      <c r="AW97" s="667"/>
      <c r="AX97" s="667"/>
      <c r="AY97" s="667"/>
      <c r="AZ97" s="667"/>
      <c r="BA97" s="667"/>
      <c r="BB97" s="667"/>
      <c r="BC97" s="667"/>
      <c r="BD97" s="667"/>
      <c r="BE97" s="667"/>
      <c r="BF97" s="667"/>
      <c r="BG97" s="667"/>
      <c r="BH97" s="667"/>
      <c r="BI97" s="667"/>
      <c r="BJ97" s="667"/>
      <c r="BK97" s="667"/>
      <c r="BL97" s="667"/>
      <c r="BM97" s="667"/>
      <c r="BN97" s="667"/>
      <c r="BO97" s="667"/>
      <c r="BP97" s="667"/>
      <c r="BQ97" s="667"/>
      <c r="BR97" s="667"/>
      <c r="BS97" s="667"/>
      <c r="BT97" s="667"/>
      <c r="BU97" s="667"/>
      <c r="BV97" s="667"/>
      <c r="BW97" s="667"/>
      <c r="BX97" s="667"/>
      <c r="BY97" s="667"/>
      <c r="BZ97" s="667"/>
      <c r="CA97" s="667"/>
      <c r="CB97" s="667"/>
      <c r="CC97" s="667"/>
      <c r="CD97" s="667"/>
      <c r="CE97" s="667"/>
      <c r="CF97" s="667"/>
      <c r="CG97" s="667"/>
      <c r="CH97" s="667"/>
      <c r="CI97" s="667"/>
      <c r="CJ97" s="667"/>
      <c r="CK97" s="667"/>
      <c r="CL97" s="667"/>
      <c r="CM97" s="667"/>
      <c r="CN97" s="667"/>
      <c r="CO97" s="667"/>
      <c r="CP97" s="667"/>
      <c r="CQ97" s="667"/>
      <c r="CR97" s="667"/>
      <c r="CS97" s="667"/>
      <c r="CT97" s="667"/>
      <c r="CU97" s="667"/>
      <c r="CV97" s="667"/>
      <c r="CW97" s="667"/>
      <c r="CX97" s="667"/>
      <c r="CY97" s="667"/>
      <c r="CZ97" s="667"/>
      <c r="DA97" s="667"/>
      <c r="DB97" s="667"/>
      <c r="DC97" s="667"/>
      <c r="DD97" s="667"/>
      <c r="DE97" s="667"/>
      <c r="DF97" s="667"/>
      <c r="DG97" s="667"/>
      <c r="DH97" s="667"/>
      <c r="DI97" s="667"/>
      <c r="DJ97" s="667"/>
      <c r="DK97" s="667"/>
      <c r="DL97" s="667"/>
      <c r="DM97" s="667"/>
      <c r="DN97" s="667"/>
      <c r="DO97" s="667"/>
      <c r="DP97" s="667"/>
      <c r="DQ97" s="667"/>
      <c r="DR97" s="667"/>
      <c r="DS97" s="667"/>
      <c r="DT97" s="667"/>
      <c r="DU97" s="667"/>
      <c r="DV97" s="667"/>
      <c r="DW97" s="667"/>
      <c r="DX97" s="667"/>
      <c r="DY97" s="667"/>
      <c r="DZ97" s="667"/>
      <c r="EA97" s="667"/>
      <c r="EB97" s="667"/>
      <c r="EC97" s="667"/>
      <c r="ED97" s="667"/>
      <c r="EE97" s="667"/>
      <c r="EF97" s="667"/>
      <c r="EG97" s="667"/>
      <c r="EH97" s="667"/>
      <c r="EI97" s="667"/>
      <c r="EJ97" s="667"/>
      <c r="EK97" s="667"/>
      <c r="EL97" s="667"/>
      <c r="EM97" s="667"/>
      <c r="EN97" s="667"/>
      <c r="EO97" s="667"/>
      <c r="EP97" s="667"/>
      <c r="EQ97" s="667"/>
      <c r="ER97" s="667"/>
      <c r="ES97" s="667"/>
      <c r="ET97" s="667"/>
      <c r="EU97" s="667"/>
      <c r="EV97" s="667"/>
      <c r="EW97" s="667"/>
      <c r="EX97" s="667"/>
      <c r="EY97" s="667"/>
      <c r="EZ97" s="667"/>
      <c r="FA97" s="667"/>
      <c r="FB97" s="667"/>
      <c r="FC97" s="667"/>
      <c r="FD97" s="667"/>
      <c r="FE97" s="667"/>
      <c r="FF97" s="667"/>
      <c r="FG97" s="667"/>
      <c r="FH97" s="667"/>
      <c r="FI97" s="667"/>
      <c r="FJ97" s="667"/>
      <c r="FK97" s="667"/>
      <c r="FL97" s="667"/>
      <c r="FM97" s="667"/>
      <c r="FN97" s="667"/>
      <c r="FO97" s="667"/>
      <c r="FP97" s="667"/>
      <c r="FQ97" s="667"/>
      <c r="FR97" s="667"/>
      <c r="FS97" s="667"/>
      <c r="FT97" s="667"/>
      <c r="FU97" s="667"/>
      <c r="FV97" s="667"/>
      <c r="FW97" s="667"/>
      <c r="FX97" s="667"/>
      <c r="FY97" s="667"/>
      <c r="FZ97" s="667"/>
      <c r="GA97" s="667"/>
      <c r="GB97" s="667"/>
      <c r="GC97" s="667"/>
      <c r="GD97" s="667"/>
      <c r="GE97" s="667"/>
      <c r="GF97" s="667"/>
      <c r="GG97" s="667"/>
      <c r="GH97" s="667"/>
      <c r="GI97" s="667"/>
      <c r="GJ97" s="667"/>
      <c r="GK97" s="667"/>
      <c r="GL97" s="667"/>
      <c r="GM97" s="667"/>
      <c r="GN97" s="667"/>
      <c r="GO97" s="667"/>
      <c r="GP97" s="667"/>
      <c r="GQ97" s="667"/>
      <c r="GR97" s="667"/>
      <c r="GS97" s="667"/>
      <c r="GT97" s="667"/>
      <c r="GU97" s="667"/>
      <c r="GV97" s="667"/>
      <c r="GW97" s="667"/>
      <c r="GX97" s="667"/>
      <c r="GY97" s="667"/>
      <c r="GZ97" s="667"/>
      <c r="HA97" s="667"/>
      <c r="HB97" s="667"/>
      <c r="HC97" s="667"/>
      <c r="HD97" s="667"/>
      <c r="HE97" s="667"/>
      <c r="HF97" s="667"/>
      <c r="HG97" s="667"/>
      <c r="HH97" s="667"/>
      <c r="HI97" s="667"/>
      <c r="HJ97" s="667"/>
      <c r="HK97" s="667"/>
      <c r="HL97" s="667"/>
      <c r="HM97" s="667"/>
      <c r="HN97" s="667"/>
      <c r="HO97" s="667"/>
      <c r="HP97" s="667"/>
      <c r="HQ97" s="667"/>
      <c r="HR97" s="667"/>
      <c r="HS97" s="667"/>
      <c r="HT97" s="667"/>
      <c r="HU97" s="667"/>
      <c r="HV97" s="667"/>
      <c r="HW97" s="667"/>
    </row>
    <row r="98" spans="1:231" ht="14.1" customHeight="1">
      <c r="A98" s="667"/>
      <c r="B98" s="691"/>
      <c r="C98" s="691"/>
      <c r="E98" s="712"/>
      <c r="F98" s="667"/>
      <c r="G98" s="667"/>
      <c r="H98" s="667"/>
      <c r="I98" s="667"/>
      <c r="K98" s="683"/>
      <c r="L98" s="666"/>
      <c r="M98" s="666"/>
      <c r="N98" s="666"/>
      <c r="O98" s="666"/>
      <c r="P98" s="666"/>
      <c r="Q98" s="666"/>
      <c r="R98" s="666"/>
      <c r="S98" s="666"/>
      <c r="T98" s="666"/>
      <c r="U98" s="666"/>
      <c r="V98" s="666"/>
      <c r="W98" s="666"/>
      <c r="X98" s="667"/>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7"/>
      <c r="AY98" s="667"/>
      <c r="AZ98" s="667"/>
      <c r="BA98" s="667"/>
      <c r="BB98" s="667"/>
      <c r="BC98" s="667"/>
      <c r="BD98" s="667"/>
      <c r="BE98" s="667"/>
      <c r="BF98" s="667"/>
      <c r="BG98" s="667"/>
      <c r="BH98" s="667"/>
      <c r="BI98" s="667"/>
      <c r="BJ98" s="667"/>
      <c r="BK98" s="667"/>
      <c r="BL98" s="667"/>
      <c r="BM98" s="667"/>
      <c r="BN98" s="667"/>
      <c r="BO98" s="667"/>
      <c r="BP98" s="667"/>
      <c r="BQ98" s="667"/>
      <c r="BR98" s="667"/>
      <c r="BS98" s="667"/>
      <c r="BT98" s="667"/>
      <c r="BU98" s="667"/>
      <c r="BV98" s="667"/>
      <c r="BW98" s="667"/>
      <c r="BX98" s="667"/>
      <c r="BY98" s="667"/>
      <c r="BZ98" s="667"/>
      <c r="CA98" s="667"/>
      <c r="CB98" s="667"/>
      <c r="CC98" s="667"/>
      <c r="CD98" s="667"/>
      <c r="CE98" s="667"/>
      <c r="CF98" s="667"/>
      <c r="CG98" s="667"/>
      <c r="CH98" s="667"/>
      <c r="CI98" s="667"/>
      <c r="CJ98" s="667"/>
      <c r="CK98" s="667"/>
      <c r="CL98" s="667"/>
      <c r="CM98" s="667"/>
      <c r="CN98" s="667"/>
      <c r="CO98" s="667"/>
      <c r="CP98" s="667"/>
      <c r="CQ98" s="667"/>
      <c r="CR98" s="667"/>
      <c r="CS98" s="667"/>
      <c r="CT98" s="667"/>
      <c r="CU98" s="667"/>
      <c r="CV98" s="667"/>
      <c r="CW98" s="667"/>
      <c r="CX98" s="667"/>
      <c r="CY98" s="667"/>
      <c r="CZ98" s="667"/>
      <c r="DA98" s="667"/>
      <c r="DB98" s="667"/>
      <c r="DC98" s="667"/>
      <c r="DD98" s="667"/>
      <c r="DE98" s="667"/>
      <c r="DF98" s="667"/>
      <c r="DG98" s="667"/>
      <c r="DH98" s="667"/>
      <c r="DI98" s="667"/>
      <c r="DJ98" s="667"/>
      <c r="DK98" s="667"/>
      <c r="DL98" s="667"/>
      <c r="DM98" s="667"/>
      <c r="DN98" s="667"/>
      <c r="DO98" s="667"/>
      <c r="DP98" s="667"/>
      <c r="DQ98" s="667"/>
      <c r="DR98" s="667"/>
      <c r="DS98" s="667"/>
      <c r="DT98" s="667"/>
      <c r="DU98" s="667"/>
      <c r="DV98" s="667"/>
      <c r="DW98" s="667"/>
      <c r="DX98" s="667"/>
      <c r="DY98" s="667"/>
      <c r="DZ98" s="667"/>
      <c r="EA98" s="667"/>
      <c r="EB98" s="667"/>
      <c r="EC98" s="667"/>
      <c r="ED98" s="667"/>
      <c r="EE98" s="667"/>
      <c r="EF98" s="667"/>
      <c r="EG98" s="667"/>
      <c r="EH98" s="667"/>
      <c r="EI98" s="667"/>
      <c r="EJ98" s="667"/>
      <c r="EK98" s="667"/>
      <c r="EL98" s="667"/>
      <c r="EM98" s="667"/>
      <c r="EN98" s="667"/>
      <c r="EO98" s="667"/>
      <c r="EP98" s="667"/>
      <c r="EQ98" s="667"/>
      <c r="ER98" s="667"/>
      <c r="ES98" s="667"/>
      <c r="ET98" s="667"/>
      <c r="EU98" s="667"/>
      <c r="EV98" s="667"/>
      <c r="EW98" s="667"/>
      <c r="EX98" s="667"/>
      <c r="EY98" s="667"/>
      <c r="EZ98" s="667"/>
      <c r="FA98" s="667"/>
      <c r="FB98" s="667"/>
      <c r="FC98" s="667"/>
      <c r="FD98" s="667"/>
      <c r="FE98" s="667"/>
      <c r="FF98" s="667"/>
      <c r="FG98" s="667"/>
      <c r="FH98" s="667"/>
      <c r="FI98" s="667"/>
      <c r="FJ98" s="667"/>
      <c r="FK98" s="667"/>
      <c r="FL98" s="667"/>
      <c r="FM98" s="667"/>
      <c r="FN98" s="667"/>
      <c r="FO98" s="667"/>
      <c r="FP98" s="667"/>
      <c r="FQ98" s="667"/>
      <c r="FR98" s="667"/>
      <c r="FS98" s="667"/>
      <c r="FT98" s="667"/>
      <c r="FU98" s="667"/>
      <c r="FV98" s="667"/>
      <c r="FW98" s="667"/>
      <c r="FX98" s="667"/>
      <c r="FY98" s="667"/>
      <c r="FZ98" s="667"/>
      <c r="GA98" s="667"/>
      <c r="GB98" s="667"/>
      <c r="GC98" s="667"/>
      <c r="GD98" s="667"/>
      <c r="GE98" s="667"/>
      <c r="GF98" s="667"/>
      <c r="GG98" s="667"/>
      <c r="GH98" s="667"/>
      <c r="GI98" s="667"/>
      <c r="GJ98" s="667"/>
      <c r="GK98" s="667"/>
      <c r="GL98" s="667"/>
      <c r="GM98" s="667"/>
      <c r="GN98" s="667"/>
      <c r="GO98" s="667"/>
      <c r="GP98" s="667"/>
      <c r="GQ98" s="667"/>
      <c r="GR98" s="667"/>
      <c r="GS98" s="667"/>
      <c r="GT98" s="667"/>
      <c r="GU98" s="667"/>
      <c r="GV98" s="667"/>
      <c r="GW98" s="667"/>
      <c r="GX98" s="667"/>
      <c r="GY98" s="667"/>
      <c r="GZ98" s="667"/>
      <c r="HA98" s="667"/>
      <c r="HB98" s="667"/>
      <c r="HC98" s="667"/>
      <c r="HD98" s="667"/>
      <c r="HE98" s="667"/>
      <c r="HF98" s="667"/>
      <c r="HG98" s="667"/>
      <c r="HH98" s="667"/>
      <c r="HI98" s="667"/>
      <c r="HJ98" s="667"/>
      <c r="HK98" s="667"/>
      <c r="HL98" s="667"/>
      <c r="HM98" s="667"/>
      <c r="HN98" s="667"/>
      <c r="HO98" s="667"/>
      <c r="HP98" s="667"/>
      <c r="HQ98" s="667"/>
      <c r="HR98" s="667"/>
      <c r="HS98" s="667"/>
      <c r="HT98" s="667"/>
      <c r="HU98" s="667"/>
      <c r="HV98" s="667"/>
      <c r="HW98" s="667"/>
    </row>
    <row r="99" spans="1:231" ht="14.1" customHeight="1">
      <c r="A99" s="667"/>
      <c r="B99" s="691"/>
      <c r="C99" s="691"/>
      <c r="E99" s="712"/>
      <c r="F99" s="667"/>
      <c r="G99" s="667"/>
      <c r="H99" s="667"/>
      <c r="I99" s="667"/>
      <c r="K99" s="683"/>
      <c r="L99" s="666"/>
      <c r="M99" s="666"/>
      <c r="N99" s="666"/>
      <c r="O99" s="666"/>
      <c r="P99" s="666"/>
      <c r="Q99" s="666"/>
      <c r="R99" s="666"/>
      <c r="S99" s="666"/>
      <c r="T99" s="666"/>
      <c r="U99" s="666"/>
      <c r="V99" s="666"/>
      <c r="W99" s="666"/>
      <c r="X99" s="667"/>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7"/>
      <c r="AY99" s="667"/>
      <c r="AZ99" s="667"/>
      <c r="BA99" s="667"/>
      <c r="BB99" s="667"/>
      <c r="BC99" s="667"/>
      <c r="BD99" s="667"/>
      <c r="BE99" s="667"/>
      <c r="BF99" s="667"/>
      <c r="BG99" s="667"/>
      <c r="BH99" s="667"/>
      <c r="BI99" s="667"/>
      <c r="BJ99" s="667"/>
      <c r="BK99" s="667"/>
      <c r="BL99" s="667"/>
      <c r="BM99" s="667"/>
      <c r="BN99" s="667"/>
      <c r="BO99" s="667"/>
      <c r="BP99" s="667"/>
      <c r="BQ99" s="667"/>
      <c r="BR99" s="667"/>
      <c r="BS99" s="667"/>
      <c r="BT99" s="667"/>
      <c r="BU99" s="667"/>
      <c r="BV99" s="667"/>
      <c r="BW99" s="667"/>
      <c r="BX99" s="667"/>
      <c r="BY99" s="667"/>
      <c r="BZ99" s="667"/>
      <c r="CA99" s="667"/>
      <c r="CB99" s="667"/>
      <c r="CC99" s="667"/>
      <c r="CD99" s="667"/>
      <c r="CE99" s="667"/>
      <c r="CF99" s="667"/>
      <c r="CG99" s="667"/>
      <c r="CH99" s="667"/>
      <c r="CI99" s="667"/>
      <c r="CJ99" s="667"/>
      <c r="CK99" s="667"/>
      <c r="CL99" s="667"/>
      <c r="CM99" s="667"/>
      <c r="CN99" s="667"/>
      <c r="CO99" s="667"/>
      <c r="CP99" s="667"/>
      <c r="CQ99" s="667"/>
      <c r="CR99" s="667"/>
      <c r="CS99" s="667"/>
      <c r="CT99" s="667"/>
      <c r="CU99" s="667"/>
      <c r="CV99" s="667"/>
      <c r="CW99" s="667"/>
      <c r="CX99" s="667"/>
      <c r="CY99" s="667"/>
      <c r="CZ99" s="667"/>
      <c r="DA99" s="667"/>
      <c r="DB99" s="667"/>
      <c r="DC99" s="667"/>
      <c r="DD99" s="667"/>
      <c r="DE99" s="667"/>
      <c r="DF99" s="667"/>
      <c r="DG99" s="667"/>
      <c r="DH99" s="667"/>
      <c r="DI99" s="667"/>
      <c r="DJ99" s="667"/>
      <c r="DK99" s="667"/>
      <c r="DL99" s="667"/>
      <c r="DM99" s="667"/>
      <c r="DN99" s="667"/>
      <c r="DO99" s="667"/>
      <c r="DP99" s="667"/>
      <c r="DQ99" s="667"/>
      <c r="DR99" s="667"/>
      <c r="DS99" s="667"/>
      <c r="DT99" s="667"/>
      <c r="DU99" s="667"/>
      <c r="DV99" s="667"/>
      <c r="DW99" s="667"/>
      <c r="DX99" s="667"/>
      <c r="DY99" s="667"/>
      <c r="DZ99" s="667"/>
      <c r="EA99" s="667"/>
      <c r="EB99" s="667"/>
      <c r="EC99" s="667"/>
      <c r="ED99" s="667"/>
      <c r="EE99" s="667"/>
      <c r="EF99" s="667"/>
      <c r="EG99" s="667"/>
      <c r="EH99" s="667"/>
      <c r="EI99" s="667"/>
      <c r="EJ99" s="667"/>
      <c r="EK99" s="667"/>
      <c r="EL99" s="667"/>
      <c r="EM99" s="667"/>
      <c r="EN99" s="667"/>
      <c r="EO99" s="667"/>
      <c r="EP99" s="667"/>
      <c r="EQ99" s="667"/>
      <c r="ER99" s="667"/>
      <c r="ES99" s="667"/>
      <c r="ET99" s="667"/>
      <c r="EU99" s="667"/>
      <c r="EV99" s="667"/>
      <c r="EW99" s="667"/>
      <c r="EX99" s="667"/>
      <c r="EY99" s="667"/>
      <c r="EZ99" s="667"/>
      <c r="FA99" s="667"/>
      <c r="FB99" s="667"/>
      <c r="FC99" s="667"/>
      <c r="FD99" s="667"/>
      <c r="FE99" s="667"/>
      <c r="FF99" s="667"/>
      <c r="FG99" s="667"/>
      <c r="FH99" s="667"/>
      <c r="FI99" s="667"/>
      <c r="FJ99" s="667"/>
      <c r="FK99" s="667"/>
      <c r="FL99" s="667"/>
      <c r="FM99" s="667"/>
      <c r="FN99" s="667"/>
      <c r="FO99" s="667"/>
      <c r="FP99" s="667"/>
      <c r="FQ99" s="667"/>
      <c r="FR99" s="667"/>
      <c r="FS99" s="667"/>
      <c r="FT99" s="667"/>
      <c r="FU99" s="667"/>
      <c r="FV99" s="667"/>
      <c r="FW99" s="667"/>
      <c r="FX99" s="667"/>
      <c r="FY99" s="667"/>
      <c r="FZ99" s="667"/>
      <c r="GA99" s="667"/>
      <c r="GB99" s="667"/>
      <c r="GC99" s="667"/>
      <c r="GD99" s="667"/>
      <c r="GE99" s="667"/>
      <c r="GF99" s="667"/>
      <c r="GG99" s="667"/>
      <c r="GH99" s="667"/>
      <c r="GI99" s="667"/>
      <c r="GJ99" s="667"/>
      <c r="GK99" s="667"/>
      <c r="GL99" s="667"/>
      <c r="GM99" s="667"/>
      <c r="GN99" s="667"/>
      <c r="GO99" s="667"/>
      <c r="GP99" s="667"/>
      <c r="GQ99" s="667"/>
      <c r="GR99" s="667"/>
      <c r="GS99" s="667"/>
      <c r="GT99" s="667"/>
      <c r="GU99" s="667"/>
      <c r="GV99" s="667"/>
      <c r="GW99" s="667"/>
      <c r="GX99" s="667"/>
      <c r="GY99" s="667"/>
      <c r="GZ99" s="667"/>
      <c r="HA99" s="667"/>
      <c r="HB99" s="667"/>
      <c r="HC99" s="667"/>
      <c r="HD99" s="667"/>
      <c r="HE99" s="667"/>
      <c r="HF99" s="667"/>
      <c r="HG99" s="667"/>
      <c r="HH99" s="667"/>
      <c r="HI99" s="667"/>
      <c r="HJ99" s="667"/>
      <c r="HK99" s="667"/>
      <c r="HL99" s="667"/>
      <c r="HM99" s="667"/>
      <c r="HN99" s="667"/>
      <c r="HO99" s="667"/>
      <c r="HP99" s="667"/>
      <c r="HQ99" s="667"/>
      <c r="HR99" s="667"/>
      <c r="HS99" s="667"/>
      <c r="HT99" s="667"/>
      <c r="HU99" s="667"/>
      <c r="HV99" s="667"/>
      <c r="HW99" s="667"/>
    </row>
    <row r="100" spans="1:231" ht="14.1" customHeight="1">
      <c r="A100" s="667"/>
      <c r="B100" s="691"/>
      <c r="C100" s="691"/>
      <c r="E100" s="712"/>
      <c r="F100" s="667"/>
      <c r="G100" s="667"/>
      <c r="H100" s="667"/>
      <c r="I100" s="667"/>
      <c r="K100" s="683"/>
      <c r="L100" s="666"/>
      <c r="M100" s="666"/>
      <c r="N100" s="666"/>
      <c r="O100" s="666"/>
      <c r="P100" s="666"/>
      <c r="Q100" s="666"/>
      <c r="R100" s="666"/>
      <c r="S100" s="666"/>
      <c r="T100" s="666"/>
      <c r="U100" s="666"/>
      <c r="V100" s="666"/>
      <c r="W100" s="666"/>
      <c r="X100" s="667"/>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7"/>
      <c r="AY100" s="667"/>
      <c r="AZ100" s="667"/>
      <c r="BA100" s="667"/>
      <c r="BB100" s="667"/>
      <c r="BC100" s="667"/>
      <c r="BD100" s="667"/>
      <c r="BE100" s="667"/>
      <c r="BF100" s="667"/>
      <c r="BG100" s="667"/>
      <c r="BH100" s="667"/>
      <c r="BI100" s="667"/>
      <c r="BJ100" s="667"/>
      <c r="BK100" s="667"/>
      <c r="BL100" s="667"/>
      <c r="BM100" s="667"/>
      <c r="BN100" s="667"/>
      <c r="BO100" s="667"/>
      <c r="BP100" s="667"/>
      <c r="BQ100" s="667"/>
      <c r="BR100" s="667"/>
      <c r="BS100" s="667"/>
      <c r="BT100" s="667"/>
      <c r="BU100" s="667"/>
      <c r="BV100" s="667"/>
      <c r="BW100" s="667"/>
      <c r="BX100" s="667"/>
      <c r="BY100" s="667"/>
      <c r="BZ100" s="667"/>
      <c r="CA100" s="667"/>
      <c r="CB100" s="667"/>
      <c r="CC100" s="667"/>
      <c r="CD100" s="667"/>
      <c r="CE100" s="667"/>
      <c r="CF100" s="667"/>
      <c r="CG100" s="667"/>
      <c r="CH100" s="667"/>
      <c r="CI100" s="667"/>
      <c r="CJ100" s="667"/>
      <c r="CK100" s="667"/>
      <c r="CL100" s="667"/>
      <c r="CM100" s="667"/>
      <c r="CN100" s="667"/>
      <c r="CO100" s="667"/>
      <c r="CP100" s="667"/>
      <c r="CQ100" s="667"/>
      <c r="CR100" s="667"/>
      <c r="CS100" s="667"/>
      <c r="CT100" s="667"/>
      <c r="CU100" s="667"/>
      <c r="CV100" s="667"/>
      <c r="CW100" s="667"/>
      <c r="CX100" s="667"/>
      <c r="CY100" s="667"/>
      <c r="CZ100" s="667"/>
      <c r="DA100" s="667"/>
      <c r="DB100" s="667"/>
      <c r="DC100" s="667"/>
      <c r="DD100" s="667"/>
      <c r="DE100" s="667"/>
      <c r="DF100" s="667"/>
      <c r="DG100" s="667"/>
      <c r="DH100" s="667"/>
      <c r="DI100" s="667"/>
      <c r="DJ100" s="667"/>
      <c r="DK100" s="667"/>
      <c r="DL100" s="667"/>
      <c r="DM100" s="667"/>
      <c r="DN100" s="667"/>
      <c r="DO100" s="667"/>
      <c r="DP100" s="667"/>
      <c r="DQ100" s="667"/>
      <c r="DR100" s="667"/>
      <c r="DS100" s="667"/>
      <c r="DT100" s="667"/>
      <c r="DU100" s="667"/>
      <c r="DV100" s="667"/>
      <c r="DW100" s="667"/>
      <c r="DX100" s="667"/>
      <c r="DY100" s="667"/>
      <c r="DZ100" s="667"/>
      <c r="EA100" s="667"/>
      <c r="EB100" s="667"/>
      <c r="EC100" s="667"/>
      <c r="ED100" s="667"/>
      <c r="EE100" s="667"/>
      <c r="EF100" s="667"/>
      <c r="EG100" s="667"/>
      <c r="EH100" s="667"/>
      <c r="EI100" s="667"/>
      <c r="EJ100" s="667"/>
      <c r="EK100" s="667"/>
      <c r="EL100" s="667"/>
      <c r="EM100" s="667"/>
      <c r="EN100" s="667"/>
      <c r="EO100" s="667"/>
      <c r="EP100" s="667"/>
      <c r="EQ100" s="667"/>
      <c r="ER100" s="667"/>
      <c r="ES100" s="667"/>
      <c r="ET100" s="667"/>
      <c r="EU100" s="667"/>
      <c r="EV100" s="667"/>
      <c r="EW100" s="667"/>
      <c r="EX100" s="667"/>
      <c r="EY100" s="667"/>
      <c r="EZ100" s="667"/>
      <c r="FA100" s="667"/>
      <c r="FB100" s="667"/>
      <c r="FC100" s="667"/>
      <c r="FD100" s="667"/>
      <c r="FE100" s="667"/>
      <c r="FF100" s="667"/>
      <c r="FG100" s="667"/>
      <c r="FH100" s="667"/>
      <c r="FI100" s="667"/>
      <c r="FJ100" s="667"/>
      <c r="FK100" s="667"/>
      <c r="FL100" s="667"/>
      <c r="FM100" s="667"/>
      <c r="FN100" s="667"/>
      <c r="FO100" s="667"/>
      <c r="FP100" s="667"/>
      <c r="FQ100" s="667"/>
      <c r="FR100" s="667"/>
      <c r="FS100" s="667"/>
      <c r="FT100" s="667"/>
      <c r="FU100" s="667"/>
      <c r="FV100" s="667"/>
      <c r="FW100" s="667"/>
      <c r="FX100" s="667"/>
      <c r="FY100" s="667"/>
      <c r="FZ100" s="667"/>
      <c r="GA100" s="667"/>
      <c r="GB100" s="667"/>
      <c r="GC100" s="667"/>
      <c r="GD100" s="667"/>
      <c r="GE100" s="667"/>
      <c r="GF100" s="667"/>
      <c r="GG100" s="667"/>
      <c r="GH100" s="667"/>
      <c r="GI100" s="667"/>
      <c r="GJ100" s="667"/>
      <c r="GK100" s="667"/>
      <c r="GL100" s="667"/>
      <c r="GM100" s="667"/>
      <c r="GN100" s="667"/>
      <c r="GO100" s="667"/>
      <c r="GP100" s="667"/>
      <c r="GQ100" s="667"/>
      <c r="GR100" s="667"/>
      <c r="GS100" s="667"/>
      <c r="GT100" s="667"/>
      <c r="GU100" s="667"/>
      <c r="GV100" s="667"/>
      <c r="GW100" s="667"/>
      <c r="GX100" s="667"/>
      <c r="GY100" s="667"/>
      <c r="GZ100" s="667"/>
      <c r="HA100" s="667"/>
      <c r="HB100" s="667"/>
      <c r="HC100" s="667"/>
      <c r="HD100" s="667"/>
      <c r="HE100" s="667"/>
      <c r="HF100" s="667"/>
      <c r="HG100" s="667"/>
      <c r="HH100" s="667"/>
      <c r="HI100" s="667"/>
      <c r="HJ100" s="667"/>
      <c r="HK100" s="667"/>
      <c r="HL100" s="667"/>
      <c r="HM100" s="667"/>
      <c r="HN100" s="667"/>
      <c r="HO100" s="667"/>
      <c r="HP100" s="667"/>
      <c r="HQ100" s="667"/>
      <c r="HR100" s="667"/>
      <c r="HS100" s="667"/>
      <c r="HT100" s="667"/>
      <c r="HU100" s="667"/>
      <c r="HV100" s="667"/>
      <c r="HW100" s="667"/>
    </row>
    <row r="101" spans="1:231" ht="14.1" customHeight="1">
      <c r="A101" s="667"/>
      <c r="B101" s="691"/>
      <c r="C101" s="691"/>
      <c r="E101" s="712"/>
      <c r="F101" s="667"/>
      <c r="G101" s="667"/>
      <c r="H101" s="667"/>
      <c r="I101" s="667"/>
      <c r="K101" s="683"/>
      <c r="L101" s="666"/>
      <c r="M101" s="666"/>
      <c r="N101" s="666"/>
      <c r="O101" s="666"/>
      <c r="P101" s="666"/>
      <c r="Q101" s="666"/>
      <c r="R101" s="666"/>
      <c r="S101" s="666"/>
      <c r="T101" s="666"/>
      <c r="U101" s="666"/>
      <c r="V101" s="666"/>
      <c r="W101" s="666"/>
      <c r="X101" s="667"/>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7"/>
      <c r="AY101" s="667"/>
      <c r="AZ101" s="667"/>
      <c r="BA101" s="667"/>
      <c r="BB101" s="667"/>
      <c r="BC101" s="667"/>
      <c r="BD101" s="667"/>
      <c r="BE101" s="667"/>
      <c r="BF101" s="667"/>
      <c r="BG101" s="667"/>
      <c r="BH101" s="667"/>
      <c r="BI101" s="667"/>
      <c r="BJ101" s="667"/>
      <c r="BK101" s="667"/>
      <c r="BL101" s="667"/>
      <c r="BM101" s="667"/>
      <c r="BN101" s="667"/>
      <c r="BO101" s="667"/>
      <c r="BP101" s="667"/>
      <c r="BQ101" s="667"/>
      <c r="BR101" s="667"/>
      <c r="BS101" s="667"/>
      <c r="BT101" s="667"/>
      <c r="BU101" s="667"/>
      <c r="BV101" s="667"/>
      <c r="BW101" s="667"/>
      <c r="BX101" s="667"/>
      <c r="BY101" s="667"/>
      <c r="BZ101" s="667"/>
      <c r="CA101" s="667"/>
      <c r="CB101" s="667"/>
      <c r="CC101" s="667"/>
      <c r="CD101" s="667"/>
      <c r="CE101" s="667"/>
      <c r="CF101" s="667"/>
      <c r="CG101" s="667"/>
      <c r="CH101" s="667"/>
      <c r="CI101" s="667"/>
      <c r="CJ101" s="667"/>
      <c r="CK101" s="667"/>
      <c r="CL101" s="667"/>
      <c r="CM101" s="667"/>
      <c r="CN101" s="667"/>
      <c r="CO101" s="667"/>
      <c r="CP101" s="667"/>
      <c r="CQ101" s="667"/>
      <c r="CR101" s="667"/>
      <c r="CS101" s="667"/>
      <c r="CT101" s="667"/>
      <c r="CU101" s="667"/>
      <c r="CV101" s="667"/>
      <c r="CW101" s="667"/>
      <c r="CX101" s="667"/>
      <c r="CY101" s="667"/>
      <c r="CZ101" s="667"/>
      <c r="DA101" s="667"/>
      <c r="DB101" s="667"/>
      <c r="DC101" s="667"/>
      <c r="DD101" s="667"/>
      <c r="DE101" s="667"/>
      <c r="DF101" s="667"/>
      <c r="DG101" s="667"/>
      <c r="DH101" s="667"/>
      <c r="DI101" s="667"/>
      <c r="DJ101" s="667"/>
      <c r="DK101" s="667"/>
      <c r="DL101" s="667"/>
      <c r="DM101" s="667"/>
      <c r="DN101" s="667"/>
      <c r="DO101" s="667"/>
      <c r="DP101" s="667"/>
      <c r="DQ101" s="667"/>
      <c r="DR101" s="667"/>
      <c r="DS101" s="667"/>
      <c r="DT101" s="667"/>
      <c r="DU101" s="667"/>
      <c r="DV101" s="667"/>
      <c r="DW101" s="667"/>
      <c r="DX101" s="667"/>
      <c r="DY101" s="667"/>
      <c r="DZ101" s="667"/>
      <c r="EA101" s="667"/>
      <c r="EB101" s="667"/>
      <c r="EC101" s="667"/>
      <c r="ED101" s="667"/>
      <c r="EE101" s="667"/>
      <c r="EF101" s="667"/>
      <c r="EG101" s="667"/>
      <c r="EH101" s="667"/>
      <c r="EI101" s="667"/>
      <c r="EJ101" s="667"/>
      <c r="EK101" s="667"/>
      <c r="EL101" s="667"/>
      <c r="EM101" s="667"/>
      <c r="EN101" s="667"/>
      <c r="EO101" s="667"/>
      <c r="EP101" s="667"/>
      <c r="EQ101" s="667"/>
      <c r="ER101" s="667"/>
      <c r="ES101" s="667"/>
      <c r="ET101" s="667"/>
      <c r="EU101" s="667"/>
      <c r="EV101" s="667"/>
      <c r="EW101" s="667"/>
      <c r="EX101" s="667"/>
      <c r="EY101" s="667"/>
      <c r="EZ101" s="667"/>
      <c r="FA101" s="667"/>
      <c r="FB101" s="667"/>
      <c r="FC101" s="667"/>
      <c r="FD101" s="667"/>
      <c r="FE101" s="667"/>
      <c r="FF101" s="667"/>
      <c r="FG101" s="667"/>
      <c r="FH101" s="667"/>
      <c r="FI101" s="667"/>
      <c r="FJ101" s="667"/>
      <c r="FK101" s="667"/>
      <c r="FL101" s="667"/>
      <c r="FM101" s="667"/>
      <c r="FN101" s="667"/>
      <c r="FO101" s="667"/>
      <c r="FP101" s="667"/>
      <c r="FQ101" s="667"/>
      <c r="FR101" s="667"/>
      <c r="FS101" s="667"/>
      <c r="FT101" s="667"/>
      <c r="FU101" s="667"/>
      <c r="FV101" s="667"/>
      <c r="FW101" s="667"/>
      <c r="FX101" s="667"/>
      <c r="FY101" s="667"/>
      <c r="FZ101" s="667"/>
      <c r="GA101" s="667"/>
      <c r="GB101" s="667"/>
      <c r="GC101" s="667"/>
      <c r="GD101" s="667"/>
      <c r="GE101" s="667"/>
      <c r="GF101" s="667"/>
      <c r="GG101" s="667"/>
      <c r="GH101" s="667"/>
      <c r="GI101" s="667"/>
      <c r="GJ101" s="667"/>
      <c r="GK101" s="667"/>
      <c r="GL101" s="667"/>
      <c r="GM101" s="667"/>
      <c r="GN101" s="667"/>
      <c r="GO101" s="667"/>
      <c r="GP101" s="667"/>
      <c r="GQ101" s="667"/>
      <c r="GR101" s="667"/>
      <c r="GS101" s="667"/>
      <c r="GT101" s="667"/>
      <c r="GU101" s="667"/>
      <c r="GV101" s="667"/>
      <c r="GW101" s="667"/>
      <c r="GX101" s="667"/>
      <c r="GY101" s="667"/>
      <c r="GZ101" s="667"/>
      <c r="HA101" s="667"/>
      <c r="HB101" s="667"/>
      <c r="HC101" s="667"/>
      <c r="HD101" s="667"/>
      <c r="HE101" s="667"/>
      <c r="HF101" s="667"/>
      <c r="HG101" s="667"/>
      <c r="HH101" s="667"/>
      <c r="HI101" s="667"/>
      <c r="HJ101" s="667"/>
      <c r="HK101" s="667"/>
      <c r="HL101" s="667"/>
      <c r="HM101" s="667"/>
      <c r="HN101" s="667"/>
      <c r="HO101" s="667"/>
      <c r="HP101" s="667"/>
      <c r="HQ101" s="667"/>
      <c r="HR101" s="667"/>
      <c r="HS101" s="667"/>
      <c r="HT101" s="667"/>
      <c r="HU101" s="667"/>
      <c r="HV101" s="667"/>
      <c r="HW101" s="667"/>
    </row>
    <row r="102" spans="1:231" ht="14.1" customHeight="1">
      <c r="A102" s="667"/>
      <c r="B102" s="691"/>
      <c r="C102" s="691"/>
      <c r="E102" s="712"/>
      <c r="F102" s="667"/>
      <c r="G102" s="667"/>
      <c r="H102" s="667"/>
      <c r="I102" s="667"/>
      <c r="K102" s="683"/>
      <c r="L102" s="666"/>
      <c r="M102" s="666"/>
      <c r="N102" s="666"/>
      <c r="O102" s="666"/>
      <c r="P102" s="666"/>
      <c r="Q102" s="666"/>
      <c r="R102" s="666"/>
      <c r="S102" s="666"/>
      <c r="T102" s="666"/>
      <c r="U102" s="666"/>
      <c r="V102" s="666"/>
      <c r="W102" s="666"/>
      <c r="X102" s="667"/>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7"/>
      <c r="AY102" s="667"/>
      <c r="AZ102" s="667"/>
      <c r="BA102" s="667"/>
      <c r="BB102" s="667"/>
      <c r="BC102" s="667"/>
      <c r="BD102" s="667"/>
      <c r="BE102" s="667"/>
      <c r="BF102" s="667"/>
      <c r="BG102" s="667"/>
      <c r="BH102" s="667"/>
      <c r="BI102" s="667"/>
      <c r="BJ102" s="667"/>
      <c r="BK102" s="667"/>
      <c r="BL102" s="667"/>
      <c r="BM102" s="667"/>
      <c r="BN102" s="667"/>
      <c r="BO102" s="667"/>
      <c r="BP102" s="667"/>
      <c r="BQ102" s="667"/>
      <c r="BR102" s="667"/>
      <c r="BS102" s="667"/>
      <c r="BT102" s="667"/>
      <c r="BU102" s="667"/>
      <c r="BV102" s="667"/>
      <c r="BW102" s="667"/>
      <c r="BX102" s="667"/>
      <c r="BY102" s="667"/>
      <c r="BZ102" s="667"/>
      <c r="CA102" s="667"/>
      <c r="CB102" s="667"/>
      <c r="CC102" s="667"/>
      <c r="CD102" s="667"/>
      <c r="CE102" s="667"/>
      <c r="CF102" s="667"/>
      <c r="CG102" s="667"/>
      <c r="CH102" s="667"/>
      <c r="CI102" s="667"/>
      <c r="CJ102" s="667"/>
      <c r="CK102" s="667"/>
      <c r="CL102" s="667"/>
      <c r="CM102" s="667"/>
      <c r="CN102" s="667"/>
      <c r="CO102" s="667"/>
      <c r="CP102" s="667"/>
      <c r="CQ102" s="667"/>
      <c r="CR102" s="667"/>
      <c r="CS102" s="667"/>
      <c r="CT102" s="667"/>
      <c r="CU102" s="667"/>
      <c r="CV102" s="667"/>
      <c r="CW102" s="667"/>
      <c r="CX102" s="667"/>
      <c r="CY102" s="667"/>
      <c r="CZ102" s="667"/>
      <c r="DA102" s="667"/>
      <c r="DB102" s="667"/>
      <c r="DC102" s="667"/>
      <c r="DD102" s="667"/>
      <c r="DE102" s="667"/>
      <c r="DF102" s="667"/>
      <c r="DG102" s="667"/>
      <c r="DH102" s="667"/>
      <c r="DI102" s="667"/>
      <c r="DJ102" s="667"/>
      <c r="DK102" s="667"/>
      <c r="DL102" s="667"/>
      <c r="DM102" s="667"/>
      <c r="DN102" s="667"/>
      <c r="DO102" s="667"/>
      <c r="DP102" s="667"/>
      <c r="DQ102" s="667"/>
      <c r="DR102" s="667"/>
      <c r="DS102" s="667"/>
      <c r="DT102" s="667"/>
      <c r="DU102" s="667"/>
      <c r="DV102" s="667"/>
      <c r="DW102" s="667"/>
      <c r="DX102" s="667"/>
      <c r="DY102" s="667"/>
      <c r="DZ102" s="667"/>
      <c r="EA102" s="667"/>
      <c r="EB102" s="667"/>
      <c r="EC102" s="667"/>
      <c r="ED102" s="667"/>
      <c r="EE102" s="667"/>
      <c r="EF102" s="667"/>
      <c r="EG102" s="667"/>
      <c r="EH102" s="667"/>
      <c r="EI102" s="667"/>
      <c r="EJ102" s="667"/>
      <c r="EK102" s="667"/>
      <c r="EL102" s="667"/>
      <c r="EM102" s="667"/>
      <c r="EN102" s="667"/>
      <c r="EO102" s="667"/>
      <c r="EP102" s="667"/>
      <c r="EQ102" s="667"/>
      <c r="ER102" s="667"/>
      <c r="ES102" s="667"/>
      <c r="ET102" s="667"/>
      <c r="EU102" s="667"/>
      <c r="EV102" s="667"/>
      <c r="EW102" s="667"/>
      <c r="EX102" s="667"/>
      <c r="EY102" s="667"/>
      <c r="EZ102" s="667"/>
      <c r="FA102" s="667"/>
      <c r="FB102" s="667"/>
      <c r="FC102" s="667"/>
      <c r="FD102" s="667"/>
      <c r="FE102" s="667"/>
      <c r="FF102" s="667"/>
      <c r="FG102" s="667"/>
      <c r="FH102" s="667"/>
      <c r="FI102" s="667"/>
      <c r="FJ102" s="667"/>
      <c r="FK102" s="667"/>
      <c r="FL102" s="667"/>
      <c r="FM102" s="667"/>
      <c r="FN102" s="667"/>
      <c r="FO102" s="667"/>
      <c r="FP102" s="667"/>
      <c r="FQ102" s="667"/>
      <c r="FR102" s="667"/>
      <c r="FS102" s="667"/>
      <c r="FT102" s="667"/>
      <c r="FU102" s="667"/>
      <c r="FV102" s="667"/>
      <c r="FW102" s="667"/>
      <c r="FX102" s="667"/>
      <c r="FY102" s="667"/>
      <c r="FZ102" s="667"/>
      <c r="GA102" s="667"/>
      <c r="GB102" s="667"/>
      <c r="GC102" s="667"/>
      <c r="GD102" s="667"/>
      <c r="GE102" s="667"/>
      <c r="GF102" s="667"/>
      <c r="GG102" s="667"/>
      <c r="GH102" s="667"/>
      <c r="GI102" s="667"/>
      <c r="GJ102" s="667"/>
      <c r="GK102" s="667"/>
      <c r="GL102" s="667"/>
      <c r="GM102" s="667"/>
      <c r="GN102" s="667"/>
      <c r="GO102" s="667"/>
      <c r="GP102" s="667"/>
      <c r="GQ102" s="667"/>
      <c r="GR102" s="667"/>
      <c r="GS102" s="667"/>
      <c r="GT102" s="667"/>
      <c r="GU102" s="667"/>
      <c r="GV102" s="667"/>
      <c r="GW102" s="667"/>
      <c r="GX102" s="667"/>
      <c r="GY102" s="667"/>
      <c r="GZ102" s="667"/>
      <c r="HA102" s="667"/>
      <c r="HB102" s="667"/>
      <c r="HC102" s="667"/>
      <c r="HD102" s="667"/>
      <c r="HE102" s="667"/>
      <c r="HF102" s="667"/>
      <c r="HG102" s="667"/>
      <c r="HH102" s="667"/>
      <c r="HI102" s="667"/>
      <c r="HJ102" s="667"/>
      <c r="HK102" s="667"/>
      <c r="HL102" s="667"/>
      <c r="HM102" s="667"/>
      <c r="HN102" s="667"/>
      <c r="HO102" s="667"/>
      <c r="HP102" s="667"/>
      <c r="HQ102" s="667"/>
      <c r="HR102" s="667"/>
      <c r="HS102" s="667"/>
      <c r="HT102" s="667"/>
      <c r="HU102" s="667"/>
      <c r="HV102" s="667"/>
      <c r="HW102" s="667"/>
    </row>
    <row r="103" spans="1:231" ht="14.1" customHeight="1">
      <c r="A103" s="667"/>
      <c r="B103" s="691"/>
      <c r="C103" s="691"/>
      <c r="E103" s="712"/>
      <c r="F103" s="667"/>
      <c r="G103" s="667"/>
      <c r="H103" s="667"/>
      <c r="I103" s="667"/>
      <c r="K103" s="683"/>
      <c r="L103" s="666"/>
      <c r="M103" s="666"/>
      <c r="N103" s="666"/>
      <c r="O103" s="666"/>
      <c r="P103" s="666"/>
      <c r="Q103" s="666"/>
      <c r="R103" s="666"/>
      <c r="S103" s="666"/>
      <c r="T103" s="666"/>
      <c r="U103" s="666"/>
      <c r="V103" s="666"/>
      <c r="W103" s="666"/>
      <c r="X103" s="667"/>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7"/>
      <c r="AY103" s="667"/>
      <c r="AZ103" s="667"/>
      <c r="BA103" s="667"/>
      <c r="BB103" s="667"/>
      <c r="BC103" s="667"/>
      <c r="BD103" s="667"/>
      <c r="BE103" s="667"/>
      <c r="BF103" s="667"/>
      <c r="BG103" s="667"/>
      <c r="BH103" s="667"/>
      <c r="BI103" s="667"/>
      <c r="BJ103" s="667"/>
      <c r="BK103" s="667"/>
      <c r="BL103" s="667"/>
      <c r="BM103" s="667"/>
      <c r="BN103" s="667"/>
      <c r="BO103" s="667"/>
      <c r="BP103" s="667"/>
      <c r="BQ103" s="667"/>
      <c r="BR103" s="667"/>
      <c r="BS103" s="667"/>
      <c r="BT103" s="667"/>
      <c r="BU103" s="667"/>
      <c r="BV103" s="667"/>
      <c r="BW103" s="667"/>
      <c r="BX103" s="667"/>
      <c r="BY103" s="667"/>
      <c r="BZ103" s="667"/>
      <c r="CA103" s="667"/>
      <c r="CB103" s="667"/>
      <c r="CC103" s="667"/>
      <c r="CD103" s="667"/>
      <c r="CE103" s="667"/>
      <c r="CF103" s="667"/>
      <c r="CG103" s="667"/>
      <c r="CH103" s="667"/>
      <c r="CI103" s="667"/>
      <c r="CJ103" s="667"/>
      <c r="CK103" s="667"/>
      <c r="CL103" s="667"/>
      <c r="CM103" s="667"/>
      <c r="CN103" s="667"/>
      <c r="CO103" s="667"/>
      <c r="CP103" s="667"/>
      <c r="CQ103" s="667"/>
      <c r="CR103" s="667"/>
      <c r="CS103" s="667"/>
      <c r="CT103" s="667"/>
      <c r="CU103" s="667"/>
      <c r="CV103" s="667"/>
      <c r="CW103" s="667"/>
      <c r="CX103" s="667"/>
      <c r="CY103" s="667"/>
      <c r="CZ103" s="667"/>
      <c r="DA103" s="667"/>
      <c r="DB103" s="667"/>
      <c r="DC103" s="667"/>
      <c r="DD103" s="667"/>
      <c r="DE103" s="667"/>
      <c r="DF103" s="667"/>
      <c r="DG103" s="667"/>
      <c r="DH103" s="667"/>
      <c r="DI103" s="667"/>
      <c r="DJ103" s="667"/>
      <c r="DK103" s="667"/>
      <c r="DL103" s="667"/>
      <c r="DM103" s="667"/>
      <c r="DN103" s="667"/>
      <c r="DO103" s="667"/>
      <c r="DP103" s="667"/>
      <c r="DQ103" s="667"/>
      <c r="DR103" s="667"/>
      <c r="DS103" s="667"/>
      <c r="DT103" s="667"/>
      <c r="DU103" s="667"/>
      <c r="DV103" s="667"/>
      <c r="DW103" s="667"/>
      <c r="DX103" s="667"/>
      <c r="DY103" s="667"/>
      <c r="DZ103" s="667"/>
      <c r="EA103" s="667"/>
      <c r="EB103" s="667"/>
      <c r="EC103" s="667"/>
      <c r="ED103" s="667"/>
      <c r="EE103" s="667"/>
      <c r="EF103" s="667"/>
      <c r="EG103" s="667"/>
      <c r="EH103" s="667"/>
      <c r="EI103" s="667"/>
      <c r="EJ103" s="667"/>
      <c r="EK103" s="667"/>
      <c r="EL103" s="667"/>
      <c r="EM103" s="667"/>
      <c r="EN103" s="667"/>
      <c r="EO103" s="667"/>
      <c r="EP103" s="667"/>
      <c r="EQ103" s="667"/>
      <c r="ER103" s="667"/>
      <c r="ES103" s="667"/>
      <c r="ET103" s="667"/>
      <c r="EU103" s="667"/>
      <c r="EV103" s="667"/>
      <c r="EW103" s="667"/>
      <c r="EX103" s="667"/>
      <c r="EY103" s="667"/>
      <c r="EZ103" s="667"/>
      <c r="FA103" s="667"/>
      <c r="FB103" s="667"/>
      <c r="FC103" s="667"/>
      <c r="FD103" s="667"/>
      <c r="FE103" s="667"/>
      <c r="FF103" s="667"/>
      <c r="FG103" s="667"/>
      <c r="FH103" s="667"/>
      <c r="FI103" s="667"/>
      <c r="FJ103" s="667"/>
      <c r="FK103" s="667"/>
      <c r="FL103" s="667"/>
      <c r="FM103" s="667"/>
      <c r="FN103" s="667"/>
      <c r="FO103" s="667"/>
      <c r="FP103" s="667"/>
      <c r="FQ103" s="667"/>
      <c r="FR103" s="667"/>
      <c r="FS103" s="667"/>
      <c r="FT103" s="667"/>
      <c r="FU103" s="667"/>
      <c r="FV103" s="667"/>
      <c r="FW103" s="667"/>
      <c r="FX103" s="667"/>
      <c r="FY103" s="667"/>
      <c r="FZ103" s="667"/>
      <c r="GA103" s="667"/>
      <c r="GB103" s="667"/>
      <c r="GC103" s="667"/>
      <c r="GD103" s="667"/>
      <c r="GE103" s="667"/>
      <c r="GF103" s="667"/>
      <c r="GG103" s="667"/>
      <c r="GH103" s="667"/>
      <c r="GI103" s="667"/>
      <c r="GJ103" s="667"/>
      <c r="GK103" s="667"/>
      <c r="GL103" s="667"/>
      <c r="GM103" s="667"/>
      <c r="GN103" s="667"/>
      <c r="GO103" s="667"/>
      <c r="GP103" s="667"/>
      <c r="GQ103" s="667"/>
      <c r="GR103" s="667"/>
      <c r="GS103" s="667"/>
      <c r="GT103" s="667"/>
      <c r="GU103" s="667"/>
      <c r="GV103" s="667"/>
      <c r="GW103" s="667"/>
      <c r="GX103" s="667"/>
      <c r="GY103" s="667"/>
      <c r="GZ103" s="667"/>
      <c r="HA103" s="667"/>
      <c r="HB103" s="667"/>
      <c r="HC103" s="667"/>
      <c r="HD103" s="667"/>
      <c r="HE103" s="667"/>
      <c r="HF103" s="667"/>
      <c r="HG103" s="667"/>
      <c r="HH103" s="667"/>
      <c r="HI103" s="667"/>
      <c r="HJ103" s="667"/>
      <c r="HK103" s="667"/>
      <c r="HL103" s="667"/>
      <c r="HM103" s="667"/>
      <c r="HN103" s="667"/>
      <c r="HO103" s="667"/>
      <c r="HP103" s="667"/>
      <c r="HQ103" s="667"/>
      <c r="HR103" s="667"/>
      <c r="HS103" s="667"/>
      <c r="HT103" s="667"/>
      <c r="HU103" s="667"/>
      <c r="HV103" s="667"/>
      <c r="HW103" s="667"/>
    </row>
    <row r="104" spans="1:231" ht="14.1" customHeight="1">
      <c r="A104" s="667"/>
      <c r="B104" s="691"/>
      <c r="C104" s="691"/>
      <c r="E104" s="712"/>
      <c r="F104" s="667"/>
      <c r="G104" s="667"/>
      <c r="H104" s="667"/>
      <c r="I104" s="667"/>
      <c r="K104" s="683"/>
      <c r="L104" s="666"/>
      <c r="M104" s="666"/>
      <c r="N104" s="666"/>
      <c r="O104" s="666"/>
      <c r="P104" s="666"/>
      <c r="Q104" s="666"/>
      <c r="R104" s="666"/>
      <c r="S104" s="666"/>
      <c r="T104" s="666"/>
      <c r="U104" s="666"/>
      <c r="V104" s="666"/>
      <c r="W104" s="666"/>
      <c r="X104" s="667"/>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7"/>
      <c r="AY104" s="667"/>
      <c r="AZ104" s="667"/>
      <c r="BA104" s="667"/>
      <c r="BB104" s="667"/>
      <c r="BC104" s="667"/>
      <c r="BD104" s="667"/>
      <c r="BE104" s="667"/>
      <c r="BF104" s="667"/>
      <c r="BG104" s="667"/>
      <c r="BH104" s="667"/>
      <c r="BI104" s="667"/>
      <c r="BJ104" s="667"/>
      <c r="BK104" s="667"/>
      <c r="BL104" s="667"/>
      <c r="BM104" s="667"/>
      <c r="BN104" s="667"/>
      <c r="BO104" s="667"/>
      <c r="BP104" s="667"/>
      <c r="BQ104" s="667"/>
      <c r="BR104" s="667"/>
      <c r="BS104" s="667"/>
      <c r="BT104" s="667"/>
      <c r="BU104" s="667"/>
      <c r="BV104" s="667"/>
      <c r="BW104" s="667"/>
      <c r="BX104" s="667"/>
      <c r="BY104" s="667"/>
      <c r="BZ104" s="667"/>
      <c r="CA104" s="667"/>
      <c r="CB104" s="667"/>
      <c r="CC104" s="667"/>
      <c r="CD104" s="667"/>
      <c r="CE104" s="667"/>
      <c r="CF104" s="667"/>
      <c r="CG104" s="667"/>
      <c r="CH104" s="667"/>
      <c r="CI104" s="667"/>
      <c r="CJ104" s="667"/>
      <c r="CK104" s="667"/>
      <c r="CL104" s="667"/>
      <c r="CM104" s="667"/>
      <c r="CN104" s="667"/>
      <c r="CO104" s="667"/>
      <c r="CP104" s="667"/>
      <c r="CQ104" s="667"/>
      <c r="CR104" s="667"/>
      <c r="CS104" s="667"/>
      <c r="CT104" s="667"/>
      <c r="CU104" s="667"/>
      <c r="CV104" s="667"/>
      <c r="CW104" s="667"/>
      <c r="CX104" s="667"/>
      <c r="CY104" s="667"/>
      <c r="CZ104" s="667"/>
      <c r="DA104" s="667"/>
      <c r="DB104" s="667"/>
      <c r="DC104" s="667"/>
      <c r="DD104" s="667"/>
      <c r="DE104" s="667"/>
      <c r="DF104" s="667"/>
      <c r="DG104" s="667"/>
      <c r="DH104" s="667"/>
      <c r="DI104" s="667"/>
      <c r="DJ104" s="667"/>
      <c r="DK104" s="667"/>
      <c r="DL104" s="667"/>
      <c r="DM104" s="667"/>
      <c r="DN104" s="667"/>
      <c r="DO104" s="667"/>
      <c r="DP104" s="667"/>
      <c r="DQ104" s="667"/>
      <c r="DR104" s="667"/>
      <c r="DS104" s="667"/>
      <c r="DT104" s="667"/>
      <c r="DU104" s="667"/>
      <c r="DV104" s="667"/>
      <c r="DW104" s="667"/>
      <c r="DX104" s="667"/>
      <c r="DY104" s="667"/>
      <c r="DZ104" s="667"/>
      <c r="EA104" s="667"/>
      <c r="EB104" s="667"/>
      <c r="EC104" s="667"/>
      <c r="ED104" s="667"/>
      <c r="EE104" s="667"/>
      <c r="EF104" s="667"/>
      <c r="EG104" s="667"/>
      <c r="EH104" s="667"/>
      <c r="EI104" s="667"/>
      <c r="EJ104" s="667"/>
      <c r="EK104" s="667"/>
      <c r="EL104" s="667"/>
      <c r="EM104" s="667"/>
      <c r="EN104" s="667"/>
      <c r="EO104" s="667"/>
      <c r="EP104" s="667"/>
      <c r="EQ104" s="667"/>
      <c r="ER104" s="667"/>
      <c r="ES104" s="667"/>
      <c r="ET104" s="667"/>
      <c r="EU104" s="667"/>
      <c r="EV104" s="667"/>
      <c r="EW104" s="667"/>
      <c r="EX104" s="667"/>
      <c r="EY104" s="667"/>
      <c r="EZ104" s="667"/>
      <c r="FA104" s="667"/>
      <c r="FB104" s="667"/>
      <c r="FC104" s="667"/>
      <c r="FD104" s="667"/>
      <c r="FE104" s="667"/>
      <c r="FF104" s="667"/>
      <c r="FG104" s="667"/>
      <c r="FH104" s="667"/>
      <c r="FI104" s="667"/>
      <c r="FJ104" s="667"/>
      <c r="FK104" s="667"/>
      <c r="FL104" s="667"/>
      <c r="FM104" s="667"/>
      <c r="FN104" s="667"/>
      <c r="FO104" s="667"/>
      <c r="FP104" s="667"/>
      <c r="FQ104" s="667"/>
      <c r="FR104" s="667"/>
      <c r="FS104" s="667"/>
      <c r="FT104" s="667"/>
      <c r="FU104" s="667"/>
      <c r="FV104" s="667"/>
      <c r="FW104" s="667"/>
      <c r="FX104" s="667"/>
      <c r="FY104" s="667"/>
      <c r="FZ104" s="667"/>
      <c r="GA104" s="667"/>
      <c r="GB104" s="667"/>
      <c r="GC104" s="667"/>
      <c r="GD104" s="667"/>
      <c r="GE104" s="667"/>
      <c r="GF104" s="667"/>
      <c r="GG104" s="667"/>
      <c r="GH104" s="667"/>
      <c r="GI104" s="667"/>
      <c r="GJ104" s="667"/>
      <c r="GK104" s="667"/>
      <c r="GL104" s="667"/>
      <c r="GM104" s="667"/>
      <c r="GN104" s="667"/>
      <c r="GO104" s="667"/>
      <c r="GP104" s="667"/>
      <c r="GQ104" s="667"/>
      <c r="GR104" s="667"/>
      <c r="GS104" s="667"/>
      <c r="GT104" s="667"/>
      <c r="GU104" s="667"/>
      <c r="GV104" s="667"/>
      <c r="GW104" s="667"/>
      <c r="GX104" s="667"/>
      <c r="GY104" s="667"/>
      <c r="GZ104" s="667"/>
      <c r="HA104" s="667"/>
      <c r="HB104" s="667"/>
      <c r="HC104" s="667"/>
      <c r="HD104" s="667"/>
      <c r="HE104" s="667"/>
      <c r="HF104" s="667"/>
      <c r="HG104" s="667"/>
      <c r="HH104" s="667"/>
      <c r="HI104" s="667"/>
      <c r="HJ104" s="667"/>
      <c r="HK104" s="667"/>
      <c r="HL104" s="667"/>
      <c r="HM104" s="667"/>
      <c r="HN104" s="667"/>
      <c r="HO104" s="667"/>
      <c r="HP104" s="667"/>
      <c r="HQ104" s="667"/>
      <c r="HR104" s="667"/>
      <c r="HS104" s="667"/>
      <c r="HT104" s="667"/>
      <c r="HU104" s="667"/>
      <c r="HV104" s="667"/>
      <c r="HW104" s="667"/>
    </row>
    <row r="105" spans="1:231" ht="14.1" customHeight="1">
      <c r="A105" s="667"/>
      <c r="B105" s="691"/>
      <c r="C105" s="691"/>
      <c r="E105" s="712"/>
      <c r="F105" s="667"/>
      <c r="G105" s="667"/>
      <c r="H105" s="667"/>
      <c r="I105" s="667"/>
      <c r="K105" s="683"/>
      <c r="L105" s="666"/>
      <c r="M105" s="666"/>
      <c r="N105" s="666"/>
      <c r="O105" s="666"/>
      <c r="P105" s="666"/>
      <c r="Q105" s="666"/>
      <c r="R105" s="666"/>
      <c r="S105" s="666"/>
      <c r="T105" s="666"/>
      <c r="U105" s="666"/>
      <c r="V105" s="666"/>
      <c r="W105" s="666"/>
      <c r="X105" s="667"/>
      <c r="Y105" s="667"/>
      <c r="Z105" s="667"/>
      <c r="AA105" s="667"/>
      <c r="AB105" s="667"/>
      <c r="AC105" s="667"/>
      <c r="AD105" s="667"/>
      <c r="AE105" s="667"/>
      <c r="AF105" s="667"/>
      <c r="AG105" s="667"/>
      <c r="AH105" s="667"/>
      <c r="AI105" s="667"/>
      <c r="AJ105" s="667"/>
      <c r="AK105" s="667"/>
      <c r="AL105" s="667"/>
      <c r="AM105" s="667"/>
      <c r="AN105" s="667"/>
      <c r="AO105" s="667"/>
      <c r="AP105" s="667"/>
      <c r="AQ105" s="667"/>
      <c r="AR105" s="667"/>
      <c r="AS105" s="667"/>
      <c r="AT105" s="667"/>
      <c r="AU105" s="667"/>
      <c r="AV105" s="667"/>
      <c r="AW105" s="667"/>
      <c r="AX105" s="667"/>
      <c r="AY105" s="667"/>
      <c r="AZ105" s="667"/>
      <c r="BA105" s="667"/>
      <c r="BB105" s="667"/>
      <c r="BC105" s="667"/>
      <c r="BD105" s="667"/>
      <c r="BE105" s="667"/>
      <c r="BF105" s="667"/>
      <c r="BG105" s="667"/>
      <c r="BH105" s="667"/>
      <c r="BI105" s="667"/>
      <c r="BJ105" s="667"/>
      <c r="BK105" s="667"/>
      <c r="BL105" s="667"/>
      <c r="BM105" s="667"/>
      <c r="BN105" s="667"/>
      <c r="BO105" s="667"/>
      <c r="BP105" s="667"/>
      <c r="BQ105" s="667"/>
      <c r="BR105" s="667"/>
      <c r="BS105" s="667"/>
      <c r="BT105" s="667"/>
      <c r="BU105" s="667"/>
      <c r="BV105" s="667"/>
      <c r="BW105" s="667"/>
      <c r="BX105" s="667"/>
      <c r="BY105" s="667"/>
      <c r="BZ105" s="667"/>
      <c r="CA105" s="667"/>
      <c r="CB105" s="667"/>
      <c r="CC105" s="667"/>
      <c r="CD105" s="667"/>
      <c r="CE105" s="667"/>
      <c r="CF105" s="667"/>
      <c r="CG105" s="667"/>
      <c r="CH105" s="667"/>
      <c r="CI105" s="667"/>
      <c r="CJ105" s="667"/>
      <c r="CK105" s="667"/>
      <c r="CL105" s="667"/>
      <c r="CM105" s="667"/>
      <c r="CN105" s="667"/>
      <c r="CO105" s="667"/>
      <c r="CP105" s="667"/>
      <c r="CQ105" s="667"/>
      <c r="CR105" s="667"/>
      <c r="CS105" s="667"/>
      <c r="CT105" s="667"/>
      <c r="CU105" s="667"/>
      <c r="CV105" s="667"/>
      <c r="CW105" s="667"/>
      <c r="CX105" s="667"/>
      <c r="CY105" s="667"/>
      <c r="CZ105" s="667"/>
      <c r="DA105" s="667"/>
      <c r="DB105" s="667"/>
      <c r="DC105" s="667"/>
      <c r="DD105" s="667"/>
      <c r="DE105" s="667"/>
      <c r="DF105" s="667"/>
      <c r="DG105" s="667"/>
      <c r="DH105" s="667"/>
      <c r="DI105" s="667"/>
      <c r="DJ105" s="667"/>
      <c r="DK105" s="667"/>
      <c r="DL105" s="667"/>
      <c r="DM105" s="667"/>
      <c r="DN105" s="667"/>
      <c r="DO105" s="667"/>
      <c r="DP105" s="667"/>
      <c r="DQ105" s="667"/>
      <c r="DR105" s="667"/>
      <c r="DS105" s="667"/>
      <c r="DT105" s="667"/>
      <c r="DU105" s="667"/>
      <c r="DV105" s="667"/>
      <c r="DW105" s="667"/>
      <c r="DX105" s="667"/>
      <c r="DY105" s="667"/>
      <c r="DZ105" s="667"/>
      <c r="EA105" s="667"/>
      <c r="EB105" s="667"/>
      <c r="EC105" s="667"/>
      <c r="ED105" s="667"/>
      <c r="EE105" s="667"/>
      <c r="EF105" s="667"/>
      <c r="EG105" s="667"/>
      <c r="EH105" s="667"/>
      <c r="EI105" s="667"/>
      <c r="EJ105" s="667"/>
      <c r="EK105" s="667"/>
      <c r="EL105" s="667"/>
      <c r="EM105" s="667"/>
      <c r="EN105" s="667"/>
      <c r="EO105" s="667"/>
      <c r="EP105" s="667"/>
      <c r="EQ105" s="667"/>
      <c r="ER105" s="667"/>
      <c r="ES105" s="667"/>
      <c r="ET105" s="667"/>
      <c r="EU105" s="667"/>
      <c r="EV105" s="667"/>
      <c r="EW105" s="667"/>
      <c r="EX105" s="667"/>
      <c r="EY105" s="667"/>
      <c r="EZ105" s="667"/>
      <c r="FA105" s="667"/>
      <c r="FB105" s="667"/>
      <c r="FC105" s="667"/>
      <c r="FD105" s="667"/>
      <c r="FE105" s="667"/>
      <c r="FF105" s="667"/>
      <c r="FG105" s="667"/>
      <c r="FH105" s="667"/>
      <c r="FI105" s="667"/>
      <c r="FJ105" s="667"/>
      <c r="FK105" s="667"/>
      <c r="FL105" s="667"/>
      <c r="FM105" s="667"/>
      <c r="FN105" s="667"/>
      <c r="FO105" s="667"/>
      <c r="FP105" s="667"/>
      <c r="FQ105" s="667"/>
      <c r="FR105" s="667"/>
      <c r="FS105" s="667"/>
      <c r="FT105" s="667"/>
      <c r="FU105" s="667"/>
      <c r="FV105" s="667"/>
      <c r="FW105" s="667"/>
      <c r="FX105" s="667"/>
      <c r="FY105" s="667"/>
      <c r="FZ105" s="667"/>
      <c r="GA105" s="667"/>
      <c r="GB105" s="667"/>
      <c r="GC105" s="667"/>
      <c r="GD105" s="667"/>
      <c r="GE105" s="667"/>
      <c r="GF105" s="667"/>
      <c r="GG105" s="667"/>
      <c r="GH105" s="667"/>
      <c r="GI105" s="667"/>
      <c r="GJ105" s="667"/>
      <c r="GK105" s="667"/>
      <c r="GL105" s="667"/>
      <c r="GM105" s="667"/>
      <c r="GN105" s="667"/>
      <c r="GO105" s="667"/>
      <c r="GP105" s="667"/>
      <c r="GQ105" s="667"/>
      <c r="GR105" s="667"/>
      <c r="GS105" s="667"/>
      <c r="GT105" s="667"/>
      <c r="GU105" s="667"/>
      <c r="GV105" s="667"/>
      <c r="GW105" s="667"/>
      <c r="GX105" s="667"/>
      <c r="GY105" s="667"/>
      <c r="GZ105" s="667"/>
      <c r="HA105" s="667"/>
      <c r="HB105" s="667"/>
      <c r="HC105" s="667"/>
      <c r="HD105" s="667"/>
      <c r="HE105" s="667"/>
      <c r="HF105" s="667"/>
      <c r="HG105" s="667"/>
      <c r="HH105" s="667"/>
      <c r="HI105" s="667"/>
      <c r="HJ105" s="667"/>
      <c r="HK105" s="667"/>
      <c r="HL105" s="667"/>
      <c r="HM105" s="667"/>
      <c r="HN105" s="667"/>
      <c r="HO105" s="667"/>
      <c r="HP105" s="667"/>
      <c r="HQ105" s="667"/>
      <c r="HR105" s="667"/>
      <c r="HS105" s="667"/>
      <c r="HT105" s="667"/>
      <c r="HU105" s="667"/>
      <c r="HV105" s="667"/>
      <c r="HW105" s="667"/>
    </row>
    <row r="106" spans="1:231" ht="14.1" customHeight="1">
      <c r="A106" s="667"/>
      <c r="B106" s="691"/>
      <c r="C106" s="691"/>
      <c r="E106" s="712"/>
      <c r="F106" s="667"/>
      <c r="G106" s="667"/>
      <c r="H106" s="667"/>
      <c r="I106" s="667"/>
      <c r="K106" s="683"/>
      <c r="L106" s="666"/>
      <c r="M106" s="666"/>
      <c r="N106" s="666"/>
      <c r="O106" s="666"/>
      <c r="P106" s="666"/>
      <c r="Q106" s="666"/>
      <c r="R106" s="666"/>
      <c r="S106" s="666"/>
      <c r="T106" s="666"/>
      <c r="U106" s="666"/>
      <c r="V106" s="666"/>
      <c r="W106" s="666"/>
      <c r="X106" s="667"/>
      <c r="Y106" s="667"/>
      <c r="Z106" s="667"/>
      <c r="AA106" s="667"/>
      <c r="AB106" s="667"/>
      <c r="AC106" s="667"/>
      <c r="AD106" s="667"/>
      <c r="AE106" s="667"/>
      <c r="AF106" s="667"/>
      <c r="AG106" s="667"/>
      <c r="AH106" s="667"/>
      <c r="AI106" s="667"/>
      <c r="AJ106" s="667"/>
      <c r="AK106" s="667"/>
      <c r="AL106" s="667"/>
      <c r="AM106" s="667"/>
      <c r="AN106" s="667"/>
      <c r="AO106" s="667"/>
      <c r="AP106" s="667"/>
      <c r="AQ106" s="667"/>
      <c r="AR106" s="667"/>
      <c r="AS106" s="667"/>
      <c r="AT106" s="667"/>
      <c r="AU106" s="667"/>
      <c r="AV106" s="667"/>
      <c r="AW106" s="667"/>
      <c r="AX106" s="667"/>
      <c r="AY106" s="667"/>
      <c r="AZ106" s="667"/>
      <c r="BA106" s="667"/>
      <c r="BB106" s="667"/>
      <c r="BC106" s="667"/>
      <c r="BD106" s="667"/>
      <c r="BE106" s="667"/>
      <c r="BF106" s="667"/>
      <c r="BG106" s="667"/>
      <c r="BH106" s="667"/>
      <c r="BI106" s="667"/>
      <c r="BJ106" s="667"/>
      <c r="BK106" s="667"/>
      <c r="BL106" s="667"/>
      <c r="BM106" s="667"/>
      <c r="BN106" s="667"/>
      <c r="BO106" s="667"/>
      <c r="BP106" s="667"/>
      <c r="BQ106" s="667"/>
      <c r="BR106" s="667"/>
      <c r="BS106" s="667"/>
      <c r="BT106" s="667"/>
      <c r="BU106" s="667"/>
      <c r="BV106" s="667"/>
      <c r="BW106" s="667"/>
      <c r="BX106" s="667"/>
      <c r="BY106" s="667"/>
      <c r="BZ106" s="667"/>
      <c r="CA106" s="667"/>
      <c r="CB106" s="667"/>
      <c r="CC106" s="667"/>
      <c r="CD106" s="667"/>
      <c r="CE106" s="667"/>
      <c r="CF106" s="667"/>
      <c r="CG106" s="667"/>
      <c r="CH106" s="667"/>
      <c r="CI106" s="667"/>
      <c r="CJ106" s="667"/>
      <c r="CK106" s="667"/>
      <c r="CL106" s="667"/>
      <c r="CM106" s="667"/>
      <c r="CN106" s="667"/>
      <c r="CO106" s="667"/>
      <c r="CP106" s="667"/>
      <c r="CQ106" s="667"/>
      <c r="CR106" s="667"/>
      <c r="CS106" s="667"/>
      <c r="CT106" s="667"/>
      <c r="CU106" s="667"/>
      <c r="CV106" s="667"/>
      <c r="CW106" s="667"/>
      <c r="CX106" s="667"/>
      <c r="CY106" s="667"/>
      <c r="CZ106" s="667"/>
      <c r="DA106" s="667"/>
      <c r="DB106" s="667"/>
      <c r="DC106" s="667"/>
      <c r="DD106" s="667"/>
      <c r="DE106" s="667"/>
      <c r="DF106" s="667"/>
      <c r="DG106" s="667"/>
      <c r="DH106" s="667"/>
      <c r="DI106" s="667"/>
      <c r="DJ106" s="667"/>
      <c r="DK106" s="667"/>
      <c r="DL106" s="667"/>
      <c r="DM106" s="667"/>
      <c r="DN106" s="667"/>
      <c r="DO106" s="667"/>
      <c r="DP106" s="667"/>
      <c r="DQ106" s="667"/>
      <c r="DR106" s="667"/>
      <c r="DS106" s="667"/>
      <c r="DT106" s="667"/>
      <c r="DU106" s="667"/>
      <c r="DV106" s="667"/>
      <c r="DW106" s="667"/>
      <c r="DX106" s="667"/>
      <c r="DY106" s="667"/>
      <c r="DZ106" s="667"/>
      <c r="EA106" s="667"/>
      <c r="EB106" s="667"/>
      <c r="EC106" s="667"/>
      <c r="ED106" s="667"/>
      <c r="EE106" s="667"/>
      <c r="EF106" s="667"/>
      <c r="EG106" s="667"/>
      <c r="EH106" s="667"/>
      <c r="EI106" s="667"/>
      <c r="EJ106" s="667"/>
      <c r="EK106" s="667"/>
      <c r="EL106" s="667"/>
      <c r="EM106" s="667"/>
      <c r="EN106" s="667"/>
      <c r="EO106" s="667"/>
      <c r="EP106" s="667"/>
      <c r="EQ106" s="667"/>
      <c r="ER106" s="667"/>
      <c r="ES106" s="667"/>
      <c r="ET106" s="667"/>
      <c r="EU106" s="667"/>
      <c r="EV106" s="667"/>
      <c r="EW106" s="667"/>
      <c r="EX106" s="667"/>
      <c r="EY106" s="667"/>
      <c r="EZ106" s="667"/>
      <c r="FA106" s="667"/>
      <c r="FB106" s="667"/>
      <c r="FC106" s="667"/>
      <c r="FD106" s="667"/>
      <c r="FE106" s="667"/>
      <c r="FF106" s="667"/>
      <c r="FG106" s="667"/>
      <c r="FH106" s="667"/>
      <c r="FI106" s="667"/>
      <c r="FJ106" s="667"/>
      <c r="FK106" s="667"/>
      <c r="FL106" s="667"/>
      <c r="FM106" s="667"/>
      <c r="FN106" s="667"/>
      <c r="FO106" s="667"/>
      <c r="FP106" s="667"/>
      <c r="FQ106" s="667"/>
      <c r="FR106" s="667"/>
      <c r="FS106" s="667"/>
      <c r="FT106" s="667"/>
      <c r="FU106" s="667"/>
      <c r="FV106" s="667"/>
      <c r="FW106" s="667"/>
      <c r="FX106" s="667"/>
      <c r="FY106" s="667"/>
      <c r="FZ106" s="667"/>
      <c r="GA106" s="667"/>
      <c r="GB106" s="667"/>
      <c r="GC106" s="667"/>
      <c r="GD106" s="667"/>
      <c r="GE106" s="667"/>
      <c r="GF106" s="667"/>
      <c r="GG106" s="667"/>
      <c r="GH106" s="667"/>
      <c r="GI106" s="667"/>
      <c r="GJ106" s="667"/>
      <c r="GK106" s="667"/>
      <c r="GL106" s="667"/>
      <c r="GM106" s="667"/>
      <c r="GN106" s="667"/>
      <c r="GO106" s="667"/>
      <c r="GP106" s="667"/>
      <c r="GQ106" s="667"/>
      <c r="GR106" s="667"/>
      <c r="GS106" s="667"/>
      <c r="GT106" s="667"/>
      <c r="GU106" s="667"/>
      <c r="GV106" s="667"/>
      <c r="GW106" s="667"/>
      <c r="GX106" s="667"/>
      <c r="GY106" s="667"/>
      <c r="GZ106" s="667"/>
      <c r="HA106" s="667"/>
      <c r="HB106" s="667"/>
      <c r="HC106" s="667"/>
      <c r="HD106" s="667"/>
      <c r="HE106" s="667"/>
      <c r="HF106" s="667"/>
      <c r="HG106" s="667"/>
      <c r="HH106" s="667"/>
      <c r="HI106" s="667"/>
      <c r="HJ106" s="667"/>
      <c r="HK106" s="667"/>
      <c r="HL106" s="667"/>
      <c r="HM106" s="667"/>
      <c r="HN106" s="667"/>
      <c r="HO106" s="667"/>
      <c r="HP106" s="667"/>
      <c r="HQ106" s="667"/>
      <c r="HR106" s="667"/>
      <c r="HS106" s="667"/>
      <c r="HT106" s="667"/>
      <c r="HU106" s="667"/>
      <c r="HV106" s="667"/>
      <c r="HW106" s="667"/>
    </row>
    <row r="107" spans="1:231" ht="14.1" customHeight="1">
      <c r="A107" s="667"/>
      <c r="B107" s="691"/>
      <c r="C107" s="691"/>
      <c r="E107" s="712"/>
      <c r="F107" s="667"/>
      <c r="G107" s="667"/>
      <c r="H107" s="667"/>
      <c r="I107" s="667"/>
      <c r="K107" s="683"/>
      <c r="L107" s="666"/>
      <c r="M107" s="666"/>
      <c r="N107" s="666"/>
      <c r="O107" s="666"/>
      <c r="P107" s="666"/>
      <c r="Q107" s="666"/>
      <c r="R107" s="666"/>
      <c r="S107" s="666"/>
      <c r="T107" s="666"/>
      <c r="U107" s="666"/>
      <c r="V107" s="666"/>
      <c r="W107" s="666"/>
      <c r="X107" s="667"/>
      <c r="Y107" s="667"/>
      <c r="Z107" s="667"/>
      <c r="AA107" s="667"/>
      <c r="AB107" s="667"/>
      <c r="AC107" s="667"/>
      <c r="AD107" s="667"/>
      <c r="AE107" s="667"/>
      <c r="AF107" s="667"/>
      <c r="AG107" s="667"/>
      <c r="AH107" s="667"/>
      <c r="AI107" s="667"/>
      <c r="AJ107" s="667"/>
      <c r="AK107" s="667"/>
      <c r="AL107" s="667"/>
      <c r="AM107" s="667"/>
      <c r="AN107" s="667"/>
      <c r="AO107" s="667"/>
      <c r="AP107" s="667"/>
      <c r="AQ107" s="667"/>
      <c r="AR107" s="667"/>
      <c r="AS107" s="667"/>
      <c r="AT107" s="667"/>
      <c r="AU107" s="667"/>
      <c r="AV107" s="667"/>
      <c r="AW107" s="667"/>
      <c r="AX107" s="667"/>
      <c r="AY107" s="667"/>
      <c r="AZ107" s="667"/>
      <c r="BA107" s="667"/>
      <c r="BB107" s="667"/>
      <c r="BC107" s="667"/>
      <c r="BD107" s="667"/>
      <c r="BE107" s="667"/>
      <c r="BF107" s="667"/>
      <c r="BG107" s="667"/>
      <c r="BH107" s="667"/>
      <c r="BI107" s="667"/>
      <c r="BJ107" s="667"/>
      <c r="BK107" s="667"/>
      <c r="BL107" s="667"/>
      <c r="BM107" s="667"/>
      <c r="BN107" s="667"/>
      <c r="BO107" s="667"/>
      <c r="BP107" s="667"/>
      <c r="BQ107" s="667"/>
      <c r="BR107" s="667"/>
      <c r="BS107" s="667"/>
      <c r="BT107" s="667"/>
      <c r="BU107" s="667"/>
      <c r="BV107" s="667"/>
      <c r="BW107" s="667"/>
      <c r="BX107" s="667"/>
      <c r="BY107" s="667"/>
      <c r="BZ107" s="667"/>
      <c r="CA107" s="667"/>
      <c r="CB107" s="667"/>
      <c r="CC107" s="667"/>
      <c r="CD107" s="667"/>
      <c r="CE107" s="667"/>
      <c r="CF107" s="667"/>
      <c r="CG107" s="667"/>
      <c r="CH107" s="667"/>
      <c r="CI107" s="667"/>
      <c r="CJ107" s="667"/>
      <c r="CK107" s="667"/>
      <c r="CL107" s="667"/>
      <c r="CM107" s="667"/>
      <c r="CN107" s="667"/>
      <c r="CO107" s="667"/>
      <c r="CP107" s="667"/>
      <c r="CQ107" s="667"/>
      <c r="CR107" s="667"/>
      <c r="CS107" s="667"/>
      <c r="CT107" s="667"/>
      <c r="CU107" s="667"/>
      <c r="CV107" s="667"/>
      <c r="CW107" s="667"/>
      <c r="CX107" s="667"/>
      <c r="CY107" s="667"/>
      <c r="CZ107" s="667"/>
      <c r="DA107" s="667"/>
      <c r="DB107" s="667"/>
      <c r="DC107" s="667"/>
      <c r="DD107" s="667"/>
      <c r="DE107" s="667"/>
      <c r="DF107" s="667"/>
      <c r="DG107" s="667"/>
      <c r="DH107" s="667"/>
      <c r="DI107" s="667"/>
      <c r="DJ107" s="667"/>
      <c r="DK107" s="667"/>
      <c r="DL107" s="667"/>
      <c r="DM107" s="667"/>
      <c r="DN107" s="667"/>
      <c r="DO107" s="667"/>
      <c r="DP107" s="667"/>
      <c r="DQ107" s="667"/>
      <c r="DR107" s="667"/>
      <c r="DS107" s="667"/>
      <c r="DT107" s="667"/>
      <c r="DU107" s="667"/>
      <c r="DV107" s="667"/>
      <c r="DW107" s="667"/>
      <c r="DX107" s="667"/>
      <c r="DY107" s="667"/>
      <c r="DZ107" s="667"/>
      <c r="EA107" s="667"/>
      <c r="EB107" s="667"/>
      <c r="EC107" s="667"/>
      <c r="ED107" s="667"/>
      <c r="EE107" s="667"/>
      <c r="EF107" s="667"/>
      <c r="EG107" s="667"/>
      <c r="EH107" s="667"/>
      <c r="EI107" s="667"/>
      <c r="EJ107" s="667"/>
      <c r="EK107" s="667"/>
      <c r="EL107" s="667"/>
      <c r="EM107" s="667"/>
      <c r="EN107" s="667"/>
      <c r="EO107" s="667"/>
      <c r="EP107" s="667"/>
      <c r="EQ107" s="667"/>
      <c r="ER107" s="667"/>
      <c r="ES107" s="667"/>
      <c r="ET107" s="667"/>
      <c r="EU107" s="667"/>
      <c r="EV107" s="667"/>
      <c r="EW107" s="667"/>
      <c r="EX107" s="667"/>
      <c r="EY107" s="667"/>
      <c r="EZ107" s="667"/>
      <c r="FA107" s="667"/>
      <c r="FB107" s="667"/>
      <c r="FC107" s="667"/>
      <c r="FD107" s="667"/>
      <c r="FE107" s="667"/>
      <c r="FF107" s="667"/>
      <c r="FG107" s="667"/>
      <c r="FH107" s="667"/>
      <c r="FI107" s="667"/>
      <c r="FJ107" s="667"/>
      <c r="FK107" s="667"/>
      <c r="FL107" s="667"/>
      <c r="FM107" s="667"/>
      <c r="FN107" s="667"/>
      <c r="FO107" s="667"/>
      <c r="FP107" s="667"/>
      <c r="FQ107" s="667"/>
      <c r="FR107" s="667"/>
      <c r="FS107" s="667"/>
      <c r="FT107" s="667"/>
      <c r="FU107" s="667"/>
      <c r="FV107" s="667"/>
      <c r="FW107" s="667"/>
      <c r="FX107" s="667"/>
      <c r="FY107" s="667"/>
      <c r="FZ107" s="667"/>
      <c r="GA107" s="667"/>
      <c r="GB107" s="667"/>
      <c r="GC107" s="667"/>
      <c r="GD107" s="667"/>
      <c r="GE107" s="667"/>
      <c r="GF107" s="667"/>
      <c r="GG107" s="667"/>
      <c r="GH107" s="667"/>
      <c r="GI107" s="667"/>
      <c r="GJ107" s="667"/>
      <c r="GK107" s="667"/>
      <c r="GL107" s="667"/>
      <c r="GM107" s="667"/>
      <c r="GN107" s="667"/>
      <c r="GO107" s="667"/>
      <c r="GP107" s="667"/>
      <c r="GQ107" s="667"/>
      <c r="GR107" s="667"/>
      <c r="GS107" s="667"/>
      <c r="GT107" s="667"/>
      <c r="GU107" s="667"/>
      <c r="GV107" s="667"/>
      <c r="GW107" s="667"/>
      <c r="GX107" s="667"/>
      <c r="GY107" s="667"/>
      <c r="GZ107" s="667"/>
      <c r="HA107" s="667"/>
      <c r="HB107" s="667"/>
      <c r="HC107" s="667"/>
      <c r="HD107" s="667"/>
      <c r="HE107" s="667"/>
      <c r="HF107" s="667"/>
      <c r="HG107" s="667"/>
      <c r="HH107" s="667"/>
      <c r="HI107" s="667"/>
      <c r="HJ107" s="667"/>
      <c r="HK107" s="667"/>
      <c r="HL107" s="667"/>
      <c r="HM107" s="667"/>
      <c r="HN107" s="667"/>
      <c r="HO107" s="667"/>
      <c r="HP107" s="667"/>
      <c r="HQ107" s="667"/>
      <c r="HR107" s="667"/>
      <c r="HS107" s="667"/>
      <c r="HT107" s="667"/>
      <c r="HU107" s="667"/>
      <c r="HV107" s="667"/>
      <c r="HW107" s="667"/>
    </row>
    <row r="108" spans="1:231" ht="14.1" customHeight="1">
      <c r="A108" s="667"/>
      <c r="B108" s="691"/>
      <c r="C108" s="691"/>
      <c r="E108" s="712"/>
      <c r="F108" s="667"/>
      <c r="G108" s="667"/>
      <c r="H108" s="667"/>
      <c r="I108" s="667"/>
      <c r="K108" s="683"/>
      <c r="L108" s="666"/>
      <c r="M108" s="666"/>
      <c r="N108" s="666"/>
      <c r="O108" s="666"/>
      <c r="P108" s="666"/>
      <c r="Q108" s="666"/>
      <c r="R108" s="666"/>
      <c r="S108" s="666"/>
      <c r="T108" s="666"/>
      <c r="U108" s="666"/>
      <c r="V108" s="666"/>
      <c r="W108" s="666"/>
      <c r="X108" s="667"/>
      <c r="Y108" s="667"/>
      <c r="Z108" s="667"/>
      <c r="AA108" s="667"/>
      <c r="AB108" s="667"/>
      <c r="AC108" s="667"/>
      <c r="AD108" s="667"/>
      <c r="AE108" s="667"/>
      <c r="AF108" s="667"/>
      <c r="AG108" s="667"/>
      <c r="AH108" s="667"/>
      <c r="AI108" s="667"/>
      <c r="AJ108" s="667"/>
      <c r="AK108" s="667"/>
      <c r="AL108" s="667"/>
      <c r="AM108" s="667"/>
      <c r="AN108" s="667"/>
      <c r="AO108" s="667"/>
      <c r="AP108" s="667"/>
      <c r="AQ108" s="667"/>
      <c r="AR108" s="667"/>
      <c r="AS108" s="667"/>
      <c r="AT108" s="667"/>
      <c r="AU108" s="667"/>
      <c r="AV108" s="667"/>
      <c r="AW108" s="667"/>
      <c r="AX108" s="667"/>
      <c r="AY108" s="667"/>
      <c r="AZ108" s="667"/>
      <c r="BA108" s="667"/>
      <c r="BB108" s="667"/>
      <c r="BC108" s="667"/>
      <c r="BD108" s="667"/>
      <c r="BE108" s="667"/>
      <c r="BF108" s="667"/>
      <c r="BG108" s="667"/>
      <c r="BH108" s="667"/>
      <c r="BI108" s="667"/>
      <c r="BJ108" s="667"/>
      <c r="BK108" s="667"/>
      <c r="BL108" s="667"/>
      <c r="BM108" s="667"/>
      <c r="BN108" s="667"/>
      <c r="BO108" s="667"/>
      <c r="BP108" s="667"/>
      <c r="BQ108" s="667"/>
      <c r="BR108" s="667"/>
      <c r="BS108" s="667"/>
      <c r="BT108" s="667"/>
      <c r="BU108" s="667"/>
      <c r="BV108" s="667"/>
      <c r="BW108" s="667"/>
      <c r="BX108" s="667"/>
      <c r="BY108" s="667"/>
      <c r="BZ108" s="667"/>
      <c r="CA108" s="667"/>
      <c r="CB108" s="667"/>
      <c r="CC108" s="667"/>
      <c r="CD108" s="667"/>
      <c r="CE108" s="667"/>
      <c r="CF108" s="667"/>
      <c r="CG108" s="667"/>
      <c r="CH108" s="667"/>
      <c r="CI108" s="667"/>
      <c r="CJ108" s="667"/>
      <c r="CK108" s="667"/>
      <c r="CL108" s="667"/>
      <c r="CM108" s="667"/>
      <c r="CN108" s="667"/>
      <c r="CO108" s="667"/>
      <c r="CP108" s="667"/>
      <c r="CQ108" s="667"/>
      <c r="CR108" s="667"/>
      <c r="CS108" s="667"/>
      <c r="CT108" s="667"/>
      <c r="CU108" s="667"/>
      <c r="CV108" s="667"/>
      <c r="CW108" s="667"/>
      <c r="CX108" s="667"/>
      <c r="CY108" s="667"/>
      <c r="CZ108" s="667"/>
      <c r="DA108" s="667"/>
      <c r="DB108" s="667"/>
      <c r="DC108" s="667"/>
      <c r="DD108" s="667"/>
      <c r="DE108" s="667"/>
      <c r="DF108" s="667"/>
      <c r="DG108" s="667"/>
      <c r="DH108" s="667"/>
      <c r="DI108" s="667"/>
      <c r="DJ108" s="667"/>
      <c r="DK108" s="667"/>
      <c r="DL108" s="667"/>
      <c r="DM108" s="667"/>
      <c r="DN108" s="667"/>
      <c r="DO108" s="667"/>
      <c r="DP108" s="667"/>
      <c r="DQ108" s="667"/>
      <c r="DR108" s="667"/>
      <c r="DS108" s="667"/>
      <c r="DT108" s="667"/>
      <c r="DU108" s="667"/>
      <c r="DV108" s="667"/>
      <c r="DW108" s="667"/>
      <c r="DX108" s="667"/>
      <c r="DY108" s="667"/>
      <c r="DZ108" s="667"/>
      <c r="EA108" s="667"/>
      <c r="EB108" s="667"/>
      <c r="EC108" s="667"/>
      <c r="ED108" s="667"/>
      <c r="EE108" s="667"/>
      <c r="EF108" s="667"/>
      <c r="EG108" s="667"/>
      <c r="EH108" s="667"/>
      <c r="EI108" s="667"/>
      <c r="EJ108" s="667"/>
      <c r="EK108" s="667"/>
      <c r="EL108" s="667"/>
      <c r="EM108" s="667"/>
      <c r="EN108" s="667"/>
      <c r="EO108" s="667"/>
      <c r="EP108" s="667"/>
      <c r="EQ108" s="667"/>
      <c r="ER108" s="667"/>
      <c r="ES108" s="667"/>
      <c r="ET108" s="667"/>
      <c r="EU108" s="667"/>
      <c r="EV108" s="667"/>
      <c r="EW108" s="667"/>
      <c r="EX108" s="667"/>
      <c r="EY108" s="667"/>
      <c r="EZ108" s="667"/>
      <c r="FA108" s="667"/>
      <c r="FB108" s="667"/>
      <c r="FC108" s="667"/>
      <c r="FD108" s="667"/>
      <c r="FE108" s="667"/>
      <c r="FF108" s="667"/>
      <c r="FG108" s="667"/>
      <c r="FH108" s="667"/>
      <c r="FI108" s="667"/>
      <c r="FJ108" s="667"/>
      <c r="FK108" s="667"/>
      <c r="FL108" s="667"/>
      <c r="FM108" s="667"/>
      <c r="FN108" s="667"/>
      <c r="FO108" s="667"/>
      <c r="FP108" s="667"/>
      <c r="FQ108" s="667"/>
      <c r="FR108" s="667"/>
      <c r="FS108" s="667"/>
      <c r="FT108" s="667"/>
      <c r="FU108" s="667"/>
      <c r="FV108" s="667"/>
      <c r="FW108" s="667"/>
      <c r="FX108" s="667"/>
      <c r="FY108" s="667"/>
      <c r="FZ108" s="667"/>
      <c r="GA108" s="667"/>
      <c r="GB108" s="667"/>
      <c r="GC108" s="667"/>
      <c r="GD108" s="667"/>
      <c r="GE108" s="667"/>
      <c r="GF108" s="667"/>
      <c r="GG108" s="667"/>
      <c r="GH108" s="667"/>
      <c r="GI108" s="667"/>
      <c r="GJ108" s="667"/>
      <c r="GK108" s="667"/>
      <c r="GL108" s="667"/>
      <c r="GM108" s="667"/>
      <c r="GN108" s="667"/>
      <c r="GO108" s="667"/>
      <c r="GP108" s="667"/>
      <c r="GQ108" s="667"/>
      <c r="GR108" s="667"/>
      <c r="GS108" s="667"/>
      <c r="GT108" s="667"/>
      <c r="GU108" s="667"/>
      <c r="GV108" s="667"/>
      <c r="GW108" s="667"/>
      <c r="GX108" s="667"/>
      <c r="GY108" s="667"/>
      <c r="GZ108" s="667"/>
      <c r="HA108" s="667"/>
      <c r="HB108" s="667"/>
      <c r="HC108" s="667"/>
      <c r="HD108" s="667"/>
      <c r="HE108" s="667"/>
      <c r="HF108" s="667"/>
      <c r="HG108" s="667"/>
      <c r="HH108" s="667"/>
      <c r="HI108" s="667"/>
      <c r="HJ108" s="667"/>
      <c r="HK108" s="667"/>
      <c r="HL108" s="667"/>
      <c r="HM108" s="667"/>
      <c r="HN108" s="667"/>
      <c r="HO108" s="667"/>
      <c r="HP108" s="667"/>
      <c r="HQ108" s="667"/>
      <c r="HR108" s="667"/>
      <c r="HS108" s="667"/>
      <c r="HT108" s="667"/>
      <c r="HU108" s="667"/>
      <c r="HV108" s="667"/>
      <c r="HW108" s="667"/>
    </row>
    <row r="109" spans="1:231" ht="14.1" customHeight="1">
      <c r="F109" s="667"/>
      <c r="G109" s="667"/>
      <c r="H109" s="667"/>
      <c r="I109" s="667"/>
      <c r="K109" s="683"/>
      <c r="L109" s="666"/>
      <c r="M109" s="666"/>
      <c r="N109" s="666"/>
      <c r="O109" s="666"/>
      <c r="P109" s="666"/>
      <c r="Q109" s="666"/>
      <c r="R109" s="666"/>
      <c r="S109" s="666"/>
      <c r="T109" s="666"/>
      <c r="U109" s="666"/>
      <c r="V109" s="666"/>
      <c r="W109" s="666"/>
      <c r="X109" s="667"/>
      <c r="Y109" s="667"/>
      <c r="Z109" s="667"/>
      <c r="AA109" s="667"/>
      <c r="AB109" s="667"/>
      <c r="AC109" s="667"/>
      <c r="AD109" s="667"/>
      <c r="AE109" s="667"/>
      <c r="AF109" s="667"/>
      <c r="AG109" s="667"/>
      <c r="AH109" s="667"/>
      <c r="AI109" s="667"/>
      <c r="AJ109" s="667"/>
      <c r="AK109" s="667"/>
      <c r="AL109" s="667"/>
      <c r="AM109" s="667"/>
      <c r="AN109" s="667"/>
      <c r="AO109" s="667"/>
      <c r="AP109" s="667"/>
      <c r="AQ109" s="667"/>
      <c r="AR109" s="667"/>
      <c r="AS109" s="667"/>
      <c r="AT109" s="667"/>
      <c r="AU109" s="667"/>
      <c r="AV109" s="667"/>
      <c r="AW109" s="667"/>
      <c r="AX109" s="667"/>
      <c r="AY109" s="667"/>
      <c r="AZ109" s="667"/>
      <c r="BA109" s="667"/>
      <c r="BB109" s="667"/>
      <c r="BC109" s="667"/>
      <c r="BD109" s="667"/>
      <c r="BE109" s="667"/>
      <c r="BF109" s="667"/>
      <c r="BG109" s="667"/>
      <c r="BH109" s="667"/>
      <c r="BI109" s="667"/>
      <c r="BJ109" s="667"/>
      <c r="BK109" s="667"/>
      <c r="BL109" s="667"/>
      <c r="BM109" s="667"/>
      <c r="BN109" s="667"/>
      <c r="BO109" s="667"/>
      <c r="BP109" s="667"/>
      <c r="BQ109" s="667"/>
      <c r="BR109" s="667"/>
      <c r="BS109" s="667"/>
      <c r="BT109" s="667"/>
      <c r="BU109" s="667"/>
      <c r="BV109" s="667"/>
      <c r="BW109" s="667"/>
      <c r="BX109" s="667"/>
      <c r="BY109" s="667"/>
      <c r="BZ109" s="667"/>
      <c r="CA109" s="667"/>
      <c r="CB109" s="667"/>
      <c r="CC109" s="667"/>
      <c r="CD109" s="667"/>
      <c r="CE109" s="667"/>
      <c r="CF109" s="667"/>
      <c r="CG109" s="667"/>
      <c r="CH109" s="667"/>
      <c r="CI109" s="667"/>
      <c r="CJ109" s="667"/>
      <c r="CK109" s="667"/>
      <c r="CL109" s="667"/>
      <c r="CM109" s="667"/>
      <c r="CN109" s="667"/>
      <c r="CO109" s="667"/>
      <c r="CP109" s="667"/>
      <c r="CQ109" s="667"/>
      <c r="CR109" s="667"/>
      <c r="CS109" s="667"/>
      <c r="CT109" s="667"/>
      <c r="CU109" s="667"/>
      <c r="CV109" s="667"/>
      <c r="CW109" s="667"/>
      <c r="CX109" s="667"/>
      <c r="CY109" s="667"/>
      <c r="CZ109" s="667"/>
      <c r="DA109" s="667"/>
      <c r="DB109" s="667"/>
      <c r="DC109" s="667"/>
      <c r="DD109" s="667"/>
      <c r="DE109" s="667"/>
      <c r="DF109" s="667"/>
      <c r="DG109" s="667"/>
      <c r="DH109" s="667"/>
      <c r="DI109" s="667"/>
      <c r="DJ109" s="667"/>
      <c r="DK109" s="667"/>
      <c r="DL109" s="667"/>
      <c r="DM109" s="667"/>
      <c r="DN109" s="667"/>
      <c r="DO109" s="667"/>
      <c r="DP109" s="667"/>
      <c r="DQ109" s="667"/>
      <c r="DR109" s="667"/>
      <c r="DS109" s="667"/>
      <c r="DT109" s="667"/>
      <c r="DU109" s="667"/>
      <c r="DV109" s="667"/>
      <c r="DW109" s="667"/>
      <c r="DX109" s="667"/>
      <c r="DY109" s="667"/>
      <c r="DZ109" s="667"/>
      <c r="EA109" s="667"/>
      <c r="EB109" s="667"/>
      <c r="EC109" s="667"/>
      <c r="ED109" s="667"/>
      <c r="EE109" s="667"/>
      <c r="EF109" s="667"/>
      <c r="EG109" s="667"/>
      <c r="EH109" s="667"/>
      <c r="EI109" s="667"/>
      <c r="EJ109" s="667"/>
      <c r="EK109" s="667"/>
      <c r="EL109" s="667"/>
      <c r="EM109" s="667"/>
      <c r="EN109" s="667"/>
      <c r="EO109" s="667"/>
      <c r="EP109" s="667"/>
      <c r="EQ109" s="667"/>
      <c r="ER109" s="667"/>
      <c r="ES109" s="667"/>
      <c r="ET109" s="667"/>
      <c r="EU109" s="667"/>
      <c r="EV109" s="667"/>
      <c r="EW109" s="667"/>
      <c r="EX109" s="667"/>
      <c r="EY109" s="667"/>
      <c r="EZ109" s="667"/>
      <c r="FA109" s="667"/>
      <c r="FB109" s="667"/>
      <c r="FC109" s="667"/>
      <c r="FD109" s="667"/>
      <c r="FE109" s="667"/>
      <c r="FF109" s="667"/>
      <c r="FG109" s="667"/>
      <c r="FH109" s="667"/>
      <c r="FI109" s="667"/>
      <c r="FJ109" s="667"/>
      <c r="FK109" s="667"/>
      <c r="FL109" s="667"/>
      <c r="FM109" s="667"/>
      <c r="FN109" s="667"/>
      <c r="FO109" s="667"/>
      <c r="FP109" s="667"/>
      <c r="FQ109" s="667"/>
      <c r="FR109" s="667"/>
      <c r="FS109" s="667"/>
      <c r="FT109" s="667"/>
      <c r="FU109" s="667"/>
      <c r="FV109" s="667"/>
      <c r="FW109" s="667"/>
      <c r="FX109" s="667"/>
      <c r="FY109" s="667"/>
      <c r="FZ109" s="667"/>
      <c r="GA109" s="667"/>
      <c r="GB109" s="667"/>
      <c r="GC109" s="667"/>
      <c r="GD109" s="667"/>
      <c r="GE109" s="667"/>
      <c r="GF109" s="667"/>
      <c r="GG109" s="667"/>
      <c r="GH109" s="667"/>
      <c r="GI109" s="667"/>
      <c r="GJ109" s="667"/>
      <c r="GK109" s="667"/>
      <c r="GL109" s="667"/>
      <c r="GM109" s="667"/>
      <c r="GN109" s="667"/>
      <c r="GO109" s="667"/>
      <c r="GP109" s="667"/>
      <c r="GQ109" s="667"/>
      <c r="GR109" s="667"/>
      <c r="GS109" s="667"/>
      <c r="GT109" s="667"/>
      <c r="GU109" s="667"/>
      <c r="GV109" s="667"/>
      <c r="GW109" s="667"/>
      <c r="GX109" s="667"/>
      <c r="GY109" s="667"/>
      <c r="GZ109" s="667"/>
      <c r="HA109" s="667"/>
      <c r="HB109" s="667"/>
      <c r="HC109" s="667"/>
      <c r="HD109" s="667"/>
      <c r="HE109" s="667"/>
      <c r="HF109" s="667"/>
      <c r="HG109" s="667"/>
      <c r="HH109" s="667"/>
      <c r="HI109" s="667"/>
      <c r="HJ109" s="667"/>
      <c r="HK109" s="667"/>
      <c r="HL109" s="667"/>
      <c r="HM109" s="667"/>
      <c r="HN109" s="667"/>
      <c r="HO109" s="667"/>
      <c r="HP109" s="667"/>
      <c r="HQ109" s="667"/>
      <c r="HR109" s="667"/>
      <c r="HS109" s="667"/>
      <c r="HT109" s="667"/>
      <c r="HU109" s="667"/>
      <c r="HV109" s="667"/>
      <c r="HW109" s="667"/>
    </row>
    <row r="110" spans="1:231" ht="14.1" customHeight="1">
      <c r="F110" s="667"/>
      <c r="G110" s="667"/>
      <c r="H110" s="667"/>
      <c r="I110" s="667"/>
      <c r="K110" s="683"/>
      <c r="L110" s="666"/>
      <c r="M110" s="666"/>
      <c r="N110" s="666"/>
      <c r="O110" s="666"/>
      <c r="P110" s="666"/>
      <c r="Q110" s="666"/>
      <c r="R110" s="666"/>
      <c r="S110" s="666"/>
      <c r="T110" s="666"/>
      <c r="U110" s="666"/>
      <c r="V110" s="666"/>
      <c r="W110" s="666"/>
      <c r="X110" s="667"/>
      <c r="Y110" s="667"/>
      <c r="Z110" s="667"/>
      <c r="AA110" s="667"/>
      <c r="AB110" s="667"/>
      <c r="AC110" s="667"/>
      <c r="AD110" s="667"/>
      <c r="AE110" s="667"/>
      <c r="AF110" s="667"/>
      <c r="AG110" s="667"/>
      <c r="AH110" s="667"/>
      <c r="AI110" s="667"/>
      <c r="AJ110" s="667"/>
      <c r="AK110" s="667"/>
      <c r="AL110" s="667"/>
      <c r="AM110" s="667"/>
      <c r="AN110" s="667"/>
      <c r="AO110" s="667"/>
      <c r="AP110" s="667"/>
      <c r="AQ110" s="667"/>
      <c r="AR110" s="667"/>
      <c r="AS110" s="667"/>
      <c r="AT110" s="667"/>
      <c r="AU110" s="667"/>
      <c r="AV110" s="667"/>
      <c r="AW110" s="667"/>
      <c r="AX110" s="667"/>
      <c r="AY110" s="667"/>
      <c r="AZ110" s="667"/>
      <c r="BA110" s="667"/>
      <c r="BB110" s="667"/>
      <c r="BC110" s="667"/>
      <c r="BD110" s="667"/>
      <c r="BE110" s="667"/>
      <c r="BF110" s="667"/>
      <c r="BG110" s="667"/>
      <c r="BH110" s="667"/>
      <c r="BI110" s="667"/>
      <c r="BJ110" s="667"/>
      <c r="BK110" s="667"/>
      <c r="BL110" s="667"/>
      <c r="BM110" s="667"/>
      <c r="BN110" s="667"/>
      <c r="BO110" s="667"/>
      <c r="BP110" s="667"/>
      <c r="BQ110" s="667"/>
      <c r="BR110" s="667"/>
      <c r="BS110" s="667"/>
      <c r="BT110" s="667"/>
      <c r="BU110" s="667"/>
      <c r="BV110" s="667"/>
      <c r="BW110" s="667"/>
      <c r="BX110" s="667"/>
      <c r="BY110" s="667"/>
      <c r="BZ110" s="667"/>
      <c r="CA110" s="667"/>
      <c r="CB110" s="667"/>
      <c r="CC110" s="667"/>
      <c r="CD110" s="667"/>
      <c r="CE110" s="667"/>
      <c r="CF110" s="667"/>
      <c r="CG110" s="667"/>
      <c r="CH110" s="667"/>
      <c r="CI110" s="667"/>
      <c r="CJ110" s="667"/>
      <c r="CK110" s="667"/>
      <c r="CL110" s="667"/>
      <c r="CM110" s="667"/>
      <c r="CN110" s="667"/>
      <c r="CO110" s="667"/>
      <c r="CP110" s="667"/>
      <c r="CQ110" s="667"/>
      <c r="CR110" s="667"/>
      <c r="CS110" s="667"/>
      <c r="CT110" s="667"/>
      <c r="CU110" s="667"/>
      <c r="CV110" s="667"/>
      <c r="CW110" s="667"/>
      <c r="CX110" s="667"/>
      <c r="CY110" s="667"/>
      <c r="CZ110" s="667"/>
      <c r="DA110" s="667"/>
      <c r="DB110" s="667"/>
      <c r="DC110" s="667"/>
      <c r="DD110" s="667"/>
      <c r="DE110" s="667"/>
      <c r="DF110" s="667"/>
      <c r="DG110" s="667"/>
      <c r="DH110" s="667"/>
      <c r="DI110" s="667"/>
      <c r="DJ110" s="667"/>
      <c r="DK110" s="667"/>
      <c r="DL110" s="667"/>
      <c r="DM110" s="667"/>
      <c r="DN110" s="667"/>
      <c r="DO110" s="667"/>
      <c r="DP110" s="667"/>
      <c r="DQ110" s="667"/>
      <c r="DR110" s="667"/>
      <c r="DS110" s="667"/>
      <c r="DT110" s="667"/>
      <c r="DU110" s="667"/>
      <c r="DV110" s="667"/>
      <c r="DW110" s="667"/>
      <c r="DX110" s="667"/>
      <c r="DY110" s="667"/>
      <c r="DZ110" s="667"/>
      <c r="EA110" s="667"/>
      <c r="EB110" s="667"/>
      <c r="EC110" s="667"/>
      <c r="ED110" s="667"/>
      <c r="EE110" s="667"/>
      <c r="EF110" s="667"/>
      <c r="EG110" s="667"/>
      <c r="EH110" s="667"/>
      <c r="EI110" s="667"/>
      <c r="EJ110" s="667"/>
      <c r="EK110" s="667"/>
      <c r="EL110" s="667"/>
      <c r="EM110" s="667"/>
      <c r="EN110" s="667"/>
      <c r="EO110" s="667"/>
      <c r="EP110" s="667"/>
      <c r="EQ110" s="667"/>
      <c r="ER110" s="667"/>
      <c r="ES110" s="667"/>
      <c r="ET110" s="667"/>
      <c r="EU110" s="667"/>
      <c r="EV110" s="667"/>
      <c r="EW110" s="667"/>
      <c r="EX110" s="667"/>
      <c r="EY110" s="667"/>
      <c r="EZ110" s="667"/>
      <c r="FA110" s="667"/>
      <c r="FB110" s="667"/>
      <c r="FC110" s="667"/>
      <c r="FD110" s="667"/>
      <c r="FE110" s="667"/>
      <c r="FF110" s="667"/>
      <c r="FG110" s="667"/>
      <c r="FH110" s="667"/>
      <c r="FI110" s="667"/>
      <c r="FJ110" s="667"/>
      <c r="FK110" s="667"/>
      <c r="FL110" s="667"/>
      <c r="FM110" s="667"/>
      <c r="FN110" s="667"/>
      <c r="FO110" s="667"/>
      <c r="FP110" s="667"/>
      <c r="FQ110" s="667"/>
      <c r="FR110" s="667"/>
      <c r="FS110" s="667"/>
      <c r="FT110" s="667"/>
      <c r="FU110" s="667"/>
      <c r="FV110" s="667"/>
      <c r="FW110" s="667"/>
      <c r="FX110" s="667"/>
      <c r="FY110" s="667"/>
      <c r="FZ110" s="667"/>
      <c r="GA110" s="667"/>
      <c r="GB110" s="667"/>
      <c r="GC110" s="667"/>
      <c r="GD110" s="667"/>
      <c r="GE110" s="667"/>
      <c r="GF110" s="667"/>
      <c r="GG110" s="667"/>
      <c r="GH110" s="667"/>
      <c r="GI110" s="667"/>
      <c r="GJ110" s="667"/>
      <c r="GK110" s="667"/>
      <c r="GL110" s="667"/>
      <c r="GM110" s="667"/>
      <c r="GN110" s="667"/>
      <c r="GO110" s="667"/>
      <c r="GP110" s="667"/>
      <c r="GQ110" s="667"/>
      <c r="GR110" s="667"/>
      <c r="GS110" s="667"/>
      <c r="GT110" s="667"/>
      <c r="GU110" s="667"/>
      <c r="GV110" s="667"/>
      <c r="GW110" s="667"/>
      <c r="GX110" s="667"/>
      <c r="GY110" s="667"/>
      <c r="GZ110" s="667"/>
      <c r="HA110" s="667"/>
      <c r="HB110" s="667"/>
      <c r="HC110" s="667"/>
      <c r="HD110" s="667"/>
      <c r="HE110" s="667"/>
      <c r="HF110" s="667"/>
      <c r="HG110" s="667"/>
      <c r="HH110" s="667"/>
      <c r="HI110" s="667"/>
      <c r="HJ110" s="667"/>
      <c r="HK110" s="667"/>
      <c r="HL110" s="667"/>
      <c r="HM110" s="667"/>
      <c r="HN110" s="667"/>
      <c r="HO110" s="667"/>
      <c r="HP110" s="667"/>
      <c r="HQ110" s="667"/>
      <c r="HR110" s="667"/>
      <c r="HS110" s="667"/>
      <c r="HT110" s="667"/>
      <c r="HU110" s="667"/>
      <c r="HV110" s="667"/>
      <c r="HW110" s="667"/>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1">
    <mergeCell ref="A46:G46"/>
  </mergeCells>
  <printOptions horizontalCentered="1"/>
  <pageMargins left="0.5" right="0.5" top="1" bottom="1" header="0.5" footer="0.5"/>
  <pageSetup scale="62" orientation="landscape" r:id="rId2"/>
  <headerFooter alignWithMargins="0"/>
  <rowBreaks count="1" manualBreakCount="1">
    <brk id="47" max="9" man="1"/>
  </rowBreaks>
  <drawing r:id="rId3"/>
</worksheet>
</file>

<file path=xl/worksheets/sheet5.xml><?xml version="1.0" encoding="utf-8"?>
<worksheet xmlns="http://schemas.openxmlformats.org/spreadsheetml/2006/main" xmlns:r="http://schemas.openxmlformats.org/officeDocument/2006/relationships">
  <sheetPr codeName="Sheet4"/>
  <dimension ref="B1:AE54"/>
  <sheetViews>
    <sheetView zoomScaleNormal="100" workbookViewId="0"/>
  </sheetViews>
  <sheetFormatPr defaultColWidth="12.44140625" defaultRowHeight="13.2"/>
  <cols>
    <col min="1" max="1" width="11.33203125" style="254" customWidth="1"/>
    <col min="2" max="4" width="20.109375" style="254" customWidth="1"/>
    <col min="5" max="5" width="10.5546875" style="254" customWidth="1"/>
    <col min="6" max="6" width="12.44140625" style="254" customWidth="1"/>
    <col min="7" max="8" width="8.88671875" customWidth="1"/>
    <col min="9" max="27" width="12.44140625" style="254" customWidth="1"/>
    <col min="28" max="28" width="24.44140625" style="254" customWidth="1"/>
    <col min="29" max="16384" width="12.44140625" style="254"/>
  </cols>
  <sheetData>
    <row r="1" spans="2:31" ht="17.399999999999999">
      <c r="B1" s="255" t="s">
        <v>468</v>
      </c>
    </row>
    <row r="2" spans="2:31" ht="15.6">
      <c r="B2" s="14" t="s">
        <v>469</v>
      </c>
    </row>
    <row r="3" spans="2:31" ht="15.6">
      <c r="B3" s="14"/>
    </row>
    <row r="4" spans="2:31" ht="16.2" thickBot="1">
      <c r="B4" s="14"/>
    </row>
    <row r="5" spans="2:31">
      <c r="B5" s="256"/>
      <c r="C5" s="256"/>
      <c r="D5" s="256"/>
    </row>
    <row r="6" spans="2:31" ht="15.6">
      <c r="B6" s="257" t="s">
        <v>470</v>
      </c>
      <c r="C6" s="258"/>
      <c r="D6" s="259" t="s">
        <v>30</v>
      </c>
      <c r="AB6" s="278"/>
    </row>
    <row r="7" spans="2:31" ht="15">
      <c r="B7" s="260"/>
      <c r="C7" s="261"/>
      <c r="D7" s="262"/>
      <c r="F7" s="260"/>
      <c r="AA7" s="279"/>
      <c r="AB7" s="280"/>
    </row>
    <row r="8" spans="2:31">
      <c r="B8" s="260">
        <v>1999</v>
      </c>
      <c r="D8" s="1081">
        <v>6091217783</v>
      </c>
      <c r="AA8" s="1050">
        <v>1998</v>
      </c>
      <c r="AB8" s="1051">
        <f>AD8</f>
        <v>5.41</v>
      </c>
      <c r="AD8" s="1051">
        <f t="shared" ref="AD8:AD20" si="0">ROUND(AE8,2)</f>
        <v>5.41</v>
      </c>
      <c r="AE8" s="1051">
        <v>5.4141555390000002</v>
      </c>
    </row>
    <row r="9" spans="2:31">
      <c r="B9" s="260">
        <v>2000</v>
      </c>
      <c r="D9" s="264">
        <v>6552218036</v>
      </c>
      <c r="AA9" s="1050">
        <v>1999</v>
      </c>
      <c r="AB9" s="1051">
        <f t="shared" ref="AB9:AB17" si="1">AD9</f>
        <v>6.09</v>
      </c>
      <c r="AD9" s="1051">
        <f>ROUND(AE9,2)</f>
        <v>6.09</v>
      </c>
      <c r="AE9" s="1051">
        <v>6.0912177830000003</v>
      </c>
    </row>
    <row r="10" spans="2:31">
      <c r="B10" s="260">
        <v>2001</v>
      </c>
      <c r="D10" s="264">
        <v>6371012545</v>
      </c>
      <c r="AA10" s="1050">
        <v>2000</v>
      </c>
      <c r="AB10" s="1051">
        <f t="shared" si="1"/>
        <v>6.55</v>
      </c>
      <c r="AD10" s="1051">
        <f t="shared" si="0"/>
        <v>6.55</v>
      </c>
      <c r="AE10" s="1051">
        <v>6.5522180360000002</v>
      </c>
    </row>
    <row r="11" spans="2:31">
      <c r="B11" s="260">
        <v>2002</v>
      </c>
      <c r="D11" s="264">
        <v>6437586719</v>
      </c>
      <c r="AA11" s="1050">
        <v>2001</v>
      </c>
      <c r="AB11" s="1051">
        <f t="shared" si="1"/>
        <v>6.37</v>
      </c>
      <c r="AD11" s="1051">
        <f t="shared" si="0"/>
        <v>6.37</v>
      </c>
      <c r="AE11" s="1051">
        <v>6.3710125450000001</v>
      </c>
    </row>
    <row r="12" spans="2:31">
      <c r="B12" s="260">
        <v>2003</v>
      </c>
      <c r="D12" s="263">
        <v>6816462132</v>
      </c>
      <c r="AA12" s="1050">
        <v>2002</v>
      </c>
      <c r="AB12" s="1051">
        <f t="shared" si="1"/>
        <v>6.44</v>
      </c>
      <c r="AD12" s="1051">
        <f t="shared" si="0"/>
        <v>6.44</v>
      </c>
      <c r="AE12" s="1051">
        <v>6.4375867189999996</v>
      </c>
    </row>
    <row r="13" spans="2:31">
      <c r="B13" s="260">
        <v>2004</v>
      </c>
      <c r="D13" s="263">
        <v>7358048877</v>
      </c>
      <c r="AA13" s="1050">
        <v>2003</v>
      </c>
      <c r="AB13" s="1051">
        <f t="shared" si="1"/>
        <v>6.82</v>
      </c>
      <c r="AD13" s="1051">
        <f>ROUND(AE13,2)</f>
        <v>6.82</v>
      </c>
      <c r="AE13" s="1051">
        <v>6.8164621319999998</v>
      </c>
    </row>
    <row r="14" spans="2:31">
      <c r="B14" s="260">
        <v>2005</v>
      </c>
      <c r="D14" s="263">
        <v>8414731881</v>
      </c>
      <c r="AA14" s="1050">
        <v>2004</v>
      </c>
      <c r="AB14" s="1051">
        <f t="shared" si="1"/>
        <v>7.36</v>
      </c>
      <c r="AD14" s="1051">
        <f t="shared" si="0"/>
        <v>7.36</v>
      </c>
      <c r="AE14" s="1051">
        <v>7.3580488769999999</v>
      </c>
    </row>
    <row r="15" spans="2:31">
      <c r="B15" s="260">
        <v>2006</v>
      </c>
      <c r="D15" s="263">
        <v>9132261251</v>
      </c>
      <c r="AA15" s="1050">
        <v>2005</v>
      </c>
      <c r="AB15" s="1051">
        <f t="shared" si="1"/>
        <v>8.41</v>
      </c>
      <c r="AD15" s="1051">
        <f t="shared" si="0"/>
        <v>8.41</v>
      </c>
      <c r="AE15" s="1051">
        <v>8.4147318809999998</v>
      </c>
    </row>
    <row r="16" spans="2:31">
      <c r="B16" s="260">
        <v>2007</v>
      </c>
      <c r="D16" s="263">
        <v>9601762403.6699944</v>
      </c>
      <c r="AA16" s="1050">
        <v>2006</v>
      </c>
      <c r="AB16" s="1051">
        <f t="shared" si="1"/>
        <v>9.1300000000000008</v>
      </c>
      <c r="AD16" s="1051">
        <f t="shared" si="0"/>
        <v>9.1300000000000008</v>
      </c>
      <c r="AE16" s="1051">
        <v>9.1322612509999992</v>
      </c>
    </row>
    <row r="17" spans="2:31">
      <c r="B17" s="260">
        <v>2008</v>
      </c>
      <c r="D17" s="263">
        <v>9201320075.0499992</v>
      </c>
      <c r="AA17" s="1050">
        <v>2007</v>
      </c>
      <c r="AB17" s="1051">
        <f t="shared" si="1"/>
        <v>9.6</v>
      </c>
      <c r="AD17" s="1051">
        <f t="shared" si="0"/>
        <v>9.6</v>
      </c>
      <c r="AE17" s="1051">
        <v>9.6017624036699942</v>
      </c>
    </row>
    <row r="18" spans="2:31">
      <c r="B18" s="260">
        <v>2009</v>
      </c>
      <c r="D18" s="263">
        <v>8838405972.0000038</v>
      </c>
      <c r="AA18" s="1050">
        <v>2008</v>
      </c>
      <c r="AB18" s="1051">
        <f>AD18</f>
        <v>9.1999999999999993</v>
      </c>
      <c r="AD18" s="1051">
        <f t="shared" si="0"/>
        <v>9.1999999999999993</v>
      </c>
      <c r="AE18" s="1051">
        <v>9.2013200750500008</v>
      </c>
    </row>
    <row r="19" spans="2:31">
      <c r="B19" s="260">
        <v>2010</v>
      </c>
      <c r="D19" s="263">
        <v>9537700528</v>
      </c>
      <c r="E19" s="265"/>
      <c r="F19" s="265"/>
      <c r="AA19" s="1050">
        <v>2009</v>
      </c>
      <c r="AB19" s="1051">
        <f>AD19</f>
        <v>8.84</v>
      </c>
      <c r="AD19" s="1051">
        <f t="shared" si="0"/>
        <v>8.84</v>
      </c>
      <c r="AE19" s="1051">
        <v>8.8384059720000003</v>
      </c>
    </row>
    <row r="20" spans="2:31">
      <c r="B20" s="260">
        <v>2011</v>
      </c>
      <c r="D20" s="263">
        <v>9846787045</v>
      </c>
      <c r="E20" s="265"/>
      <c r="F20" s="265"/>
      <c r="AA20" s="1050">
        <v>2010</v>
      </c>
      <c r="AB20" s="1051">
        <f>AD20</f>
        <v>9.5399999999999991</v>
      </c>
      <c r="AD20" s="1051">
        <f t="shared" si="0"/>
        <v>9.5399999999999991</v>
      </c>
      <c r="AE20" s="1051">
        <f>D19/1000000000</f>
        <v>9.5377005280000002</v>
      </c>
    </row>
    <row r="21" spans="2:31">
      <c r="C21" s="266"/>
      <c r="F21" s="260"/>
      <c r="AA21" s="1050">
        <v>2011</v>
      </c>
      <c r="AB21" s="1051">
        <f>AD21</f>
        <v>9.85</v>
      </c>
      <c r="AD21" s="1051">
        <f>ROUND(AE21,2)</f>
        <v>9.85</v>
      </c>
      <c r="AE21" s="1051">
        <f>D20/1000000000</f>
        <v>9.8467870449999992</v>
      </c>
    </row>
    <row r="22" spans="2:31">
      <c r="B22" s="9" t="s">
        <v>27</v>
      </c>
      <c r="C22" s="266"/>
      <c r="F22" s="260"/>
      <c r="AA22" s="267"/>
    </row>
    <row r="23" spans="2:31">
      <c r="B23" s="9" t="s">
        <v>471</v>
      </c>
      <c r="C23" s="266"/>
      <c r="F23" s="260"/>
      <c r="AA23" s="267"/>
    </row>
    <row r="24" spans="2:31">
      <c r="B24" s="9"/>
      <c r="C24" s="266"/>
      <c r="F24" s="260"/>
      <c r="AA24" s="267"/>
    </row>
    <row r="25" spans="2:31">
      <c r="B25" s="9"/>
      <c r="C25" s="266"/>
      <c r="F25" s="260"/>
      <c r="AA25" s="267"/>
    </row>
    <row r="26" spans="2:31">
      <c r="B26" s="260"/>
      <c r="C26" s="267"/>
      <c r="F26" s="260"/>
      <c r="AA26" s="267"/>
    </row>
    <row r="27" spans="2:31">
      <c r="B27" s="260"/>
      <c r="C27" s="267"/>
    </row>
    <row r="28" spans="2:31">
      <c r="B28" s="260"/>
      <c r="C28" s="267"/>
    </row>
    <row r="29" spans="2:31">
      <c r="B29" s="260"/>
      <c r="C29" s="267"/>
    </row>
    <row r="30" spans="2:31">
      <c r="B30" s="260"/>
      <c r="C30" s="267"/>
    </row>
    <row r="31" spans="2:31">
      <c r="B31" s="260"/>
      <c r="C31" s="267"/>
    </row>
    <row r="32" spans="2:31">
      <c r="B32" s="260"/>
      <c r="C32" s="267"/>
    </row>
    <row r="33" spans="2:5">
      <c r="B33" s="260"/>
      <c r="C33" s="267"/>
    </row>
    <row r="34" spans="2:5">
      <c r="B34" s="260"/>
      <c r="C34" s="267"/>
    </row>
    <row r="35" spans="2:5">
      <c r="B35" s="260"/>
      <c r="C35" s="267"/>
    </row>
    <row r="36" spans="2:5">
      <c r="B36" s="260"/>
      <c r="C36" s="267"/>
    </row>
    <row r="37" spans="2:5">
      <c r="B37" s="260"/>
      <c r="C37" s="267"/>
    </row>
    <row r="38" spans="2:5">
      <c r="B38" s="260"/>
      <c r="C38" s="267"/>
    </row>
    <row r="39" spans="2:5">
      <c r="E39" s="268"/>
    </row>
    <row r="52" spans="2:5" ht="15.6">
      <c r="B52" s="10"/>
      <c r="C52" s="10"/>
    </row>
    <row r="53" spans="2:5" ht="15.6">
      <c r="B53" s="5"/>
      <c r="C53" s="5"/>
      <c r="D53" s="5"/>
      <c r="E53" s="54"/>
    </row>
    <row r="54" spans="2:5" ht="15.6">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sheetPr codeName="Sheet5"/>
  <dimension ref="A1:AU49"/>
  <sheetViews>
    <sheetView zoomScaleNormal="100" workbookViewId="0"/>
  </sheetViews>
  <sheetFormatPr defaultColWidth="9.109375" defaultRowHeight="13.2"/>
  <cols>
    <col min="1" max="1" width="12.6640625" style="269" customWidth="1"/>
    <col min="2" max="2" width="9.6640625" style="269" customWidth="1"/>
    <col min="3" max="3" width="9.5546875" style="269" customWidth="1"/>
    <col min="4" max="4" width="22" style="269" bestFit="1" customWidth="1"/>
    <col min="5" max="5" width="16.6640625" style="269" customWidth="1"/>
    <col min="6" max="6" width="20.88671875" style="269" bestFit="1" customWidth="1"/>
    <col min="7" max="7" width="16.44140625" style="269" customWidth="1"/>
    <col min="8" max="8" width="18.33203125" style="269" customWidth="1"/>
    <col min="9" max="9" width="20" style="269" customWidth="1"/>
    <col min="10" max="10" width="17.5546875" style="269" customWidth="1"/>
    <col min="11" max="11" width="13.44140625" style="269" customWidth="1"/>
    <col min="12" max="16384" width="9.109375" style="269"/>
  </cols>
  <sheetData>
    <row r="1" spans="1:12" ht="17.399999999999999">
      <c r="A1" s="750" t="s">
        <v>497</v>
      </c>
      <c r="B1" s="750"/>
      <c r="C1" s="750"/>
      <c r="D1" s="717"/>
      <c r="E1" s="719"/>
      <c r="F1" s="717"/>
      <c r="G1" s="717"/>
      <c r="H1" s="717"/>
      <c r="I1" s="717"/>
      <c r="J1" s="718"/>
      <c r="K1" s="717"/>
      <c r="L1" s="717"/>
    </row>
    <row r="2" spans="1:12" ht="15.6">
      <c r="A2" s="1091" t="s">
        <v>498</v>
      </c>
      <c r="B2" s="1091"/>
      <c r="C2" s="1091"/>
      <c r="D2" s="1091"/>
      <c r="E2" s="1091"/>
      <c r="F2" s="1091"/>
      <c r="G2" s="1091"/>
      <c r="H2" s="1091"/>
      <c r="I2" s="1091"/>
      <c r="J2" s="1091"/>
      <c r="K2" s="1091"/>
      <c r="L2" s="1091"/>
    </row>
    <row r="3" spans="1:12" ht="15" customHeight="1" thickBot="1">
      <c r="A3" s="939" t="s">
        <v>1093</v>
      </c>
      <c r="B3" s="729"/>
      <c r="C3" s="729"/>
      <c r="D3" s="717"/>
      <c r="E3" s="719"/>
      <c r="F3" s="717"/>
      <c r="G3" s="717"/>
      <c r="H3" s="717"/>
      <c r="I3" s="717"/>
      <c r="J3" s="718"/>
      <c r="K3" s="717"/>
      <c r="L3" s="717"/>
    </row>
    <row r="4" spans="1:12" ht="15" customHeight="1">
      <c r="A4" s="276"/>
      <c r="B4" s="276"/>
      <c r="C4" s="276"/>
      <c r="D4" s="276"/>
      <c r="E4" s="749"/>
      <c r="F4" s="748" t="s">
        <v>499</v>
      </c>
      <c r="G4" s="748" t="s">
        <v>500</v>
      </c>
      <c r="H4" s="748" t="s">
        <v>25</v>
      </c>
      <c r="I4" s="749"/>
      <c r="J4" s="749"/>
      <c r="K4" s="748" t="s">
        <v>501</v>
      </c>
    </row>
    <row r="5" spans="1:12" ht="15.6">
      <c r="B5" s="747" t="s">
        <v>474</v>
      </c>
      <c r="C5" s="733"/>
      <c r="D5" s="747" t="s">
        <v>502</v>
      </c>
      <c r="E5" s="747" t="s">
        <v>503</v>
      </c>
      <c r="F5" s="721" t="s">
        <v>504</v>
      </c>
      <c r="G5" s="721" t="s">
        <v>505</v>
      </c>
      <c r="H5" s="721" t="s">
        <v>504</v>
      </c>
      <c r="I5" s="721" t="s">
        <v>506</v>
      </c>
      <c r="J5" s="721" t="s">
        <v>507</v>
      </c>
      <c r="K5" s="721" t="s">
        <v>31</v>
      </c>
    </row>
    <row r="6" spans="1:12" s="281" customFormat="1" ht="15.6">
      <c r="A6" s="746"/>
      <c r="B6" s="744" t="s">
        <v>477</v>
      </c>
      <c r="C6" s="745"/>
      <c r="D6" s="744" t="s">
        <v>508</v>
      </c>
      <c r="E6" s="744" t="s">
        <v>509</v>
      </c>
      <c r="F6" s="744" t="s">
        <v>509</v>
      </c>
      <c r="G6" s="744" t="s">
        <v>509</v>
      </c>
      <c r="H6" s="744" t="s">
        <v>509</v>
      </c>
      <c r="I6" s="744" t="s">
        <v>32</v>
      </c>
      <c r="J6" s="744" t="s">
        <v>510</v>
      </c>
      <c r="K6" s="744" t="s">
        <v>511</v>
      </c>
    </row>
    <row r="7" spans="1:12">
      <c r="A7" s="270"/>
      <c r="B7" s="270"/>
      <c r="C7" s="270"/>
      <c r="D7" s="270"/>
      <c r="E7" s="270"/>
      <c r="F7" s="270"/>
      <c r="G7" s="270"/>
      <c r="H7" s="270"/>
      <c r="I7" s="270"/>
      <c r="J7" s="270"/>
      <c r="K7" s="270"/>
    </row>
    <row r="8" spans="1:12" ht="15" customHeight="1">
      <c r="A8" s="742">
        <v>0</v>
      </c>
      <c r="B8" s="741" t="s">
        <v>486</v>
      </c>
      <c r="C8" s="743">
        <v>999</v>
      </c>
      <c r="D8" s="739">
        <v>22309013.319180001</v>
      </c>
      <c r="E8" s="739">
        <v>253912707.16000023</v>
      </c>
      <c r="F8" s="739">
        <v>5709877018.2300014</v>
      </c>
      <c r="G8" s="739">
        <v>310535402.19999981</v>
      </c>
      <c r="H8" s="739">
        <v>6020412420.4300003</v>
      </c>
      <c r="I8" s="739">
        <v>3558032.2900000005</v>
      </c>
      <c r="J8" s="739">
        <v>71340.619999999981</v>
      </c>
      <c r="K8" s="1052">
        <f>J8/I8</f>
        <v>2.0050582508906904E-2</v>
      </c>
    </row>
    <row r="9" spans="1:12" ht="15" customHeight="1">
      <c r="A9" s="742">
        <v>1000</v>
      </c>
      <c r="B9" s="741" t="s">
        <v>486</v>
      </c>
      <c r="C9" s="743">
        <v>1999</v>
      </c>
      <c r="D9" s="738">
        <v>79584612.666799977</v>
      </c>
      <c r="E9" s="738">
        <v>67707274.479999974</v>
      </c>
      <c r="F9" s="738">
        <v>178879311.05000001</v>
      </c>
      <c r="G9" s="738">
        <v>90812922.399999991</v>
      </c>
      <c r="H9" s="738">
        <v>269692233.44999999</v>
      </c>
      <c r="I9" s="738">
        <v>8424963.6099999994</v>
      </c>
      <c r="J9" s="738">
        <v>168566.23</v>
      </c>
      <c r="K9" s="1052">
        <f t="shared" ref="K9:K31" si="0">J9/I9</f>
        <v>2.0007947547680864E-2</v>
      </c>
    </row>
    <row r="10" spans="1:12" ht="15" customHeight="1">
      <c r="A10" s="742">
        <v>2000</v>
      </c>
      <c r="B10" s="741" t="s">
        <v>486</v>
      </c>
      <c r="C10" s="743">
        <v>2999</v>
      </c>
      <c r="D10" s="738">
        <v>140396922.14109999</v>
      </c>
      <c r="E10" s="738">
        <v>70355671.820000023</v>
      </c>
      <c r="F10" s="738">
        <v>155926831.10999998</v>
      </c>
      <c r="G10" s="738">
        <v>103712778.99999997</v>
      </c>
      <c r="H10" s="738">
        <v>259639610.10999995</v>
      </c>
      <c r="I10" s="738">
        <v>11236961.429999998</v>
      </c>
      <c r="J10" s="738">
        <v>224688.55</v>
      </c>
      <c r="K10" s="1052">
        <f t="shared" si="0"/>
        <v>1.9995490008547626E-2</v>
      </c>
    </row>
    <row r="11" spans="1:12" ht="15" customHeight="1">
      <c r="A11" s="742">
        <v>3000</v>
      </c>
      <c r="B11" s="741" t="s">
        <v>486</v>
      </c>
      <c r="C11" s="743">
        <v>3999</v>
      </c>
      <c r="D11" s="738">
        <v>198548111.86980009</v>
      </c>
      <c r="E11" s="738">
        <v>72520039.790000036</v>
      </c>
      <c r="F11" s="738">
        <v>143909690.12</v>
      </c>
      <c r="G11" s="738">
        <v>111561189.39999999</v>
      </c>
      <c r="H11" s="738">
        <v>255470879.51999998</v>
      </c>
      <c r="I11" s="738">
        <v>14110201.42</v>
      </c>
      <c r="J11" s="738">
        <v>288373.57999999996</v>
      </c>
      <c r="K11" s="1052">
        <f t="shared" si="0"/>
        <v>2.0437240505387481E-2</v>
      </c>
    </row>
    <row r="12" spans="1:12" ht="15" customHeight="1">
      <c r="A12" s="742">
        <v>4000</v>
      </c>
      <c r="B12" s="741" t="s">
        <v>486</v>
      </c>
      <c r="C12" s="743">
        <v>4999</v>
      </c>
      <c r="D12" s="738">
        <v>254646897.46460009</v>
      </c>
      <c r="E12" s="738">
        <v>73975265.489999965</v>
      </c>
      <c r="F12" s="738">
        <v>128267071.06</v>
      </c>
      <c r="G12" s="738">
        <v>119119763.69999999</v>
      </c>
      <c r="H12" s="738">
        <v>247386834.75999999</v>
      </c>
      <c r="I12" s="738">
        <v>16004626.049999999</v>
      </c>
      <c r="J12" s="738">
        <v>349783.77999999991</v>
      </c>
      <c r="K12" s="1052">
        <f t="shared" si="0"/>
        <v>2.185516730645512E-2</v>
      </c>
    </row>
    <row r="13" spans="1:12" ht="15" customHeight="1">
      <c r="A13" s="742">
        <v>5000</v>
      </c>
      <c r="B13" s="741" t="s">
        <v>486</v>
      </c>
      <c r="C13" s="743">
        <v>5999</v>
      </c>
      <c r="D13" s="738">
        <v>307185076.02780008</v>
      </c>
      <c r="E13" s="738">
        <v>74896595.300000012</v>
      </c>
      <c r="F13" s="738">
        <v>122595666.11</v>
      </c>
      <c r="G13" s="738">
        <v>123468270.2</v>
      </c>
      <c r="H13" s="738">
        <v>246063936.31</v>
      </c>
      <c r="I13" s="738">
        <v>17126804.880000003</v>
      </c>
      <c r="J13" s="738">
        <v>401695.6399999999</v>
      </c>
      <c r="K13" s="1052">
        <f t="shared" si="0"/>
        <v>2.3454207764641726E-2</v>
      </c>
    </row>
    <row r="14" spans="1:12" ht="15" customHeight="1">
      <c r="A14" s="742">
        <v>6000</v>
      </c>
      <c r="B14" s="741" t="s">
        <v>486</v>
      </c>
      <c r="C14" s="743">
        <v>6999</v>
      </c>
      <c r="D14" s="738">
        <v>357846962.54720014</v>
      </c>
      <c r="E14" s="738">
        <v>75899364.769999951</v>
      </c>
      <c r="F14" s="738">
        <v>91972535.079999998</v>
      </c>
      <c r="G14" s="738">
        <v>128845469.39999999</v>
      </c>
      <c r="H14" s="738">
        <v>220818004.47999999</v>
      </c>
      <c r="I14" s="738">
        <v>17320006.169999998</v>
      </c>
      <c r="J14" s="738">
        <v>449441.14999999985</v>
      </c>
      <c r="K14" s="1052">
        <f t="shared" si="0"/>
        <v>2.594924883909553E-2</v>
      </c>
    </row>
    <row r="15" spans="1:12" ht="15" customHeight="1">
      <c r="A15" s="742">
        <v>7000</v>
      </c>
      <c r="B15" s="741" t="s">
        <v>486</v>
      </c>
      <c r="C15" s="743">
        <v>7999</v>
      </c>
      <c r="D15" s="738">
        <v>403609249.24004984</v>
      </c>
      <c r="E15" s="738">
        <v>76789318.799999952</v>
      </c>
      <c r="F15" s="738">
        <v>116268301.01000001</v>
      </c>
      <c r="G15" s="738">
        <v>132219642.90000001</v>
      </c>
      <c r="H15" s="738">
        <v>248487943.91000003</v>
      </c>
      <c r="I15" s="738">
        <v>18429640.989999998</v>
      </c>
      <c r="J15" s="738">
        <v>526290.76</v>
      </c>
      <c r="K15" s="1052">
        <f t="shared" si="0"/>
        <v>2.8556755950133138E-2</v>
      </c>
    </row>
    <row r="16" spans="1:12" ht="15" customHeight="1">
      <c r="A16" s="742">
        <v>8000</v>
      </c>
      <c r="B16" s="741" t="s">
        <v>486</v>
      </c>
      <c r="C16" s="743">
        <v>8999</v>
      </c>
      <c r="D16" s="738">
        <v>460683841.39970011</v>
      </c>
      <c r="E16" s="738">
        <v>79976364.680000007</v>
      </c>
      <c r="F16" s="738">
        <v>97122970.019999996</v>
      </c>
      <c r="G16" s="738">
        <v>138898342.69999996</v>
      </c>
      <c r="H16" s="738">
        <v>236021312.71999997</v>
      </c>
      <c r="I16" s="738">
        <v>19102313.159999996</v>
      </c>
      <c r="J16" s="738">
        <v>586533.64</v>
      </c>
      <c r="K16" s="1052">
        <f t="shared" si="0"/>
        <v>3.0704848940922718E-2</v>
      </c>
    </row>
    <row r="17" spans="1:11" ht="15" customHeight="1">
      <c r="A17" s="742">
        <v>9000</v>
      </c>
      <c r="B17" s="741" t="s">
        <v>486</v>
      </c>
      <c r="C17" s="743">
        <v>9999</v>
      </c>
      <c r="D17" s="738">
        <v>549640465.48199999</v>
      </c>
      <c r="E17" s="738">
        <v>89497672.559999943</v>
      </c>
      <c r="F17" s="738">
        <v>95003877.020000011</v>
      </c>
      <c r="G17" s="738">
        <v>155754855.10000002</v>
      </c>
      <c r="H17" s="738">
        <v>250758732.12000003</v>
      </c>
      <c r="I17" s="738">
        <v>19639539.009999998</v>
      </c>
      <c r="J17" s="738">
        <v>640849.11</v>
      </c>
      <c r="K17" s="1052">
        <f t="shared" si="0"/>
        <v>3.2630557655843884E-2</v>
      </c>
    </row>
    <row r="18" spans="1:11" ht="15" customHeight="1">
      <c r="A18" s="742">
        <v>10000</v>
      </c>
      <c r="B18" s="741" t="s">
        <v>486</v>
      </c>
      <c r="C18" s="743">
        <v>10999</v>
      </c>
      <c r="D18" s="738">
        <v>573967606.97039998</v>
      </c>
      <c r="E18" s="738">
        <v>86502603.809999943</v>
      </c>
      <c r="F18" s="738">
        <v>83212401.010000005</v>
      </c>
      <c r="G18" s="738">
        <v>150364484.59999999</v>
      </c>
      <c r="H18" s="738">
        <v>233576885.61000001</v>
      </c>
      <c r="I18" s="738">
        <v>21233378.330000006</v>
      </c>
      <c r="J18" s="738">
        <v>728322.2000000003</v>
      </c>
      <c r="K18" s="1052">
        <f t="shared" si="0"/>
        <v>3.430081585137941E-2</v>
      </c>
    </row>
    <row r="19" spans="1:11" ht="15" customHeight="1">
      <c r="A19" s="742">
        <v>11000</v>
      </c>
      <c r="B19" s="741" t="s">
        <v>486</v>
      </c>
      <c r="C19" s="743">
        <v>11999</v>
      </c>
      <c r="D19" s="738">
        <v>615814193.41119993</v>
      </c>
      <c r="E19" s="738">
        <v>86971044.629999995</v>
      </c>
      <c r="F19" s="738">
        <v>109994441.02</v>
      </c>
      <c r="G19" s="738">
        <v>153449070.5</v>
      </c>
      <c r="H19" s="738">
        <v>263443511.51999998</v>
      </c>
      <c r="I19" s="738">
        <v>115406249.47000003</v>
      </c>
      <c r="J19" s="738">
        <v>3817748.5099999984</v>
      </c>
      <c r="K19" s="1052">
        <f t="shared" si="0"/>
        <v>3.3080951226930097E-2</v>
      </c>
    </row>
    <row r="20" spans="1:11" ht="15" customHeight="1">
      <c r="A20" s="742">
        <v>12000</v>
      </c>
      <c r="B20" s="741" t="s">
        <v>486</v>
      </c>
      <c r="C20" s="743">
        <v>12999</v>
      </c>
      <c r="D20" s="738">
        <v>666896933.36030006</v>
      </c>
      <c r="E20" s="738">
        <v>91288615.380000025</v>
      </c>
      <c r="F20" s="738">
        <v>108390781.41000001</v>
      </c>
      <c r="G20" s="738">
        <v>160854014.69999996</v>
      </c>
      <c r="H20" s="738">
        <v>269244796.10999995</v>
      </c>
      <c r="I20" s="738">
        <v>321395942.24999982</v>
      </c>
      <c r="J20" s="738">
        <v>10931060.889999995</v>
      </c>
      <c r="K20" s="1052">
        <f t="shared" si="0"/>
        <v>3.4011197569810019E-2</v>
      </c>
    </row>
    <row r="21" spans="1:11" ht="15" customHeight="1">
      <c r="A21" s="742">
        <v>13000</v>
      </c>
      <c r="B21" s="741" t="s">
        <v>486</v>
      </c>
      <c r="C21" s="743">
        <v>13999</v>
      </c>
      <c r="D21" s="738">
        <v>705939018.22770011</v>
      </c>
      <c r="E21" s="738">
        <v>91325789.800000057</v>
      </c>
      <c r="F21" s="738">
        <v>109023194.75</v>
      </c>
      <c r="G21" s="738">
        <v>158276147.70000002</v>
      </c>
      <c r="H21" s="738">
        <v>267299342.45000002</v>
      </c>
      <c r="I21" s="738">
        <v>347950453.51999986</v>
      </c>
      <c r="J21" s="738">
        <v>12388314.100000003</v>
      </c>
      <c r="K21" s="1052">
        <f t="shared" si="0"/>
        <v>3.5603672806501847E-2</v>
      </c>
    </row>
    <row r="22" spans="1:11" ht="15" customHeight="1">
      <c r="A22" s="742">
        <v>14000</v>
      </c>
      <c r="B22" s="741" t="s">
        <v>486</v>
      </c>
      <c r="C22" s="743">
        <v>14999</v>
      </c>
      <c r="D22" s="738">
        <v>748285307.8106997</v>
      </c>
      <c r="E22" s="738">
        <v>91601248.489999935</v>
      </c>
      <c r="F22" s="738">
        <v>101956426.81</v>
      </c>
      <c r="G22" s="738">
        <v>157749142.19999996</v>
      </c>
      <c r="H22" s="738">
        <v>259705569.00999996</v>
      </c>
      <c r="I22" s="738">
        <v>372299025.56000006</v>
      </c>
      <c r="J22" s="738">
        <v>13744741.530000001</v>
      </c>
      <c r="K22" s="1052">
        <f t="shared" si="0"/>
        <v>3.6918553599020597E-2</v>
      </c>
    </row>
    <row r="23" spans="1:11" ht="15" customHeight="1">
      <c r="A23" s="742">
        <v>15000</v>
      </c>
      <c r="B23" s="741" t="s">
        <v>486</v>
      </c>
      <c r="C23" s="743">
        <v>19999</v>
      </c>
      <c r="D23" s="738">
        <v>4382590297.0060005</v>
      </c>
      <c r="E23" s="738">
        <v>458104449.19000036</v>
      </c>
      <c r="F23" s="738">
        <v>560235033.80999994</v>
      </c>
      <c r="G23" s="738">
        <v>774723559.70000017</v>
      </c>
      <c r="H23" s="738">
        <v>1334958593.5100002</v>
      </c>
      <c r="I23" s="738">
        <v>2263361623.5100021</v>
      </c>
      <c r="J23" s="738">
        <v>89833621.509999946</v>
      </c>
      <c r="K23" s="1052">
        <f t="shared" si="0"/>
        <v>3.969035287020848E-2</v>
      </c>
    </row>
    <row r="24" spans="1:11" ht="15" customHeight="1">
      <c r="A24" s="742">
        <v>20000</v>
      </c>
      <c r="B24" s="741" t="s">
        <v>486</v>
      </c>
      <c r="C24" s="743">
        <v>24999</v>
      </c>
      <c r="D24" s="738">
        <v>5164191165.3366184</v>
      </c>
      <c r="E24" s="738">
        <v>435777793.60999984</v>
      </c>
      <c r="F24" s="738">
        <v>726750149.06999993</v>
      </c>
      <c r="G24" s="738">
        <v>706269311.09999979</v>
      </c>
      <c r="H24" s="738">
        <v>1433019460.1699996</v>
      </c>
      <c r="I24" s="738">
        <v>2865976961.5499997</v>
      </c>
      <c r="J24" s="738">
        <v>121951755.53</v>
      </c>
      <c r="K24" s="1052">
        <f t="shared" si="0"/>
        <v>4.2551547750071625E-2</v>
      </c>
    </row>
    <row r="25" spans="1:11" ht="15" customHeight="1">
      <c r="A25" s="742">
        <v>25000</v>
      </c>
      <c r="B25" s="741" t="s">
        <v>486</v>
      </c>
      <c r="C25" s="743">
        <v>29999</v>
      </c>
      <c r="D25" s="738">
        <v>5678657025.5261993</v>
      </c>
      <c r="E25" s="738">
        <v>396662339.91999972</v>
      </c>
      <c r="F25" s="738">
        <v>822318128.22000003</v>
      </c>
      <c r="G25" s="738">
        <v>594718061.20000017</v>
      </c>
      <c r="H25" s="738">
        <v>1417036189.4200001</v>
      </c>
      <c r="I25" s="738">
        <v>3637360924.0400033</v>
      </c>
      <c r="J25" s="738">
        <v>162027716.50000003</v>
      </c>
      <c r="K25" s="1052">
        <f t="shared" si="0"/>
        <v>4.4545405276976598E-2</v>
      </c>
    </row>
    <row r="26" spans="1:11" ht="15" customHeight="1">
      <c r="A26" s="742">
        <v>30000</v>
      </c>
      <c r="B26" s="741" t="s">
        <v>486</v>
      </c>
      <c r="C26" s="743">
        <v>34999</v>
      </c>
      <c r="D26" s="738">
        <v>6027627276.0122948</v>
      </c>
      <c r="E26" s="738">
        <v>359572343.27999991</v>
      </c>
      <c r="F26" s="738">
        <v>861906684.05999994</v>
      </c>
      <c r="G26" s="738">
        <v>515560244.29999959</v>
      </c>
      <c r="H26" s="738">
        <v>1377466928.3599997</v>
      </c>
      <c r="I26" s="738">
        <v>3966030905.4899998</v>
      </c>
      <c r="J26" s="738">
        <v>183911789.26999986</v>
      </c>
      <c r="K26" s="1052">
        <f t="shared" si="0"/>
        <v>4.6371748897725169E-2</v>
      </c>
    </row>
    <row r="27" spans="1:11" ht="15" customHeight="1">
      <c r="A27" s="742">
        <v>35000</v>
      </c>
      <c r="B27" s="741" t="s">
        <v>486</v>
      </c>
      <c r="C27" s="743">
        <v>39999</v>
      </c>
      <c r="D27" s="738">
        <v>6132771576.3677998</v>
      </c>
      <c r="E27" s="738">
        <v>317188119.67000002</v>
      </c>
      <c r="F27" s="738">
        <v>891902572.15999997</v>
      </c>
      <c r="G27" s="738">
        <v>429983160.69999999</v>
      </c>
      <c r="H27" s="738">
        <v>1321885732.8599999</v>
      </c>
      <c r="I27" s="738">
        <v>4179933289.2299991</v>
      </c>
      <c r="J27" s="738">
        <v>199025880.38999993</v>
      </c>
      <c r="K27" s="1052">
        <f t="shared" si="0"/>
        <v>4.7614606889255694E-2</v>
      </c>
    </row>
    <row r="28" spans="1:11" ht="15" customHeight="1">
      <c r="A28" s="742">
        <v>40000</v>
      </c>
      <c r="B28" s="741" t="s">
        <v>486</v>
      </c>
      <c r="C28" s="743">
        <v>44999</v>
      </c>
      <c r="D28" s="738">
        <v>6183523137.8915939</v>
      </c>
      <c r="E28" s="738">
        <v>283547939.29999995</v>
      </c>
      <c r="F28" s="738">
        <v>917223689.04999995</v>
      </c>
      <c r="G28" s="738">
        <v>365210903.39999998</v>
      </c>
      <c r="H28" s="738">
        <v>1282434592.4499998</v>
      </c>
      <c r="I28" s="738">
        <v>4297468908.2900009</v>
      </c>
      <c r="J28" s="738">
        <v>208739063.06</v>
      </c>
      <c r="K28" s="1052">
        <f t="shared" si="0"/>
        <v>4.8572559223717345E-2</v>
      </c>
    </row>
    <row r="29" spans="1:11" ht="15" customHeight="1">
      <c r="A29" s="742">
        <v>45000</v>
      </c>
      <c r="B29" s="741" t="s">
        <v>486</v>
      </c>
      <c r="C29" s="743">
        <v>49999</v>
      </c>
      <c r="D29" s="738">
        <v>6132456225.762598</v>
      </c>
      <c r="E29" s="738">
        <v>257491241.5700002</v>
      </c>
      <c r="F29" s="738">
        <v>1016903165.0999999</v>
      </c>
      <c r="G29" s="738">
        <v>304224694.00000018</v>
      </c>
      <c r="H29" s="738">
        <v>1321127859.1000001</v>
      </c>
      <c r="I29" s="738">
        <v>4352074585.4499979</v>
      </c>
      <c r="J29" s="738">
        <v>213978212.21999991</v>
      </c>
      <c r="K29" s="1052">
        <f t="shared" si="0"/>
        <v>4.9166945101395798E-2</v>
      </c>
    </row>
    <row r="30" spans="1:11" ht="15" customHeight="1">
      <c r="A30" s="742">
        <v>50000</v>
      </c>
      <c r="B30" s="741" t="s">
        <v>486</v>
      </c>
      <c r="C30" s="743">
        <v>74999</v>
      </c>
      <c r="D30" s="738">
        <v>29455801239.746174</v>
      </c>
      <c r="E30" s="738">
        <v>1028905883.5099995</v>
      </c>
      <c r="F30" s="738">
        <v>5368609285.8000031</v>
      </c>
      <c r="G30" s="738">
        <v>971722621.60000038</v>
      </c>
      <c r="H30" s="738">
        <v>6340331907.4000034</v>
      </c>
      <c r="I30" s="738">
        <v>22040848771.68</v>
      </c>
      <c r="J30" s="738">
        <v>1111919282.9099994</v>
      </c>
      <c r="K30" s="1052">
        <f t="shared" si="0"/>
        <v>5.0448115425513466E-2</v>
      </c>
    </row>
    <row r="31" spans="1:11">
      <c r="A31" s="742">
        <v>75000</v>
      </c>
      <c r="B31" s="741" t="s">
        <v>486</v>
      </c>
      <c r="C31" s="743">
        <v>99999</v>
      </c>
      <c r="D31" s="738">
        <v>27033285012.335377</v>
      </c>
      <c r="E31" s="738">
        <v>749240719.25</v>
      </c>
      <c r="F31" s="738">
        <v>4270838143.7400002</v>
      </c>
      <c r="G31" s="738">
        <v>432963698.30000001</v>
      </c>
      <c r="H31" s="738">
        <v>4703801842.04</v>
      </c>
      <c r="I31" s="738">
        <v>21353801389.039997</v>
      </c>
      <c r="J31" s="738">
        <v>1110777936.1099997</v>
      </c>
      <c r="K31" s="1052">
        <f t="shared" si="0"/>
        <v>5.2017807783869108E-2</v>
      </c>
    </row>
    <row r="32" spans="1:11">
      <c r="A32" s="742">
        <v>100000</v>
      </c>
      <c r="B32" s="741" t="s">
        <v>484</v>
      </c>
      <c r="C32" s="740" t="s">
        <v>517</v>
      </c>
      <c r="D32" s="738">
        <v>134991109556.49687</v>
      </c>
      <c r="E32" s="738">
        <v>1754145548.5399997</v>
      </c>
      <c r="F32" s="738">
        <v>19579231537.400002</v>
      </c>
      <c r="G32" s="738">
        <v>259919859.90000001</v>
      </c>
      <c r="H32" s="738">
        <v>19839151397.300003</v>
      </c>
      <c r="I32" s="738">
        <v>115951363480.93997</v>
      </c>
      <c r="J32" s="738">
        <v>6399304036.9900007</v>
      </c>
      <c r="K32" s="1052">
        <f>J32/I32</f>
        <v>5.5189554006770392E-2</v>
      </c>
    </row>
    <row r="33" spans="1:47">
      <c r="A33" s="737"/>
      <c r="B33" s="718"/>
      <c r="C33" s="719"/>
      <c r="D33" s="736"/>
      <c r="E33" s="736"/>
      <c r="F33" s="736"/>
      <c r="G33" s="736"/>
      <c r="H33" s="736"/>
      <c r="I33" s="736"/>
      <c r="J33" s="736"/>
      <c r="K33" s="735"/>
    </row>
    <row r="34" spans="1:47">
      <c r="A34" s="272" t="s">
        <v>25</v>
      </c>
      <c r="B34" s="272"/>
      <c r="C34" s="272"/>
      <c r="D34" s="277">
        <f>SUM(D8:D32)</f>
        <v>237267366724.42004</v>
      </c>
      <c r="E34" s="277">
        <f>SUM(E8:E32)</f>
        <v>7423855954.7999992</v>
      </c>
      <c r="F34" s="277">
        <f t="shared" ref="F34:I34" si="1">SUM(F8:F32)</f>
        <v>42368318904.220001</v>
      </c>
      <c r="G34" s="277">
        <f t="shared" si="1"/>
        <v>7550917610.8999996</v>
      </c>
      <c r="H34" s="277">
        <f t="shared" si="1"/>
        <v>49919236515.12001</v>
      </c>
      <c r="I34" s="277">
        <f t="shared" si="1"/>
        <v>186231458977.35999</v>
      </c>
      <c r="J34" s="277">
        <f>SUM(J8:J32)</f>
        <v>9846787044.7799988</v>
      </c>
      <c r="K34" s="282">
        <f>J34/I34</f>
        <v>5.2873918825804105E-2</v>
      </c>
    </row>
    <row r="36" spans="1:47" s="717" customFormat="1" ht="15.6">
      <c r="A36" s="734" t="s">
        <v>2</v>
      </c>
      <c r="B36" s="733"/>
      <c r="C36" s="732"/>
      <c r="D36" s="730"/>
      <c r="E36" s="730"/>
      <c r="F36" s="730"/>
      <c r="G36" s="730"/>
      <c r="H36" s="731"/>
      <c r="I36" s="730"/>
      <c r="J36" s="766"/>
      <c r="K36" s="762"/>
      <c r="N36" s="729"/>
      <c r="O36" s="723"/>
      <c r="P36" s="728"/>
      <c r="Q36" s="726"/>
      <c r="R36" s="726"/>
      <c r="S36" s="726"/>
      <c r="T36" s="726"/>
      <c r="U36" s="727"/>
      <c r="V36" s="726"/>
      <c r="W36" s="726"/>
      <c r="X36" s="726"/>
      <c r="AA36" s="729"/>
      <c r="AB36" s="723"/>
      <c r="AC36" s="728"/>
      <c r="AD36" s="726"/>
      <c r="AE36" s="726"/>
      <c r="AF36" s="726"/>
      <c r="AG36" s="726"/>
      <c r="AH36" s="727"/>
      <c r="AI36" s="726"/>
      <c r="AJ36" s="726"/>
      <c r="AK36" s="726"/>
      <c r="AN36" s="725"/>
      <c r="AO36" s="725"/>
      <c r="AP36" s="725"/>
      <c r="AQ36" s="725"/>
      <c r="AR36" s="725"/>
      <c r="AS36" s="725"/>
      <c r="AT36" s="725"/>
      <c r="AU36" s="725"/>
    </row>
    <row r="37" spans="1:47" s="717" customFormat="1">
      <c r="A37" s="722" t="s">
        <v>512</v>
      </c>
      <c r="B37" s="724"/>
      <c r="C37" s="719"/>
      <c r="D37" s="724"/>
      <c r="E37" s="724"/>
      <c r="F37" s="724"/>
      <c r="G37" s="724"/>
      <c r="H37" s="718"/>
      <c r="I37" s="724"/>
      <c r="J37" s="724"/>
      <c r="K37" s="724"/>
      <c r="N37" s="722"/>
      <c r="O37" s="724"/>
      <c r="P37" s="719"/>
      <c r="Q37" s="724"/>
      <c r="R37" s="724"/>
      <c r="S37" s="724"/>
      <c r="T37" s="724"/>
      <c r="U37" s="718"/>
      <c r="V37" s="724"/>
      <c r="W37" s="724"/>
      <c r="X37" s="724"/>
    </row>
    <row r="38" spans="1:47" s="717" customFormat="1">
      <c r="A38" s="717" t="s">
        <v>513</v>
      </c>
      <c r="C38" s="719"/>
      <c r="H38" s="718"/>
      <c r="N38" s="722"/>
      <c r="P38" s="719"/>
      <c r="U38" s="718"/>
    </row>
    <row r="39" spans="1:47" s="717" customFormat="1">
      <c r="A39" s="938" t="s">
        <v>514</v>
      </c>
      <c r="C39" s="719"/>
      <c r="H39" s="718"/>
      <c r="N39" s="722"/>
      <c r="P39" s="719"/>
      <c r="U39" s="718"/>
    </row>
    <row r="40" spans="1:47" s="717" customFormat="1" ht="12.75" customHeight="1">
      <c r="A40" s="722" t="s">
        <v>515</v>
      </c>
      <c r="F40" s="723"/>
      <c r="N40" s="720"/>
      <c r="P40" s="719"/>
      <c r="U40" s="718"/>
    </row>
    <row r="41" spans="1:47" s="717" customFormat="1" ht="12.75" customHeight="1">
      <c r="A41" s="722" t="s">
        <v>516</v>
      </c>
      <c r="B41" s="721"/>
      <c r="C41" s="721"/>
      <c r="D41" s="721"/>
      <c r="E41" s="721"/>
      <c r="F41" s="721"/>
      <c r="G41" s="721"/>
      <c r="H41" s="721"/>
      <c r="I41" s="721"/>
      <c r="J41" s="721"/>
      <c r="K41" s="721"/>
      <c r="N41" s="720"/>
      <c r="P41" s="719"/>
      <c r="U41" s="718"/>
    </row>
    <row r="49" spans="6:6">
      <c r="F49" s="283"/>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sheetPr codeName="Sheet6"/>
  <dimension ref="A1:AD35"/>
  <sheetViews>
    <sheetView zoomScaleNormal="100" workbookViewId="0"/>
  </sheetViews>
  <sheetFormatPr defaultColWidth="9.109375" defaultRowHeight="13.2"/>
  <cols>
    <col min="1" max="1" width="12.44140625" style="269" customWidth="1"/>
    <col min="2" max="2" width="4.6640625" style="269" customWidth="1"/>
    <col min="3" max="3" width="12.44140625" style="269" customWidth="1"/>
    <col min="4" max="7" width="16.33203125" style="269" customWidth="1"/>
    <col min="8" max="16384" width="9.109375" style="269"/>
  </cols>
  <sheetData>
    <row r="1" spans="1:7" ht="18" customHeight="1">
      <c r="A1" s="758" t="s">
        <v>488</v>
      </c>
      <c r="B1" s="758"/>
      <c r="C1" s="758"/>
    </row>
    <row r="2" spans="1:7" ht="15.75" customHeight="1">
      <c r="A2" s="723" t="s">
        <v>489</v>
      </c>
      <c r="B2" s="723"/>
      <c r="C2" s="723"/>
    </row>
    <row r="3" spans="1:7" ht="15.75" customHeight="1">
      <c r="A3" s="729" t="str">
        <f>'Table 1.2'!A3</f>
        <v>Taxable Year 2011</v>
      </c>
      <c r="B3" s="723"/>
      <c r="C3" s="723"/>
    </row>
    <row r="4" spans="1:7" ht="16.5" customHeight="1" thickBot="1"/>
    <row r="5" spans="1:7" ht="15.75" customHeight="1">
      <c r="A5" s="748"/>
      <c r="B5" s="748"/>
      <c r="C5" s="757"/>
      <c r="D5" s="275"/>
      <c r="E5" s="757" t="s">
        <v>490</v>
      </c>
      <c r="F5" s="757" t="s">
        <v>490</v>
      </c>
      <c r="G5" s="757" t="s">
        <v>25</v>
      </c>
    </row>
    <row r="6" spans="1:7" ht="15.75" customHeight="1">
      <c r="A6" s="747"/>
      <c r="B6" s="747" t="s">
        <v>474</v>
      </c>
      <c r="C6" s="755"/>
      <c r="D6" s="755" t="s">
        <v>491</v>
      </c>
      <c r="E6" s="755" t="s">
        <v>492</v>
      </c>
      <c r="F6" s="755" t="s">
        <v>493</v>
      </c>
      <c r="G6" s="755" t="s">
        <v>494</v>
      </c>
    </row>
    <row r="7" spans="1:7" ht="15.75" customHeight="1">
      <c r="A7" s="744"/>
      <c r="B7" s="744" t="s">
        <v>477</v>
      </c>
      <c r="C7" s="756"/>
      <c r="D7" s="756" t="s">
        <v>495</v>
      </c>
      <c r="E7" s="756" t="s">
        <v>495</v>
      </c>
      <c r="F7" s="756" t="s">
        <v>495</v>
      </c>
      <c r="G7" s="756" t="s">
        <v>495</v>
      </c>
    </row>
    <row r="8" spans="1:7" ht="15" customHeight="1">
      <c r="A8" s="270"/>
      <c r="B8" s="270"/>
      <c r="C8" s="270"/>
      <c r="D8" s="755"/>
      <c r="E8" s="270"/>
      <c r="F8" s="270"/>
      <c r="G8" s="270"/>
    </row>
    <row r="9" spans="1:7" ht="12.75" customHeight="1">
      <c r="A9" s="753">
        <v>999</v>
      </c>
      <c r="B9" s="718" t="s">
        <v>484</v>
      </c>
      <c r="C9" s="719" t="s">
        <v>485</v>
      </c>
      <c r="D9" s="738">
        <v>94049</v>
      </c>
      <c r="E9" s="738">
        <v>45427</v>
      </c>
      <c r="F9" s="738">
        <v>10644</v>
      </c>
      <c r="G9" s="738">
        <v>150120</v>
      </c>
    </row>
    <row r="10" spans="1:7" ht="12.75" customHeight="1">
      <c r="A10" s="752">
        <v>1000</v>
      </c>
      <c r="B10" s="718" t="s">
        <v>486</v>
      </c>
      <c r="C10" s="753">
        <v>1999</v>
      </c>
      <c r="D10" s="738">
        <v>44418</v>
      </c>
      <c r="E10" s="738">
        <v>6140</v>
      </c>
      <c r="F10" s="738">
        <v>2237</v>
      </c>
      <c r="G10" s="738">
        <v>52795</v>
      </c>
    </row>
    <row r="11" spans="1:7" ht="12.75" customHeight="1">
      <c r="A11" s="752">
        <v>2000</v>
      </c>
      <c r="B11" s="718" t="s">
        <v>486</v>
      </c>
      <c r="C11" s="753">
        <v>2999</v>
      </c>
      <c r="D11" s="738">
        <v>48390</v>
      </c>
      <c r="E11" s="738">
        <v>5714</v>
      </c>
      <c r="F11" s="738">
        <v>2053</v>
      </c>
      <c r="G11" s="738">
        <v>56157</v>
      </c>
    </row>
    <row r="12" spans="1:7" ht="12.75" customHeight="1">
      <c r="A12" s="752">
        <v>3000</v>
      </c>
      <c r="B12" s="718" t="s">
        <v>486</v>
      </c>
      <c r="C12" s="753">
        <v>3999</v>
      </c>
      <c r="D12" s="738">
        <v>49012</v>
      </c>
      <c r="E12" s="738">
        <v>5695</v>
      </c>
      <c r="F12" s="738">
        <v>2052</v>
      </c>
      <c r="G12" s="738">
        <v>56759</v>
      </c>
    </row>
    <row r="13" spans="1:7" ht="12.75" customHeight="1">
      <c r="A13" s="752">
        <v>4000</v>
      </c>
      <c r="B13" s="718" t="s">
        <v>486</v>
      </c>
      <c r="C13" s="753">
        <v>4999</v>
      </c>
      <c r="D13" s="738">
        <v>48885</v>
      </c>
      <c r="E13" s="738">
        <v>5712</v>
      </c>
      <c r="F13" s="738">
        <v>2035</v>
      </c>
      <c r="G13" s="738">
        <v>56632</v>
      </c>
    </row>
    <row r="14" spans="1:7" ht="12.75" customHeight="1">
      <c r="A14" s="752">
        <v>5000</v>
      </c>
      <c r="B14" s="718" t="s">
        <v>486</v>
      </c>
      <c r="C14" s="753">
        <v>5999</v>
      </c>
      <c r="D14" s="738">
        <v>48122</v>
      </c>
      <c r="E14" s="738">
        <v>5828</v>
      </c>
      <c r="F14" s="738">
        <v>1938</v>
      </c>
      <c r="G14" s="738">
        <v>55888</v>
      </c>
    </row>
    <row r="15" spans="1:7" ht="12.75" customHeight="1">
      <c r="A15" s="752">
        <v>6000</v>
      </c>
      <c r="B15" s="718" t="s">
        <v>486</v>
      </c>
      <c r="C15" s="753">
        <v>6999</v>
      </c>
      <c r="D15" s="738">
        <v>47254</v>
      </c>
      <c r="E15" s="738">
        <v>5923</v>
      </c>
      <c r="F15" s="738">
        <v>1916</v>
      </c>
      <c r="G15" s="738">
        <v>55093</v>
      </c>
    </row>
    <row r="16" spans="1:7" ht="12.75" customHeight="1">
      <c r="A16" s="752">
        <v>7000</v>
      </c>
      <c r="B16" s="718" t="s">
        <v>486</v>
      </c>
      <c r="C16" s="753">
        <v>7999</v>
      </c>
      <c r="D16" s="738">
        <v>45982</v>
      </c>
      <c r="E16" s="738">
        <v>6054</v>
      </c>
      <c r="F16" s="738">
        <v>1809</v>
      </c>
      <c r="G16" s="738">
        <v>53845</v>
      </c>
    </row>
    <row r="17" spans="1:30" ht="12.75" customHeight="1">
      <c r="A17" s="752">
        <v>8000</v>
      </c>
      <c r="B17" s="718" t="s">
        <v>486</v>
      </c>
      <c r="C17" s="753">
        <v>8999</v>
      </c>
      <c r="D17" s="738">
        <v>45889</v>
      </c>
      <c r="E17" s="738">
        <v>6380</v>
      </c>
      <c r="F17" s="738">
        <v>1921</v>
      </c>
      <c r="G17" s="738">
        <v>54190</v>
      </c>
    </row>
    <row r="18" spans="1:30" ht="12.75" customHeight="1">
      <c r="A18" s="752">
        <v>9000</v>
      </c>
      <c r="B18" s="718" t="s">
        <v>486</v>
      </c>
      <c r="C18" s="753">
        <v>9999</v>
      </c>
      <c r="D18" s="738">
        <v>48886</v>
      </c>
      <c r="E18" s="738">
        <v>7049</v>
      </c>
      <c r="F18" s="738">
        <v>1947</v>
      </c>
      <c r="G18" s="738">
        <v>57882</v>
      </c>
    </row>
    <row r="19" spans="1:30" ht="12.75" customHeight="1">
      <c r="A19" s="752">
        <v>10000</v>
      </c>
      <c r="B19" s="718" t="s">
        <v>486</v>
      </c>
      <c r="C19" s="753">
        <v>10999</v>
      </c>
      <c r="D19" s="738">
        <v>45490</v>
      </c>
      <c r="E19" s="738">
        <v>7251</v>
      </c>
      <c r="F19" s="738">
        <v>1951</v>
      </c>
      <c r="G19" s="738">
        <v>54692</v>
      </c>
      <c r="AB19" s="1053" t="s">
        <v>491</v>
      </c>
      <c r="AC19" s="1054">
        <f>D35</f>
        <v>2060318</v>
      </c>
      <c r="AD19" s="1055">
        <f>AC19/AC$22</f>
        <v>0.56344043794989651</v>
      </c>
    </row>
    <row r="20" spans="1:30" ht="12.75" customHeight="1">
      <c r="A20" s="752">
        <v>11000</v>
      </c>
      <c r="B20" s="718" t="s">
        <v>486</v>
      </c>
      <c r="C20" s="753">
        <v>11999</v>
      </c>
      <c r="D20" s="738">
        <v>44462</v>
      </c>
      <c r="E20" s="738">
        <v>7222</v>
      </c>
      <c r="F20" s="738">
        <v>1890</v>
      </c>
      <c r="G20" s="738">
        <v>53574</v>
      </c>
      <c r="AB20" s="1053" t="s">
        <v>496</v>
      </c>
      <c r="AC20" s="1054">
        <f>F35</f>
        <v>139211</v>
      </c>
      <c r="AD20" s="1055">
        <f>AC20/AC$22</f>
        <v>3.8070388555282754E-2</v>
      </c>
    </row>
    <row r="21" spans="1:30" ht="12.75" customHeight="1">
      <c r="A21" s="752">
        <v>12000</v>
      </c>
      <c r="B21" s="718" t="s">
        <v>486</v>
      </c>
      <c r="C21" s="753">
        <v>12999</v>
      </c>
      <c r="D21" s="738">
        <v>43569</v>
      </c>
      <c r="E21" s="738">
        <v>7917</v>
      </c>
      <c r="F21" s="738">
        <v>1862</v>
      </c>
      <c r="G21" s="738">
        <v>53348</v>
      </c>
      <c r="AB21" s="1053" t="s">
        <v>492</v>
      </c>
      <c r="AC21" s="1054">
        <f>E35</f>
        <v>1457145</v>
      </c>
      <c r="AD21" s="1055">
        <f>AC21/AC$22</f>
        <v>0.39848917349482071</v>
      </c>
    </row>
    <row r="22" spans="1:30" ht="12.75" customHeight="1">
      <c r="A22" s="752">
        <v>13000</v>
      </c>
      <c r="B22" s="718" t="s">
        <v>486</v>
      </c>
      <c r="C22" s="753">
        <v>13999</v>
      </c>
      <c r="D22" s="738">
        <v>42395</v>
      </c>
      <c r="E22" s="738">
        <v>8082</v>
      </c>
      <c r="F22" s="738">
        <v>1835</v>
      </c>
      <c r="G22" s="738">
        <v>52312</v>
      </c>
      <c r="AB22" s="1056"/>
      <c r="AC22" s="1057">
        <f>SUM(AC19:AC21)</f>
        <v>3656674</v>
      </c>
      <c r="AD22" s="1058">
        <f>SUM(AD19:AD21)</f>
        <v>1</v>
      </c>
    </row>
    <row r="23" spans="1:30" ht="12.75" customHeight="1">
      <c r="A23" s="752">
        <v>14000</v>
      </c>
      <c r="B23" s="718" t="s">
        <v>486</v>
      </c>
      <c r="C23" s="753">
        <v>14999</v>
      </c>
      <c r="D23" s="738">
        <v>41172</v>
      </c>
      <c r="E23" s="738">
        <v>8627</v>
      </c>
      <c r="F23" s="738">
        <v>1811</v>
      </c>
      <c r="G23" s="738">
        <v>51610</v>
      </c>
      <c r="AB23" s="1056"/>
      <c r="AC23" s="1056"/>
      <c r="AD23" s="1056"/>
    </row>
    <row r="24" spans="1:30" ht="12.75" customHeight="1">
      <c r="A24" s="752">
        <v>15000</v>
      </c>
      <c r="B24" s="718" t="s">
        <v>486</v>
      </c>
      <c r="C24" s="753">
        <v>19999</v>
      </c>
      <c r="D24" s="738">
        <v>195064</v>
      </c>
      <c r="E24" s="738">
        <v>46629</v>
      </c>
      <c r="F24" s="738">
        <v>9388</v>
      </c>
      <c r="G24" s="738">
        <v>251081</v>
      </c>
    </row>
    <row r="25" spans="1:30" ht="12.75" customHeight="1">
      <c r="A25" s="752">
        <v>20000</v>
      </c>
      <c r="B25" s="718" t="s">
        <v>486</v>
      </c>
      <c r="C25" s="753">
        <v>24999</v>
      </c>
      <c r="D25" s="738">
        <v>169431</v>
      </c>
      <c r="E25" s="738">
        <v>51277</v>
      </c>
      <c r="F25" s="738">
        <v>9322</v>
      </c>
      <c r="G25" s="738">
        <v>230030</v>
      </c>
    </row>
    <row r="26" spans="1:30" ht="12.75" customHeight="1">
      <c r="A26" s="752">
        <v>25000</v>
      </c>
      <c r="B26" s="718" t="s">
        <v>486</v>
      </c>
      <c r="C26" s="753">
        <v>29999</v>
      </c>
      <c r="D26" s="738">
        <v>146405</v>
      </c>
      <c r="E26" s="738">
        <v>51340</v>
      </c>
      <c r="F26" s="738">
        <v>9071</v>
      </c>
      <c r="G26" s="738">
        <v>206816</v>
      </c>
    </row>
    <row r="27" spans="1:30" ht="12.75" customHeight="1">
      <c r="A27" s="752">
        <v>30000</v>
      </c>
      <c r="B27" s="718" t="s">
        <v>486</v>
      </c>
      <c r="C27" s="753">
        <v>34999</v>
      </c>
      <c r="D27" s="738">
        <v>125154</v>
      </c>
      <c r="E27" s="738">
        <v>52118</v>
      </c>
      <c r="F27" s="738">
        <v>8507</v>
      </c>
      <c r="G27" s="738">
        <v>185779</v>
      </c>
    </row>
    <row r="28" spans="1:30" ht="12.75" customHeight="1">
      <c r="A28" s="752">
        <v>35000</v>
      </c>
      <c r="B28" s="718" t="s">
        <v>486</v>
      </c>
      <c r="C28" s="753">
        <v>39999</v>
      </c>
      <c r="D28" s="738">
        <v>104455</v>
      </c>
      <c r="E28" s="738">
        <v>51211</v>
      </c>
      <c r="F28" s="738">
        <v>8055</v>
      </c>
      <c r="G28" s="738">
        <v>163721</v>
      </c>
    </row>
    <row r="29" spans="1:30" ht="12.75" customHeight="1">
      <c r="A29" s="752">
        <v>40000</v>
      </c>
      <c r="B29" s="718" t="s">
        <v>486</v>
      </c>
      <c r="C29" s="753">
        <v>44999</v>
      </c>
      <c r="D29" s="738">
        <v>88195</v>
      </c>
      <c r="E29" s="738">
        <v>50213</v>
      </c>
      <c r="F29" s="738">
        <v>7269</v>
      </c>
      <c r="G29" s="738">
        <v>145677</v>
      </c>
    </row>
    <row r="30" spans="1:30" ht="12.75" customHeight="1">
      <c r="A30" s="752">
        <v>45000</v>
      </c>
      <c r="B30" s="718" t="s">
        <v>486</v>
      </c>
      <c r="C30" s="753">
        <v>49999</v>
      </c>
      <c r="D30" s="738">
        <v>73295</v>
      </c>
      <c r="E30" s="738">
        <v>49557</v>
      </c>
      <c r="F30" s="738">
        <v>6377</v>
      </c>
      <c r="G30" s="738">
        <v>129229</v>
      </c>
    </row>
    <row r="31" spans="1:30" ht="12.75" customHeight="1">
      <c r="A31" s="752">
        <v>50000</v>
      </c>
      <c r="B31" s="718" t="s">
        <v>486</v>
      </c>
      <c r="C31" s="753">
        <v>74999</v>
      </c>
      <c r="D31" s="738">
        <v>220264</v>
      </c>
      <c r="E31" s="738">
        <v>238891</v>
      </c>
      <c r="F31" s="738">
        <v>19673</v>
      </c>
      <c r="G31" s="738">
        <v>478828</v>
      </c>
    </row>
    <row r="32" spans="1:30" ht="12.75" customHeight="1">
      <c r="A32" s="752">
        <v>75000</v>
      </c>
      <c r="B32" s="718" t="s">
        <v>486</v>
      </c>
      <c r="C32" s="753">
        <v>99999</v>
      </c>
      <c r="D32" s="738">
        <v>96917</v>
      </c>
      <c r="E32" s="738">
        <v>205195</v>
      </c>
      <c r="F32" s="738">
        <v>9891</v>
      </c>
      <c r="G32" s="738">
        <v>312003</v>
      </c>
    </row>
    <row r="33" spans="1:7" ht="12.75" customHeight="1">
      <c r="A33" s="752">
        <v>100000</v>
      </c>
      <c r="B33" s="718" t="s">
        <v>484</v>
      </c>
      <c r="C33" s="751" t="s">
        <v>517</v>
      </c>
      <c r="D33" s="738">
        <v>103163</v>
      </c>
      <c r="E33" s="738">
        <v>521693</v>
      </c>
      <c r="F33" s="738">
        <v>13757</v>
      </c>
      <c r="G33" s="738">
        <v>638613</v>
      </c>
    </row>
    <row r="34" spans="1:7" ht="12.75" customHeight="1">
      <c r="A34" s="752"/>
      <c r="B34" s="718"/>
      <c r="C34" s="751"/>
      <c r="D34" s="738"/>
      <c r="E34" s="738"/>
      <c r="F34" s="738"/>
      <c r="G34" s="738"/>
    </row>
    <row r="35" spans="1:7" ht="15" customHeight="1">
      <c r="A35" s="272" t="s">
        <v>487</v>
      </c>
      <c r="B35" s="272"/>
      <c r="C35" s="272"/>
      <c r="D35" s="273">
        <f>SUM(D9:D33)</f>
        <v>2060318</v>
      </c>
      <c r="E35" s="273">
        <f>SUM(E9:E33)</f>
        <v>1457145</v>
      </c>
      <c r="F35" s="273">
        <f>SUM(F9:F33)</f>
        <v>139211</v>
      </c>
      <c r="G35" s="273">
        <f>SUM(G9:G33)</f>
        <v>3656674</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sheetPr codeName="Sheet7"/>
  <dimension ref="A1:J43"/>
  <sheetViews>
    <sheetView zoomScaleNormal="100" workbookViewId="0"/>
  </sheetViews>
  <sheetFormatPr defaultColWidth="9.109375" defaultRowHeight="13.2"/>
  <cols>
    <col min="1" max="1" width="12.44140625" style="269" customWidth="1"/>
    <col min="2" max="2" width="4.6640625" style="269" customWidth="1"/>
    <col min="3" max="3" width="12.44140625" style="269" customWidth="1"/>
    <col min="4" max="4" width="16.44140625" style="269" customWidth="1"/>
    <col min="5" max="8" width="15" style="269" customWidth="1"/>
    <col min="9" max="9" width="17.6640625" style="269" customWidth="1"/>
    <col min="10" max="16384" width="9.109375" style="269"/>
  </cols>
  <sheetData>
    <row r="1" spans="1:10" s="717" customFormat="1" ht="17.399999999999999">
      <c r="A1" s="758" t="s">
        <v>472</v>
      </c>
      <c r="B1" s="718"/>
      <c r="C1" s="751"/>
      <c r="D1" s="751"/>
    </row>
    <row r="2" spans="1:10" s="717" customFormat="1" ht="15.6">
      <c r="A2" s="723" t="s">
        <v>473</v>
      </c>
      <c r="B2" s="718"/>
      <c r="C2" s="751"/>
      <c r="D2" s="751"/>
    </row>
    <row r="3" spans="1:10" s="717" customFormat="1" ht="15.6">
      <c r="A3" s="729" t="str">
        <f>'Table 1.2'!A3</f>
        <v>Taxable Year 2011</v>
      </c>
      <c r="B3" s="718"/>
      <c r="C3" s="751"/>
      <c r="D3" s="751"/>
    </row>
    <row r="4" spans="1:10" ht="13.5" customHeight="1" thickBot="1"/>
    <row r="5" spans="1:10" s="761" customFormat="1" ht="15.6">
      <c r="A5" s="748"/>
      <c r="B5" s="748" t="s">
        <v>474</v>
      </c>
      <c r="C5" s="757"/>
      <c r="D5" s="757" t="s">
        <v>475</v>
      </c>
      <c r="E5" s="749"/>
      <c r="F5" s="749"/>
      <c r="G5" s="749"/>
      <c r="H5" s="749"/>
      <c r="I5" s="757" t="s">
        <v>475</v>
      </c>
      <c r="J5" s="761" t="s">
        <v>476</v>
      </c>
    </row>
    <row r="6" spans="1:10" s="761" customFormat="1" ht="15.6">
      <c r="A6" s="744"/>
      <c r="B6" s="744" t="s">
        <v>477</v>
      </c>
      <c r="C6" s="756"/>
      <c r="D6" s="756" t="s">
        <v>478</v>
      </c>
      <c r="E6" s="756" t="s">
        <v>479</v>
      </c>
      <c r="F6" s="756" t="s">
        <v>480</v>
      </c>
      <c r="G6" s="756" t="s">
        <v>481</v>
      </c>
      <c r="H6" s="756" t="s">
        <v>482</v>
      </c>
      <c r="I6" s="756" t="s">
        <v>483</v>
      </c>
    </row>
    <row r="7" spans="1:10" ht="15.75" customHeight="1">
      <c r="A7" s="270"/>
      <c r="B7" s="270"/>
      <c r="C7" s="271"/>
      <c r="D7" s="271"/>
      <c r="E7" s="271"/>
      <c r="F7" s="271"/>
      <c r="G7" s="270"/>
    </row>
    <row r="8" spans="1:10" ht="15" customHeight="1">
      <c r="A8" s="752">
        <v>999</v>
      </c>
      <c r="B8" s="718" t="s">
        <v>484</v>
      </c>
      <c r="C8" s="719" t="s">
        <v>485</v>
      </c>
      <c r="D8" s="738">
        <f>'Table 1.3'!G9</f>
        <v>150120</v>
      </c>
      <c r="E8" s="738">
        <v>194020</v>
      </c>
      <c r="F8" s="738">
        <v>62613</v>
      </c>
      <c r="G8" s="738">
        <v>32087</v>
      </c>
      <c r="H8" s="738">
        <v>515</v>
      </c>
      <c r="I8" s="738">
        <v>289235</v>
      </c>
    </row>
    <row r="9" spans="1:10" ht="15" customHeight="1">
      <c r="A9" s="752">
        <v>1000</v>
      </c>
      <c r="B9" s="718" t="s">
        <v>486</v>
      </c>
      <c r="C9" s="753">
        <v>1999</v>
      </c>
      <c r="D9" s="738">
        <f>'Table 1.3'!G10</f>
        <v>52795</v>
      </c>
      <c r="E9" s="738">
        <v>58745</v>
      </c>
      <c r="F9" s="738">
        <v>13080</v>
      </c>
      <c r="G9" s="738">
        <v>5519</v>
      </c>
      <c r="H9" s="738">
        <v>163</v>
      </c>
      <c r="I9" s="738">
        <v>77507</v>
      </c>
    </row>
    <row r="10" spans="1:10" ht="15" customHeight="1">
      <c r="A10" s="752">
        <v>2000</v>
      </c>
      <c r="B10" s="718" t="s">
        <v>486</v>
      </c>
      <c r="C10" s="753">
        <v>2999</v>
      </c>
      <c r="D10" s="738">
        <f>'Table 1.3'!G11</f>
        <v>56157</v>
      </c>
      <c r="E10" s="738">
        <v>61760</v>
      </c>
      <c r="F10" s="738">
        <v>13342</v>
      </c>
      <c r="G10" s="738">
        <v>5361</v>
      </c>
      <c r="H10" s="738">
        <v>160</v>
      </c>
      <c r="I10" s="738">
        <v>80623</v>
      </c>
    </row>
    <row r="11" spans="1:10" ht="15" customHeight="1">
      <c r="A11" s="752">
        <v>3000</v>
      </c>
      <c r="B11" s="718" t="s">
        <v>486</v>
      </c>
      <c r="C11" s="753">
        <v>3999</v>
      </c>
      <c r="D11" s="738">
        <f>'Table 1.3'!G12</f>
        <v>56759</v>
      </c>
      <c r="E11" s="738">
        <v>62394</v>
      </c>
      <c r="F11" s="738">
        <v>14730</v>
      </c>
      <c r="G11" s="738">
        <v>5785</v>
      </c>
      <c r="H11" s="738">
        <v>165</v>
      </c>
      <c r="I11" s="738">
        <v>83074</v>
      </c>
    </row>
    <row r="12" spans="1:10" ht="15" customHeight="1">
      <c r="A12" s="752">
        <v>4000</v>
      </c>
      <c r="B12" s="718" t="s">
        <v>486</v>
      </c>
      <c r="C12" s="753">
        <v>4999</v>
      </c>
      <c r="D12" s="738">
        <f>'Table 1.3'!G13</f>
        <v>56632</v>
      </c>
      <c r="E12" s="738">
        <v>62293</v>
      </c>
      <c r="F12" s="738">
        <v>15994</v>
      </c>
      <c r="G12" s="738">
        <v>6126</v>
      </c>
      <c r="H12" s="738">
        <v>136</v>
      </c>
      <c r="I12" s="738">
        <v>84549</v>
      </c>
    </row>
    <row r="13" spans="1:10" ht="15" customHeight="1">
      <c r="A13" s="752">
        <v>5000</v>
      </c>
      <c r="B13" s="718" t="s">
        <v>486</v>
      </c>
      <c r="C13" s="753">
        <v>5999</v>
      </c>
      <c r="D13" s="738">
        <f>'Table 1.3'!G14</f>
        <v>55888</v>
      </c>
      <c r="E13" s="738">
        <v>61699</v>
      </c>
      <c r="F13" s="738">
        <v>17202</v>
      </c>
      <c r="G13" s="738">
        <v>6488</v>
      </c>
      <c r="H13" s="738">
        <v>130</v>
      </c>
      <c r="I13" s="738">
        <v>85519</v>
      </c>
    </row>
    <row r="14" spans="1:10" ht="15" customHeight="1">
      <c r="A14" s="752">
        <v>6000</v>
      </c>
      <c r="B14" s="718" t="s">
        <v>486</v>
      </c>
      <c r="C14" s="753">
        <v>6999</v>
      </c>
      <c r="D14" s="738">
        <f>'Table 1.3'!G15</f>
        <v>55093</v>
      </c>
      <c r="E14" s="738">
        <v>61029</v>
      </c>
      <c r="F14" s="738">
        <v>18302</v>
      </c>
      <c r="G14" s="738">
        <v>7098</v>
      </c>
      <c r="H14" s="738">
        <v>150</v>
      </c>
      <c r="I14" s="738">
        <v>86579</v>
      </c>
    </row>
    <row r="15" spans="1:10" ht="15" customHeight="1">
      <c r="A15" s="752">
        <v>7000</v>
      </c>
      <c r="B15" s="718" t="s">
        <v>486</v>
      </c>
      <c r="C15" s="753">
        <v>7999</v>
      </c>
      <c r="D15" s="738">
        <f>'Table 1.3'!G16</f>
        <v>53845</v>
      </c>
      <c r="E15" s="738">
        <v>59907</v>
      </c>
      <c r="F15" s="738">
        <v>19551</v>
      </c>
      <c r="G15" s="738">
        <v>7391</v>
      </c>
      <c r="H15" s="738">
        <v>166</v>
      </c>
      <c r="I15" s="738">
        <v>87015</v>
      </c>
    </row>
    <row r="16" spans="1:10" ht="15" customHeight="1">
      <c r="A16" s="752">
        <v>8000</v>
      </c>
      <c r="B16" s="718" t="s">
        <v>486</v>
      </c>
      <c r="C16" s="753">
        <v>8999</v>
      </c>
      <c r="D16" s="738">
        <f>'Table 1.3'!G17</f>
        <v>54190</v>
      </c>
      <c r="E16" s="738">
        <v>60579</v>
      </c>
      <c r="F16" s="738">
        <v>21784</v>
      </c>
      <c r="G16" s="738">
        <v>7975</v>
      </c>
      <c r="H16" s="738">
        <v>139</v>
      </c>
      <c r="I16" s="738">
        <v>90477</v>
      </c>
    </row>
    <row r="17" spans="1:9" ht="15" customHeight="1">
      <c r="A17" s="752">
        <v>9000</v>
      </c>
      <c r="B17" s="718" t="s">
        <v>486</v>
      </c>
      <c r="C17" s="753">
        <v>9999</v>
      </c>
      <c r="D17" s="738">
        <f>'Table 1.3'!G18</f>
        <v>57882</v>
      </c>
      <c r="E17" s="738">
        <v>64969</v>
      </c>
      <c r="F17" s="738">
        <v>26931</v>
      </c>
      <c r="G17" s="738">
        <v>8600</v>
      </c>
      <c r="H17" s="738">
        <v>119</v>
      </c>
      <c r="I17" s="738">
        <v>100619</v>
      </c>
    </row>
    <row r="18" spans="1:9" ht="15" customHeight="1">
      <c r="A18" s="752">
        <v>10000</v>
      </c>
      <c r="B18" s="718" t="s">
        <v>486</v>
      </c>
      <c r="C18" s="753">
        <v>10999</v>
      </c>
      <c r="D18" s="738">
        <f>'Table 1.3'!G19</f>
        <v>54692</v>
      </c>
      <c r="E18" s="738">
        <v>61987</v>
      </c>
      <c r="F18" s="738">
        <v>26204</v>
      </c>
      <c r="G18" s="738">
        <v>9184</v>
      </c>
      <c r="H18" s="738">
        <v>137</v>
      </c>
      <c r="I18" s="738">
        <v>97512</v>
      </c>
    </row>
    <row r="19" spans="1:9" ht="15" customHeight="1">
      <c r="A19" s="752">
        <v>11000</v>
      </c>
      <c r="B19" s="718" t="s">
        <v>486</v>
      </c>
      <c r="C19" s="753">
        <v>11999</v>
      </c>
      <c r="D19" s="738">
        <f>'Table 1.3'!G20</f>
        <v>53574</v>
      </c>
      <c r="E19" s="738">
        <v>60842</v>
      </c>
      <c r="F19" s="738">
        <v>27133</v>
      </c>
      <c r="G19" s="738">
        <v>9573</v>
      </c>
      <c r="H19" s="738">
        <v>163</v>
      </c>
      <c r="I19" s="738">
        <v>97711</v>
      </c>
    </row>
    <row r="20" spans="1:9" ht="15" customHeight="1">
      <c r="A20" s="752">
        <v>12000</v>
      </c>
      <c r="B20" s="718" t="s">
        <v>486</v>
      </c>
      <c r="C20" s="753">
        <v>12999</v>
      </c>
      <c r="D20" s="738">
        <f>'Table 1.3'!G21</f>
        <v>53348</v>
      </c>
      <c r="E20" s="738">
        <v>61311</v>
      </c>
      <c r="F20" s="738">
        <v>30764</v>
      </c>
      <c r="G20" s="738">
        <v>9949</v>
      </c>
      <c r="H20" s="738">
        <v>162</v>
      </c>
      <c r="I20" s="738">
        <v>102186</v>
      </c>
    </row>
    <row r="21" spans="1:9" ht="15" customHeight="1">
      <c r="A21" s="752">
        <v>13000</v>
      </c>
      <c r="B21" s="718" t="s">
        <v>486</v>
      </c>
      <c r="C21" s="753">
        <v>13999</v>
      </c>
      <c r="D21" s="738">
        <f>'Table 1.3'!G22</f>
        <v>52312</v>
      </c>
      <c r="E21" s="738">
        <v>60462</v>
      </c>
      <c r="F21" s="738">
        <v>31459</v>
      </c>
      <c r="G21" s="738">
        <v>10100</v>
      </c>
      <c r="H21" s="738">
        <v>142</v>
      </c>
      <c r="I21" s="738">
        <v>102163</v>
      </c>
    </row>
    <row r="22" spans="1:9" ht="15" customHeight="1">
      <c r="A22" s="752">
        <v>14000</v>
      </c>
      <c r="B22" s="718" t="s">
        <v>486</v>
      </c>
      <c r="C22" s="753">
        <v>14999</v>
      </c>
      <c r="D22" s="738">
        <f>'Table 1.3'!G23</f>
        <v>51610</v>
      </c>
      <c r="E22" s="738">
        <v>60296</v>
      </c>
      <c r="F22" s="738">
        <v>31760</v>
      </c>
      <c r="G22" s="738">
        <v>10173</v>
      </c>
      <c r="H22" s="738">
        <v>154</v>
      </c>
      <c r="I22" s="738">
        <v>102383</v>
      </c>
    </row>
    <row r="23" spans="1:9" ht="15" customHeight="1">
      <c r="A23" s="752">
        <v>15000</v>
      </c>
      <c r="B23" s="718" t="s">
        <v>486</v>
      </c>
      <c r="C23" s="753">
        <v>19999</v>
      </c>
      <c r="D23" s="738">
        <f>'Table 1.3'!G24</f>
        <v>251081</v>
      </c>
      <c r="E23" s="738">
        <v>298057</v>
      </c>
      <c r="F23" s="738">
        <v>160838</v>
      </c>
      <c r="G23" s="738">
        <v>50992</v>
      </c>
      <c r="H23" s="738">
        <v>797</v>
      </c>
      <c r="I23" s="738">
        <v>510684</v>
      </c>
    </row>
    <row r="24" spans="1:9" ht="15" customHeight="1">
      <c r="A24" s="752">
        <v>20000</v>
      </c>
      <c r="B24" s="718" t="s">
        <v>486</v>
      </c>
      <c r="C24" s="753">
        <v>24999</v>
      </c>
      <c r="D24" s="738">
        <f>'Table 1.3'!G25</f>
        <v>230030</v>
      </c>
      <c r="E24" s="738">
        <v>281792</v>
      </c>
      <c r="F24" s="738">
        <v>151145</v>
      </c>
      <c r="G24" s="738">
        <v>51012</v>
      </c>
      <c r="H24" s="738">
        <v>704</v>
      </c>
      <c r="I24" s="738">
        <v>484653</v>
      </c>
    </row>
    <row r="25" spans="1:9" ht="15" customHeight="1">
      <c r="A25" s="752">
        <v>25000</v>
      </c>
      <c r="B25" s="718" t="s">
        <v>486</v>
      </c>
      <c r="C25" s="753">
        <v>29999</v>
      </c>
      <c r="D25" s="738">
        <f>'Table 1.3'!G26</f>
        <v>206816</v>
      </c>
      <c r="E25" s="738">
        <v>258703</v>
      </c>
      <c r="F25" s="738">
        <v>134570</v>
      </c>
      <c r="G25" s="738">
        <v>46513</v>
      </c>
      <c r="H25" s="738">
        <v>642</v>
      </c>
      <c r="I25" s="738">
        <v>440428</v>
      </c>
    </row>
    <row r="26" spans="1:9" ht="15" customHeight="1">
      <c r="A26" s="752">
        <v>30000</v>
      </c>
      <c r="B26" s="718" t="s">
        <v>486</v>
      </c>
      <c r="C26" s="753">
        <v>34999</v>
      </c>
      <c r="D26" s="738">
        <f>'Table 1.3'!G27</f>
        <v>185779</v>
      </c>
      <c r="E26" s="738">
        <v>238458</v>
      </c>
      <c r="F26" s="738">
        <v>117038</v>
      </c>
      <c r="G26" s="738">
        <v>42369</v>
      </c>
      <c r="H26" s="738">
        <v>606</v>
      </c>
      <c r="I26" s="738">
        <v>398471</v>
      </c>
    </row>
    <row r="27" spans="1:9" ht="15" customHeight="1">
      <c r="A27" s="752">
        <v>35000</v>
      </c>
      <c r="B27" s="718" t="s">
        <v>486</v>
      </c>
      <c r="C27" s="753">
        <v>39999</v>
      </c>
      <c r="D27" s="738">
        <f>'Table 1.3'!G28</f>
        <v>163721</v>
      </c>
      <c r="E27" s="738">
        <v>215505</v>
      </c>
      <c r="F27" s="738">
        <v>98124</v>
      </c>
      <c r="G27" s="738">
        <v>37252</v>
      </c>
      <c r="H27" s="738">
        <v>501</v>
      </c>
      <c r="I27" s="738">
        <v>351382</v>
      </c>
    </row>
    <row r="28" spans="1:9" ht="15" customHeight="1">
      <c r="A28" s="752">
        <v>40000</v>
      </c>
      <c r="B28" s="718" t="s">
        <v>486</v>
      </c>
      <c r="C28" s="753">
        <v>44999</v>
      </c>
      <c r="D28" s="738">
        <f>'Table 1.3'!G29</f>
        <v>145677</v>
      </c>
      <c r="E28" s="738">
        <v>196411</v>
      </c>
      <c r="F28" s="738">
        <v>83770</v>
      </c>
      <c r="G28" s="738">
        <v>33072</v>
      </c>
      <c r="H28" s="738">
        <v>432</v>
      </c>
      <c r="I28" s="738">
        <v>313685</v>
      </c>
    </row>
    <row r="29" spans="1:9" ht="15" customHeight="1">
      <c r="A29" s="752">
        <v>45000</v>
      </c>
      <c r="B29" s="718" t="s">
        <v>486</v>
      </c>
      <c r="C29" s="753">
        <v>49999</v>
      </c>
      <c r="D29" s="738">
        <f>'Table 1.3'!G30</f>
        <v>129229</v>
      </c>
      <c r="E29" s="738">
        <v>179403</v>
      </c>
      <c r="F29" s="738">
        <v>75024</v>
      </c>
      <c r="G29" s="738">
        <v>29896</v>
      </c>
      <c r="H29" s="738">
        <v>368</v>
      </c>
      <c r="I29" s="738">
        <v>284691</v>
      </c>
    </row>
    <row r="30" spans="1:9" ht="15" customHeight="1">
      <c r="A30" s="752">
        <v>50000</v>
      </c>
      <c r="B30" s="718" t="s">
        <v>486</v>
      </c>
      <c r="C30" s="753">
        <v>74999</v>
      </c>
      <c r="D30" s="738">
        <f>'Table 1.3'!G31</f>
        <v>478828</v>
      </c>
      <c r="E30" s="738">
        <v>720133</v>
      </c>
      <c r="F30" s="738">
        <v>304042</v>
      </c>
      <c r="G30" s="738">
        <v>108013</v>
      </c>
      <c r="H30" s="738">
        <v>1245</v>
      </c>
      <c r="I30" s="738">
        <v>1133433</v>
      </c>
    </row>
    <row r="31" spans="1:9" ht="15" customHeight="1">
      <c r="A31" s="752">
        <v>75000</v>
      </c>
      <c r="B31" s="718" t="s">
        <v>486</v>
      </c>
      <c r="C31" s="753">
        <v>99999</v>
      </c>
      <c r="D31" s="738">
        <f>'Table 1.3'!G32</f>
        <v>312003</v>
      </c>
      <c r="E31" s="738">
        <v>518873</v>
      </c>
      <c r="F31" s="738">
        <v>238121</v>
      </c>
      <c r="G31" s="738">
        <v>63008</v>
      </c>
      <c r="H31" s="738">
        <v>740</v>
      </c>
      <c r="I31" s="738">
        <v>820742</v>
      </c>
    </row>
    <row r="32" spans="1:9" ht="15" customHeight="1">
      <c r="A32" s="752">
        <v>100000</v>
      </c>
      <c r="B32" s="718" t="s">
        <v>484</v>
      </c>
      <c r="C32" s="751" t="s">
        <v>517</v>
      </c>
      <c r="D32" s="738">
        <f>'Table 1.3'!G33</f>
        <v>638613</v>
      </c>
      <c r="E32" s="738">
        <v>1163699</v>
      </c>
      <c r="F32" s="738">
        <v>629239</v>
      </c>
      <c r="G32" s="738">
        <v>118436</v>
      </c>
      <c r="H32" s="738">
        <v>1255</v>
      </c>
      <c r="I32" s="738">
        <v>1912629</v>
      </c>
    </row>
    <row r="33" spans="1:9" ht="15" customHeight="1">
      <c r="A33" s="752"/>
      <c r="B33" s="718"/>
      <c r="C33" s="751"/>
      <c r="D33" s="738"/>
      <c r="E33" s="738"/>
      <c r="F33" s="738"/>
      <c r="G33" s="738"/>
      <c r="H33" s="738"/>
      <c r="I33" s="738"/>
    </row>
    <row r="34" spans="1:9" ht="15" customHeight="1">
      <c r="A34" s="272" t="s">
        <v>487</v>
      </c>
      <c r="B34" s="272"/>
      <c r="C34" s="272"/>
      <c r="D34" s="273">
        <f t="shared" ref="D34:I34" si="0">SUM(D8:D32)</f>
        <v>3656674</v>
      </c>
      <c r="E34" s="273">
        <f t="shared" si="0"/>
        <v>5123327</v>
      </c>
      <c r="F34" s="273">
        <f t="shared" si="0"/>
        <v>2362760</v>
      </c>
      <c r="G34" s="273">
        <f t="shared" si="0"/>
        <v>721972</v>
      </c>
      <c r="H34" s="273">
        <f t="shared" si="0"/>
        <v>9891</v>
      </c>
      <c r="I34" s="273">
        <f t="shared" si="0"/>
        <v>8217950</v>
      </c>
    </row>
    <row r="39" spans="1:9">
      <c r="E39" s="754" t="s">
        <v>481</v>
      </c>
      <c r="F39" s="720">
        <f>G34</f>
        <v>721972</v>
      </c>
      <c r="G39" s="759">
        <f>F39/F$43</f>
        <v>8.785305337705876E-2</v>
      </c>
    </row>
    <row r="40" spans="1:9">
      <c r="E40" s="754" t="s">
        <v>482</v>
      </c>
      <c r="F40" s="720">
        <f>H34</f>
        <v>9891</v>
      </c>
      <c r="G40" s="760">
        <f>F40/F$43</f>
        <v>1.2035848356341909E-3</v>
      </c>
    </row>
    <row r="41" spans="1:9">
      <c r="E41" s="754" t="s">
        <v>479</v>
      </c>
      <c r="F41" s="720">
        <f>E34</f>
        <v>5123327</v>
      </c>
      <c r="G41" s="759">
        <f>F41/F$43</f>
        <v>0.6234312693554962</v>
      </c>
    </row>
    <row r="42" spans="1:9">
      <c r="E42" s="754" t="s">
        <v>480</v>
      </c>
      <c r="F42" s="720">
        <f>F34</f>
        <v>2362760</v>
      </c>
      <c r="G42" s="759">
        <f>F42/F$43</f>
        <v>0.28751209243181086</v>
      </c>
    </row>
    <row r="43" spans="1:9">
      <c r="F43" s="274">
        <f>SUM(F39:F42)</f>
        <v>8217950</v>
      </c>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sheetPr codeName="Sheet8"/>
  <dimension ref="A1:N212"/>
  <sheetViews>
    <sheetView showOutlineSymbols="0" zoomScaleNormal="100" workbookViewId="0"/>
  </sheetViews>
  <sheetFormatPr defaultColWidth="10.6640625" defaultRowHeight="17.100000000000001" customHeight="1"/>
  <cols>
    <col min="1" max="1" width="15.44140625" style="978" customWidth="1"/>
    <col min="2" max="2" width="15.6640625" style="978" customWidth="1"/>
    <col min="3" max="4" width="15.5546875" style="978" customWidth="1"/>
    <col min="5" max="5" width="16.33203125" style="978" bestFit="1" customWidth="1"/>
    <col min="6" max="7" width="15.5546875" style="978" customWidth="1"/>
    <col min="8" max="8" width="16.6640625" style="978" bestFit="1" customWidth="1"/>
    <col min="9" max="9" width="16.5546875" style="978" customWidth="1"/>
    <col min="10" max="10" width="17.6640625" style="978" bestFit="1" customWidth="1"/>
    <col min="11" max="11" width="17" style="978" customWidth="1"/>
    <col min="12" max="12" width="18.44140625" style="978" bestFit="1" customWidth="1"/>
    <col min="13" max="13" width="18.88671875" style="978" bestFit="1" customWidth="1"/>
    <col min="14" max="16384" width="10.6640625" style="978"/>
  </cols>
  <sheetData>
    <row r="1" spans="1:13" ht="17.399999999999999">
      <c r="A1" s="977" t="s">
        <v>801</v>
      </c>
      <c r="C1" s="979"/>
      <c r="D1" s="979"/>
      <c r="E1" s="979"/>
      <c r="F1" s="979"/>
      <c r="G1" s="979"/>
      <c r="H1" s="979"/>
      <c r="I1" s="979"/>
      <c r="J1" s="979"/>
      <c r="K1" s="979"/>
      <c r="L1" s="979"/>
    </row>
    <row r="2" spans="1:13" ht="17.100000000000001" customHeight="1">
      <c r="A2" s="980" t="s">
        <v>802</v>
      </c>
      <c r="C2" s="979"/>
      <c r="D2" s="979"/>
      <c r="E2" s="979"/>
      <c r="F2" s="979"/>
      <c r="G2" s="979"/>
      <c r="H2" s="979"/>
      <c r="I2" s="979"/>
      <c r="J2" s="979"/>
      <c r="K2" s="979"/>
      <c r="L2" s="979"/>
    </row>
    <row r="3" spans="1:13" ht="17.100000000000001" customHeight="1">
      <c r="A3" s="981" t="str">
        <f>'Table 1.2'!A3</f>
        <v>Taxable Year 2011</v>
      </c>
      <c r="C3" s="982"/>
      <c r="D3" s="982"/>
      <c r="E3" s="982"/>
      <c r="F3" s="982"/>
      <c r="G3" s="982"/>
      <c r="H3" s="982"/>
      <c r="I3" s="982"/>
      <c r="J3" s="982"/>
      <c r="K3" s="982"/>
      <c r="L3" s="982"/>
    </row>
    <row r="4" spans="1:13" ht="17.100000000000001" customHeight="1" thickBot="1">
      <c r="A4" s="980"/>
      <c r="C4" s="982"/>
      <c r="D4" s="982"/>
      <c r="E4" s="982"/>
      <c r="F4" s="982"/>
      <c r="G4" s="982"/>
      <c r="H4" s="982"/>
      <c r="I4" s="982"/>
      <c r="J4" s="982"/>
      <c r="K4" s="982"/>
      <c r="L4" s="982"/>
    </row>
    <row r="5" spans="1:13" s="986" customFormat="1" ht="17.100000000000001" customHeight="1">
      <c r="A5" s="983"/>
      <c r="B5" s="984" t="s">
        <v>803</v>
      </c>
      <c r="C5" s="985"/>
      <c r="D5" s="985"/>
      <c r="E5" s="985"/>
      <c r="F5" s="985"/>
      <c r="G5" s="985"/>
      <c r="H5" s="985"/>
      <c r="I5" s="985"/>
      <c r="J5" s="985"/>
      <c r="K5" s="985"/>
      <c r="L5" s="985"/>
      <c r="M5" s="985" t="s">
        <v>25</v>
      </c>
    </row>
    <row r="6" spans="1:13" s="986" customFormat="1" ht="17.100000000000001" customHeight="1">
      <c r="A6" s="987"/>
      <c r="B6" s="988"/>
      <c r="C6" s="988" t="s">
        <v>804</v>
      </c>
      <c r="D6" s="988" t="s">
        <v>805</v>
      </c>
      <c r="E6" s="988" t="s">
        <v>806</v>
      </c>
      <c r="F6" s="988" t="s">
        <v>807</v>
      </c>
      <c r="G6" s="988" t="s">
        <v>808</v>
      </c>
      <c r="H6" s="988" t="s">
        <v>809</v>
      </c>
      <c r="I6" s="988" t="s">
        <v>810</v>
      </c>
      <c r="J6" s="988" t="s">
        <v>811</v>
      </c>
      <c r="K6" s="988" t="s">
        <v>812</v>
      </c>
      <c r="L6" s="988" t="s">
        <v>813</v>
      </c>
      <c r="M6" s="988" t="s">
        <v>474</v>
      </c>
    </row>
    <row r="7" spans="1:13" s="986" customFormat="1" ht="17.100000000000001" customHeight="1">
      <c r="A7" s="989" t="s">
        <v>33</v>
      </c>
      <c r="B7" s="988" t="s">
        <v>814</v>
      </c>
      <c r="C7" s="988" t="s">
        <v>815</v>
      </c>
      <c r="D7" s="988" t="s">
        <v>816</v>
      </c>
      <c r="E7" s="988" t="s">
        <v>817</v>
      </c>
      <c r="F7" s="988" t="s">
        <v>818</v>
      </c>
      <c r="G7" s="988" t="s">
        <v>819</v>
      </c>
      <c r="H7" s="988" t="s">
        <v>820</v>
      </c>
      <c r="I7" s="988" t="s">
        <v>821</v>
      </c>
      <c r="J7" s="988" t="s">
        <v>822</v>
      </c>
      <c r="K7" s="988" t="s">
        <v>823</v>
      </c>
      <c r="L7" s="988" t="s">
        <v>824</v>
      </c>
      <c r="M7" s="988" t="s">
        <v>32</v>
      </c>
    </row>
    <row r="8" spans="1:13" s="986" customFormat="1" ht="17.100000000000001" customHeight="1">
      <c r="A8" s="961"/>
      <c r="B8" s="990"/>
      <c r="C8" s="990"/>
      <c r="D8" s="990"/>
      <c r="E8" s="990"/>
      <c r="F8" s="990"/>
      <c r="G8" s="990"/>
      <c r="H8" s="990"/>
      <c r="I8" s="990"/>
      <c r="J8" s="990"/>
      <c r="K8" s="990"/>
      <c r="L8" s="990"/>
      <c r="M8" s="991"/>
    </row>
    <row r="9" spans="1:13" s="992" customFormat="1" ht="17.100000000000001" customHeight="1">
      <c r="A9" s="892" t="s">
        <v>520</v>
      </c>
      <c r="B9" s="891">
        <v>3818951.0049999999</v>
      </c>
      <c r="C9" s="891">
        <v>11740346.040999999</v>
      </c>
      <c r="D9" s="891">
        <v>18627949.505599998</v>
      </c>
      <c r="E9" s="891">
        <v>28675542.720999997</v>
      </c>
      <c r="F9" s="891">
        <v>38916466.754000001</v>
      </c>
      <c r="G9" s="891">
        <v>35691602.589000002</v>
      </c>
      <c r="H9" s="891">
        <v>59066833.982999995</v>
      </c>
      <c r="I9" s="891">
        <v>48498086.269999996</v>
      </c>
      <c r="J9" s="891">
        <v>101270996.75199999</v>
      </c>
      <c r="K9" s="891">
        <v>72975799.914999992</v>
      </c>
      <c r="L9" s="891">
        <v>157782014.7802</v>
      </c>
      <c r="M9" s="892">
        <f>SUM(B9:L9)</f>
        <v>577064590.31579995</v>
      </c>
    </row>
    <row r="10" spans="1:13" s="986" customFormat="1" ht="17.100000000000001" customHeight="1">
      <c r="A10" s="960" t="s">
        <v>524</v>
      </c>
      <c r="B10" s="993">
        <v>7502646.970999999</v>
      </c>
      <c r="C10" s="993">
        <v>19742642.340999998</v>
      </c>
      <c r="D10" s="993">
        <v>32320499.727000006</v>
      </c>
      <c r="E10" s="993">
        <v>44990996.206</v>
      </c>
      <c r="F10" s="993">
        <v>56910862.215999998</v>
      </c>
      <c r="G10" s="993">
        <v>64949920.044</v>
      </c>
      <c r="H10" s="993">
        <v>134361689.59200001</v>
      </c>
      <c r="I10" s="993">
        <v>145805904.95999998</v>
      </c>
      <c r="J10" s="993">
        <v>343143297.792</v>
      </c>
      <c r="K10" s="993">
        <v>324725116.19500005</v>
      </c>
      <c r="L10" s="993">
        <v>2441339120.3860002</v>
      </c>
      <c r="M10" s="824">
        <f>SUM(B10:L10)</f>
        <v>3615792696.4300003</v>
      </c>
    </row>
    <row r="11" spans="1:13" s="986" customFormat="1" ht="17.100000000000001" customHeight="1">
      <c r="A11" s="960" t="s">
        <v>528</v>
      </c>
      <c r="B11" s="993">
        <v>1575132.1520000002</v>
      </c>
      <c r="C11" s="993">
        <v>4462448.1239999998</v>
      </c>
      <c r="D11" s="993">
        <v>7374907.3339999998</v>
      </c>
      <c r="E11" s="993">
        <v>9918184.398</v>
      </c>
      <c r="F11" s="993">
        <v>11446811.322000001</v>
      </c>
      <c r="G11" s="993">
        <v>11817620.628999999</v>
      </c>
      <c r="H11" s="993">
        <v>25631408.839000002</v>
      </c>
      <c r="I11" s="993">
        <v>24935715.401000001</v>
      </c>
      <c r="J11" s="993">
        <v>56997875.276999995</v>
      </c>
      <c r="K11" s="993">
        <v>53940954.719999999</v>
      </c>
      <c r="L11" s="993">
        <v>84811409.847000003</v>
      </c>
      <c r="M11" s="824">
        <f>SUM(B11:L11)</f>
        <v>292912468.04299998</v>
      </c>
    </row>
    <row r="12" spans="1:13" s="986" customFormat="1" ht="17.100000000000001" customHeight="1">
      <c r="A12" s="960" t="s">
        <v>532</v>
      </c>
      <c r="B12" s="993">
        <v>1087643.9779999999</v>
      </c>
      <c r="C12" s="993">
        <v>3292184.4109999998</v>
      </c>
      <c r="D12" s="993">
        <v>5416581.0600000005</v>
      </c>
      <c r="E12" s="993">
        <v>7746325.1449999996</v>
      </c>
      <c r="F12" s="993">
        <v>9942741.0000000019</v>
      </c>
      <c r="G12" s="993">
        <v>11121304.014</v>
      </c>
      <c r="H12" s="993">
        <v>24226103.127</v>
      </c>
      <c r="I12" s="993">
        <v>20928002</v>
      </c>
      <c r="J12" s="993">
        <v>50283590.936000004</v>
      </c>
      <c r="K12" s="993">
        <v>42652370.75</v>
      </c>
      <c r="L12" s="993">
        <v>66641006</v>
      </c>
      <c r="M12" s="824">
        <f>SUM(B12:L12)</f>
        <v>243337852.421</v>
      </c>
    </row>
    <row r="13" spans="1:13" s="986" customFormat="1" ht="17.100000000000001" customHeight="1">
      <c r="A13" s="960" t="s">
        <v>536</v>
      </c>
      <c r="B13" s="993">
        <v>2552694.4929999998</v>
      </c>
      <c r="C13" s="993">
        <v>8321658.1200000001</v>
      </c>
      <c r="D13" s="993">
        <v>14787074.918</v>
      </c>
      <c r="E13" s="993">
        <v>19188355.688999999</v>
      </c>
      <c r="F13" s="993">
        <v>24634436.034000002</v>
      </c>
      <c r="G13" s="993">
        <v>26610507.175000001</v>
      </c>
      <c r="H13" s="993">
        <v>52278881.325000003</v>
      </c>
      <c r="I13" s="993">
        <v>51068856.916999996</v>
      </c>
      <c r="J13" s="993">
        <v>115527066.94500001</v>
      </c>
      <c r="K13" s="993">
        <v>98021374.125</v>
      </c>
      <c r="L13" s="993">
        <v>138428163.54100001</v>
      </c>
      <c r="M13" s="824">
        <f>SUM(B13:L13)</f>
        <v>551419069.28200006</v>
      </c>
    </row>
    <row r="14" spans="1:13" s="986" customFormat="1" ht="17.100000000000001" customHeight="1">
      <c r="A14" s="960"/>
      <c r="B14" s="993"/>
      <c r="C14" s="993"/>
      <c r="D14" s="993"/>
      <c r="E14" s="993"/>
      <c r="F14" s="993"/>
      <c r="G14" s="993"/>
      <c r="H14" s="993"/>
      <c r="I14" s="993"/>
      <c r="J14" s="993"/>
      <c r="K14" s="993"/>
      <c r="L14" s="993"/>
      <c r="M14" s="824"/>
    </row>
    <row r="15" spans="1:13" s="986" customFormat="1" ht="17.100000000000001" customHeight="1">
      <c r="A15" s="960" t="s">
        <v>540</v>
      </c>
      <c r="B15" s="993">
        <v>1337826.43</v>
      </c>
      <c r="C15" s="993">
        <v>4316519.9040000001</v>
      </c>
      <c r="D15" s="993">
        <v>8226646.25</v>
      </c>
      <c r="E15" s="993">
        <v>9238040.8080000002</v>
      </c>
      <c r="F15" s="993">
        <v>10985707.994999999</v>
      </c>
      <c r="G15" s="993">
        <v>12802912.562000001</v>
      </c>
      <c r="H15" s="993">
        <v>24602847.002999999</v>
      </c>
      <c r="I15" s="993">
        <v>22950318.259999998</v>
      </c>
      <c r="J15" s="993">
        <v>52235222.184</v>
      </c>
      <c r="K15" s="993">
        <v>46920282.590000004</v>
      </c>
      <c r="L15" s="993">
        <v>72962081</v>
      </c>
      <c r="M15" s="824">
        <f>SUM(B15:L15)</f>
        <v>266578404.98599997</v>
      </c>
    </row>
    <row r="16" spans="1:13" s="986" customFormat="1" ht="17.100000000000001" customHeight="1">
      <c r="A16" s="960" t="s">
        <v>544</v>
      </c>
      <c r="B16" s="993">
        <v>14266577.100749999</v>
      </c>
      <c r="C16" s="993">
        <v>42132909.974799998</v>
      </c>
      <c r="D16" s="993">
        <v>64128664.607000001</v>
      </c>
      <c r="E16" s="993">
        <v>93813777.353799999</v>
      </c>
      <c r="F16" s="993">
        <v>116509408.69</v>
      </c>
      <c r="G16" s="993">
        <v>127892963.208</v>
      </c>
      <c r="H16" s="993">
        <v>323849105.91850001</v>
      </c>
      <c r="I16" s="993">
        <v>435722105.89599997</v>
      </c>
      <c r="J16" s="993">
        <v>1243057587.4029999</v>
      </c>
      <c r="K16" s="993">
        <v>1177278346.319</v>
      </c>
      <c r="L16" s="993">
        <v>8340542743.6829004</v>
      </c>
      <c r="M16" s="824">
        <f>SUM(B16:L16)</f>
        <v>11979194190.153751</v>
      </c>
    </row>
    <row r="17" spans="1:13" s="986" customFormat="1" ht="17.100000000000001" customHeight="1">
      <c r="A17" s="960" t="s">
        <v>548</v>
      </c>
      <c r="B17" s="993">
        <v>5519101.9809999997</v>
      </c>
      <c r="C17" s="993">
        <v>17814529.196000002</v>
      </c>
      <c r="D17" s="993">
        <v>29733437.043000001</v>
      </c>
      <c r="E17" s="993">
        <v>40702371.318000004</v>
      </c>
      <c r="F17" s="993">
        <v>49240130.660999998</v>
      </c>
      <c r="G17" s="993">
        <v>58997624.085000001</v>
      </c>
      <c r="H17" s="993">
        <v>128981537.669</v>
      </c>
      <c r="I17" s="993">
        <v>133328527.01199999</v>
      </c>
      <c r="J17" s="993">
        <v>310724924.63800001</v>
      </c>
      <c r="K17" s="993">
        <v>262025885.73400003</v>
      </c>
      <c r="L17" s="993">
        <v>462410544.32799995</v>
      </c>
      <c r="M17" s="824">
        <f>SUM(B17:L17)</f>
        <v>1499478613.665</v>
      </c>
    </row>
    <row r="18" spans="1:13" s="986" customFormat="1" ht="17.100000000000001" customHeight="1">
      <c r="A18" s="960" t="s">
        <v>552</v>
      </c>
      <c r="B18" s="993">
        <v>655181.5560000001</v>
      </c>
      <c r="C18" s="993">
        <v>1611440.0560000001</v>
      </c>
      <c r="D18" s="993">
        <v>2507651.523</v>
      </c>
      <c r="E18" s="993">
        <v>4108350.2310000001</v>
      </c>
      <c r="F18" s="993">
        <v>4793884.7860000003</v>
      </c>
      <c r="G18" s="993">
        <v>4131786.5729999999</v>
      </c>
      <c r="H18" s="993">
        <v>9183867.4699999988</v>
      </c>
      <c r="I18" s="993">
        <v>8786017.0720000006</v>
      </c>
      <c r="J18" s="993">
        <v>17914105.756000001</v>
      </c>
      <c r="K18" s="993">
        <v>11531939.588</v>
      </c>
      <c r="L18" s="993">
        <v>33116974.126000002</v>
      </c>
      <c r="M18" s="824">
        <f>SUM(B18:L18)</f>
        <v>98341198.737000003</v>
      </c>
    </row>
    <row r="19" spans="1:13" s="986" customFormat="1" ht="17.100000000000001" customHeight="1">
      <c r="A19" s="960" t="s">
        <v>556</v>
      </c>
      <c r="B19" s="993">
        <v>5480381.977</v>
      </c>
      <c r="C19" s="993">
        <v>16389451.796</v>
      </c>
      <c r="D19" s="993">
        <v>26699279.864</v>
      </c>
      <c r="E19" s="993">
        <v>37969847.847000003</v>
      </c>
      <c r="F19" s="993">
        <v>42654457.287</v>
      </c>
      <c r="G19" s="993">
        <v>49714415.630000003</v>
      </c>
      <c r="H19" s="993">
        <v>109130507.03400001</v>
      </c>
      <c r="I19" s="993">
        <v>105547052.48800001</v>
      </c>
      <c r="J19" s="993">
        <v>279888948.65499997</v>
      </c>
      <c r="K19" s="993">
        <v>256169184.53600001</v>
      </c>
      <c r="L19" s="993">
        <v>745644119.75199997</v>
      </c>
      <c r="M19" s="824">
        <f>SUM(B19:L19)</f>
        <v>1675287646.8659999</v>
      </c>
    </row>
    <row r="20" spans="1:13" s="986" customFormat="1" ht="17.100000000000001" customHeight="1">
      <c r="A20" s="960"/>
      <c r="B20" s="993"/>
      <c r="C20" s="993"/>
      <c r="D20" s="993"/>
      <c r="E20" s="993"/>
      <c r="F20" s="993"/>
      <c r="G20" s="993"/>
      <c r="H20" s="993"/>
      <c r="I20" s="993"/>
      <c r="J20" s="993"/>
      <c r="K20" s="993"/>
      <c r="L20" s="993"/>
      <c r="M20" s="824"/>
    </row>
    <row r="21" spans="1:13" s="986" customFormat="1" ht="17.100000000000001" customHeight="1">
      <c r="A21" s="960" t="s">
        <v>560</v>
      </c>
      <c r="B21" s="993">
        <v>432140.701</v>
      </c>
      <c r="C21" s="993">
        <v>1611434.294</v>
      </c>
      <c r="D21" s="993">
        <v>2686621.2689999999</v>
      </c>
      <c r="E21" s="993">
        <v>3145427.2450000001</v>
      </c>
      <c r="F21" s="993">
        <v>3993141.398</v>
      </c>
      <c r="G21" s="993">
        <v>4681380.7</v>
      </c>
      <c r="H21" s="993">
        <v>10803755.18</v>
      </c>
      <c r="I21" s="993">
        <v>11537852.128</v>
      </c>
      <c r="J21" s="993">
        <v>24831024.98</v>
      </c>
      <c r="K21" s="993">
        <v>17799571</v>
      </c>
      <c r="L21" s="993">
        <v>30816275.100000001</v>
      </c>
      <c r="M21" s="824">
        <f>SUM(B21:L21)</f>
        <v>112338623.995</v>
      </c>
    </row>
    <row r="22" spans="1:13" s="986" customFormat="1" ht="17.100000000000001" customHeight="1">
      <c r="A22" s="960" t="s">
        <v>564</v>
      </c>
      <c r="B22" s="993">
        <v>2624268.7175000003</v>
      </c>
      <c r="C22" s="993">
        <v>7319103.1890000002</v>
      </c>
      <c r="D22" s="993">
        <v>11849346.98</v>
      </c>
      <c r="E22" s="993">
        <v>15423322.584999999</v>
      </c>
      <c r="F22" s="993">
        <v>20027511.013999999</v>
      </c>
      <c r="G22" s="993">
        <v>20798569.684999999</v>
      </c>
      <c r="H22" s="993">
        <v>47464422.68</v>
      </c>
      <c r="I22" s="993">
        <v>49110106.376000002</v>
      </c>
      <c r="J22" s="993">
        <v>135832962.34399998</v>
      </c>
      <c r="K22" s="993">
        <v>135470413.69700003</v>
      </c>
      <c r="L22" s="993">
        <v>377225941.41900003</v>
      </c>
      <c r="M22" s="824">
        <f>SUM(B22:L22)</f>
        <v>823145968.68650007</v>
      </c>
    </row>
    <row r="23" spans="1:13" s="986" customFormat="1" ht="17.100000000000001" customHeight="1">
      <c r="A23" s="960" t="s">
        <v>568</v>
      </c>
      <c r="B23" s="993">
        <v>1141567.821</v>
      </c>
      <c r="C23" s="993">
        <v>4048996.6280000005</v>
      </c>
      <c r="D23" s="993">
        <v>7440229.7549999999</v>
      </c>
      <c r="E23" s="993">
        <v>11544343.109999999</v>
      </c>
      <c r="F23" s="993">
        <v>12401772.395</v>
      </c>
      <c r="G23" s="993">
        <v>14131695.182</v>
      </c>
      <c r="H23" s="993">
        <v>29236751.089000002</v>
      </c>
      <c r="I23" s="993">
        <v>22924216.273000002</v>
      </c>
      <c r="J23" s="993">
        <v>44538668.479000002</v>
      </c>
      <c r="K23" s="993">
        <v>29629759.438000001</v>
      </c>
      <c r="L23" s="993">
        <v>41728907.636</v>
      </c>
      <c r="M23" s="824">
        <f>SUM(B23:L23)</f>
        <v>218766907.80599999</v>
      </c>
    </row>
    <row r="24" spans="1:13" s="986" customFormat="1" ht="17.100000000000001" customHeight="1">
      <c r="A24" s="960" t="s">
        <v>572</v>
      </c>
      <c r="B24" s="993">
        <v>1895599.6154</v>
      </c>
      <c r="C24" s="993">
        <v>5590362.3030000003</v>
      </c>
      <c r="D24" s="993">
        <v>9902320.4869999997</v>
      </c>
      <c r="E24" s="993">
        <v>11876539.169</v>
      </c>
      <c r="F24" s="993">
        <v>12786495.34</v>
      </c>
      <c r="G24" s="993">
        <v>13393867.193000002</v>
      </c>
      <c r="H24" s="993">
        <v>26615425.739</v>
      </c>
      <c r="I24" s="993">
        <v>24346240.110999998</v>
      </c>
      <c r="J24" s="993">
        <v>73734102.715999991</v>
      </c>
      <c r="K24" s="993">
        <v>66106525.783</v>
      </c>
      <c r="L24" s="993">
        <v>103817759.292</v>
      </c>
      <c r="M24" s="824">
        <f>SUM(B24:L24)</f>
        <v>350065237.74839997</v>
      </c>
    </row>
    <row r="25" spans="1:13" s="986" customFormat="1" ht="17.100000000000001" customHeight="1">
      <c r="A25" s="960" t="s">
        <v>576</v>
      </c>
      <c r="B25" s="993">
        <v>1021062.3520000001</v>
      </c>
      <c r="C25" s="993">
        <v>3634087.4939999999</v>
      </c>
      <c r="D25" s="993">
        <v>6429889.3969999999</v>
      </c>
      <c r="E25" s="993">
        <v>9199147.4120000005</v>
      </c>
      <c r="F25" s="993">
        <v>12144491.534</v>
      </c>
      <c r="G25" s="993">
        <v>15540569.665000001</v>
      </c>
      <c r="H25" s="993">
        <v>27260893.096999999</v>
      </c>
      <c r="I25" s="993">
        <v>20147652.813999999</v>
      </c>
      <c r="J25" s="993">
        <v>40698308.706</v>
      </c>
      <c r="K25" s="993">
        <v>28128763</v>
      </c>
      <c r="L25" s="993">
        <v>45689942.545999996</v>
      </c>
      <c r="M25" s="824">
        <f>SUM(B25:L25)</f>
        <v>209894808.01700002</v>
      </c>
    </row>
    <row r="26" spans="1:13" s="986" customFormat="1" ht="17.100000000000001" customHeight="1">
      <c r="A26" s="960"/>
      <c r="B26" s="993"/>
      <c r="C26" s="993"/>
      <c r="D26" s="993"/>
      <c r="E26" s="993"/>
      <c r="F26" s="993"/>
      <c r="G26" s="993"/>
      <c r="H26" s="993"/>
      <c r="I26" s="993"/>
      <c r="J26" s="993"/>
      <c r="K26" s="993"/>
      <c r="L26" s="993"/>
      <c r="M26" s="824"/>
    </row>
    <row r="27" spans="1:13" s="986" customFormat="1" ht="17.100000000000001" customHeight="1">
      <c r="A27" s="960" t="s">
        <v>580</v>
      </c>
      <c r="B27" s="993">
        <v>4281917.8509999998</v>
      </c>
      <c r="C27" s="993">
        <v>14820062.250999998</v>
      </c>
      <c r="D27" s="993">
        <v>25361967.776999999</v>
      </c>
      <c r="E27" s="993">
        <v>33357734.619999997</v>
      </c>
      <c r="F27" s="993">
        <v>40054945.896000005</v>
      </c>
      <c r="G27" s="993">
        <v>41362500.299999997</v>
      </c>
      <c r="H27" s="993">
        <v>89337377.375</v>
      </c>
      <c r="I27" s="993">
        <v>87458486.067999989</v>
      </c>
      <c r="J27" s="993">
        <v>193991673.47599998</v>
      </c>
      <c r="K27" s="993">
        <v>152610995.58100003</v>
      </c>
      <c r="L27" s="993">
        <v>279164036.87100005</v>
      </c>
      <c r="M27" s="824">
        <f>SUM(B27:L27)</f>
        <v>961801698.06599998</v>
      </c>
    </row>
    <row r="28" spans="1:13" s="986" customFormat="1" ht="17.100000000000001" customHeight="1">
      <c r="A28" s="960" t="s">
        <v>582</v>
      </c>
      <c r="B28" s="993">
        <v>2051103.906</v>
      </c>
      <c r="C28" s="993">
        <v>6986939.4840000002</v>
      </c>
      <c r="D28" s="993">
        <v>11868229.686999999</v>
      </c>
      <c r="E28" s="993">
        <v>15281869.653000001</v>
      </c>
      <c r="F28" s="993">
        <v>17892734.688000001</v>
      </c>
      <c r="G28" s="993">
        <v>20907152.423</v>
      </c>
      <c r="H28" s="993">
        <v>50123013.376000002</v>
      </c>
      <c r="I28" s="993">
        <v>50366841.851999998</v>
      </c>
      <c r="J28" s="993">
        <v>110908198.97</v>
      </c>
      <c r="K28" s="993">
        <v>103263923.38499999</v>
      </c>
      <c r="L28" s="993">
        <v>196899707.009</v>
      </c>
      <c r="M28" s="824">
        <f>SUM(B28:L28)</f>
        <v>586549714.43300009</v>
      </c>
    </row>
    <row r="29" spans="1:13" s="986" customFormat="1" ht="17.100000000000001" customHeight="1">
      <c r="A29" s="960" t="s">
        <v>585</v>
      </c>
      <c r="B29" s="993">
        <v>2548935.3470000001</v>
      </c>
      <c r="C29" s="993">
        <v>8594145.118999999</v>
      </c>
      <c r="D29" s="993">
        <v>14698298.231000001</v>
      </c>
      <c r="E29" s="993">
        <v>20466170.921999998</v>
      </c>
      <c r="F29" s="993">
        <v>22665133.019000001</v>
      </c>
      <c r="G29" s="993">
        <v>23529986.199000001</v>
      </c>
      <c r="H29" s="993">
        <v>46567915.741999999</v>
      </c>
      <c r="I29" s="993">
        <v>42561402.383000001</v>
      </c>
      <c r="J29" s="993">
        <v>93904907.652999997</v>
      </c>
      <c r="K29" s="993">
        <v>51464785.447999999</v>
      </c>
      <c r="L29" s="993">
        <v>62559718.046999998</v>
      </c>
      <c r="M29" s="824">
        <f>SUM(B29:L29)</f>
        <v>389561398.11000001</v>
      </c>
    </row>
    <row r="30" spans="1:13" s="986" customFormat="1" ht="17.100000000000001" customHeight="1">
      <c r="A30" s="960" t="s">
        <v>588</v>
      </c>
      <c r="B30" s="993">
        <v>496659.61</v>
      </c>
      <c r="C30" s="993">
        <v>2105364.2949999999</v>
      </c>
      <c r="D30" s="993">
        <v>3679798.1469999999</v>
      </c>
      <c r="E30" s="993">
        <v>5083032.9510000004</v>
      </c>
      <c r="F30" s="993">
        <v>6829559.0539999995</v>
      </c>
      <c r="G30" s="993">
        <v>6695988.4720000001</v>
      </c>
      <c r="H30" s="993">
        <v>13717366</v>
      </c>
      <c r="I30" s="993">
        <v>12729157.683</v>
      </c>
      <c r="J30" s="993">
        <v>29228171.640999999</v>
      </c>
      <c r="K30" s="993">
        <v>23568528</v>
      </c>
      <c r="L30" s="993">
        <v>45823966</v>
      </c>
      <c r="M30" s="824">
        <f>SUM(B30:L30)</f>
        <v>149957591.85299999</v>
      </c>
    </row>
    <row r="31" spans="1:13" s="986" customFormat="1" ht="17.100000000000001" customHeight="1">
      <c r="A31" s="960" t="s">
        <v>591</v>
      </c>
      <c r="B31" s="993">
        <v>1141356.3470000001</v>
      </c>
      <c r="C31" s="993">
        <v>3645627.3960000002</v>
      </c>
      <c r="D31" s="993">
        <v>6791969.2230000002</v>
      </c>
      <c r="E31" s="993">
        <v>9116867.529000001</v>
      </c>
      <c r="F31" s="993">
        <v>10253865.783</v>
      </c>
      <c r="G31" s="993">
        <v>10896838.482000001</v>
      </c>
      <c r="H31" s="993">
        <v>19160539.274999999</v>
      </c>
      <c r="I31" s="993">
        <v>17376628.087000001</v>
      </c>
      <c r="J31" s="993">
        <v>36621695.163999997</v>
      </c>
      <c r="K31" s="993">
        <v>22556747.942000002</v>
      </c>
      <c r="L31" s="993">
        <v>39661187.314999998</v>
      </c>
      <c r="M31" s="824">
        <f>SUM(B31:L31)</f>
        <v>177223322.54300001</v>
      </c>
    </row>
    <row r="32" spans="1:13" s="986" customFormat="1" ht="17.100000000000001" customHeight="1">
      <c r="A32" s="960"/>
      <c r="B32" s="993"/>
      <c r="C32" s="993"/>
      <c r="D32" s="993"/>
      <c r="E32" s="993"/>
      <c r="F32" s="993"/>
      <c r="G32" s="993"/>
      <c r="H32" s="993"/>
      <c r="I32" s="993"/>
      <c r="J32" s="993"/>
      <c r="K32" s="993"/>
      <c r="L32" s="993"/>
      <c r="M32" s="824"/>
    </row>
    <row r="33" spans="1:13" s="986" customFormat="1" ht="17.100000000000001" customHeight="1">
      <c r="A33" s="960" t="s">
        <v>593</v>
      </c>
      <c r="B33" s="993">
        <v>24435762.562799998</v>
      </c>
      <c r="C33" s="993">
        <v>70791643.080000013</v>
      </c>
      <c r="D33" s="993">
        <v>109808597.98140001</v>
      </c>
      <c r="E33" s="993">
        <v>147469086.13999999</v>
      </c>
      <c r="F33" s="993">
        <v>176775538.183</v>
      </c>
      <c r="G33" s="993">
        <v>210163297.53099999</v>
      </c>
      <c r="H33" s="993">
        <v>484967220.88300002</v>
      </c>
      <c r="I33" s="993">
        <v>514776742.89600003</v>
      </c>
      <c r="J33" s="993">
        <v>1270537801.3410001</v>
      </c>
      <c r="K33" s="993">
        <v>1275704725.5110002</v>
      </c>
      <c r="L33" s="993">
        <v>4778759799.743</v>
      </c>
      <c r="M33" s="824">
        <f>SUM(B33:L33)</f>
        <v>9064190215.8521996</v>
      </c>
    </row>
    <row r="34" spans="1:13" s="986" customFormat="1" ht="17.100000000000001" customHeight="1">
      <c r="A34" s="960" t="s">
        <v>596</v>
      </c>
      <c r="B34" s="993">
        <v>1209511.797</v>
      </c>
      <c r="C34" s="993">
        <v>3269447.8420000002</v>
      </c>
      <c r="D34" s="993">
        <v>4907693.1260000002</v>
      </c>
      <c r="E34" s="993">
        <v>6442366.5940000005</v>
      </c>
      <c r="F34" s="993">
        <v>7471094.2149999999</v>
      </c>
      <c r="G34" s="993">
        <v>8494454.5020000003</v>
      </c>
      <c r="H34" s="993">
        <v>19438847.730999999</v>
      </c>
      <c r="I34" s="993">
        <v>19727461.186999999</v>
      </c>
      <c r="J34" s="993">
        <v>56463235.630999997</v>
      </c>
      <c r="K34" s="993">
        <v>54357340.695</v>
      </c>
      <c r="L34" s="993">
        <v>270936341.91500002</v>
      </c>
      <c r="M34" s="824">
        <f>SUM(B34:L34)</f>
        <v>452717795.23500001</v>
      </c>
    </row>
    <row r="35" spans="1:13" s="986" customFormat="1" ht="17.100000000000001" customHeight="1">
      <c r="A35" s="960" t="s">
        <v>598</v>
      </c>
      <c r="B35" s="993">
        <v>380968.33999999997</v>
      </c>
      <c r="C35" s="993">
        <v>1422442.2319999998</v>
      </c>
      <c r="D35" s="993">
        <v>2116183.7829999998</v>
      </c>
      <c r="E35" s="993">
        <v>2983127.0970000001</v>
      </c>
      <c r="F35" s="993">
        <v>3809265</v>
      </c>
      <c r="G35" s="993">
        <v>4262515</v>
      </c>
      <c r="H35" s="993">
        <v>9242815</v>
      </c>
      <c r="I35" s="993">
        <v>7801305.4139999999</v>
      </c>
      <c r="J35" s="993">
        <v>18800316.281999998</v>
      </c>
      <c r="K35" s="993">
        <v>16347865.699999999</v>
      </c>
      <c r="L35" s="993">
        <v>21666143</v>
      </c>
      <c r="M35" s="824">
        <f>SUM(B35:L35)</f>
        <v>88832946.848000005</v>
      </c>
    </row>
    <row r="36" spans="1:13" s="986" customFormat="1" ht="17.100000000000001" customHeight="1">
      <c r="A36" s="960" t="s">
        <v>601</v>
      </c>
      <c r="B36" s="993">
        <v>3250329.8984000003</v>
      </c>
      <c r="C36" s="993">
        <v>10983669.184999999</v>
      </c>
      <c r="D36" s="993">
        <v>18470323.978</v>
      </c>
      <c r="E36" s="993">
        <v>24033291.262000002</v>
      </c>
      <c r="F36" s="993">
        <v>27798212.649999999</v>
      </c>
      <c r="G36" s="993">
        <v>32404249.838</v>
      </c>
      <c r="H36" s="993">
        <v>71084303.957000002</v>
      </c>
      <c r="I36" s="993">
        <v>69437865.986999989</v>
      </c>
      <c r="J36" s="993">
        <v>170560558.25099999</v>
      </c>
      <c r="K36" s="993">
        <v>168445919.29299998</v>
      </c>
      <c r="L36" s="993">
        <v>479844064.55199999</v>
      </c>
      <c r="M36" s="824">
        <f>SUM(B36:L36)</f>
        <v>1076312788.8513999</v>
      </c>
    </row>
    <row r="37" spans="1:13" s="986" customFormat="1" ht="17.100000000000001" customHeight="1">
      <c r="A37" s="960" t="s">
        <v>604</v>
      </c>
      <c r="B37" s="993">
        <v>753763.21499999997</v>
      </c>
      <c r="C37" s="993">
        <v>2476476.2749999999</v>
      </c>
      <c r="D37" s="993">
        <v>4341076.9979999997</v>
      </c>
      <c r="E37" s="993">
        <v>6133109.4980000006</v>
      </c>
      <c r="F37" s="993">
        <v>7567630.8499999996</v>
      </c>
      <c r="G37" s="993">
        <v>8771332.4310000017</v>
      </c>
      <c r="H37" s="993">
        <v>17916285.304000001</v>
      </c>
      <c r="I37" s="993">
        <v>12183086.875</v>
      </c>
      <c r="J37" s="993">
        <v>29161604.824999999</v>
      </c>
      <c r="K37" s="993">
        <v>22266367.469999999</v>
      </c>
      <c r="L37" s="993">
        <v>29295241.594999999</v>
      </c>
      <c r="M37" s="824">
        <f>SUM(B37:L37)</f>
        <v>140865975.33600003</v>
      </c>
    </row>
    <row r="38" spans="1:13" s="986" customFormat="1" ht="17.100000000000001" customHeight="1">
      <c r="A38" s="960"/>
      <c r="B38" s="993"/>
      <c r="C38" s="993"/>
      <c r="D38" s="993"/>
      <c r="E38" s="993"/>
      <c r="F38" s="993"/>
      <c r="G38" s="993"/>
      <c r="H38" s="993"/>
      <c r="I38" s="993"/>
      <c r="J38" s="993"/>
      <c r="K38" s="993"/>
      <c r="L38" s="993"/>
      <c r="M38" s="824"/>
    </row>
    <row r="39" spans="1:13" s="986" customFormat="1" ht="17.100000000000001" customHeight="1">
      <c r="A39" s="960" t="s">
        <v>607</v>
      </c>
      <c r="B39" s="993">
        <v>1258478.575</v>
      </c>
      <c r="C39" s="993">
        <v>3744685.088</v>
      </c>
      <c r="D39" s="993">
        <v>6123676.6610000003</v>
      </c>
      <c r="E39" s="993">
        <v>7570408.4119999995</v>
      </c>
      <c r="F39" s="993">
        <v>8541861.5189999994</v>
      </c>
      <c r="G39" s="993">
        <v>9032805</v>
      </c>
      <c r="H39" s="993">
        <v>18340027.618999999</v>
      </c>
      <c r="I39" s="993">
        <v>15769813</v>
      </c>
      <c r="J39" s="993">
        <v>48014668.978</v>
      </c>
      <c r="K39" s="993">
        <v>35840176</v>
      </c>
      <c r="L39" s="993">
        <v>46103379.516000003</v>
      </c>
      <c r="M39" s="824">
        <f>SUM(B39:L39)</f>
        <v>200339980.368</v>
      </c>
    </row>
    <row r="40" spans="1:13" s="986" customFormat="1" ht="17.100000000000001" customHeight="1">
      <c r="A40" s="960" t="s">
        <v>610</v>
      </c>
      <c r="B40" s="993">
        <v>1914475.8840000001</v>
      </c>
      <c r="C40" s="993">
        <v>6138260.2029999997</v>
      </c>
      <c r="D40" s="993">
        <v>11670131.654999999</v>
      </c>
      <c r="E40" s="993">
        <v>14477227.964</v>
      </c>
      <c r="F40" s="993">
        <v>18971477.894000001</v>
      </c>
      <c r="G40" s="993">
        <v>22956503.430000003</v>
      </c>
      <c r="H40" s="993">
        <v>48560902.277999997</v>
      </c>
      <c r="I40" s="993">
        <v>47092277.989999995</v>
      </c>
      <c r="J40" s="993">
        <v>107248718.611</v>
      </c>
      <c r="K40" s="993">
        <v>94090819.795000002</v>
      </c>
      <c r="L40" s="993">
        <v>148532507.55000001</v>
      </c>
      <c r="M40" s="824">
        <f>SUM(B40:L40)</f>
        <v>521653303.25400001</v>
      </c>
    </row>
    <row r="41" spans="1:13" s="986" customFormat="1" ht="17.100000000000001" customHeight="1">
      <c r="A41" s="960" t="s">
        <v>613</v>
      </c>
      <c r="B41" s="993">
        <v>1045476.679</v>
      </c>
      <c r="C41" s="993">
        <v>3348853.8550000004</v>
      </c>
      <c r="D41" s="993">
        <v>5968358.2190000005</v>
      </c>
      <c r="E41" s="993">
        <v>7835217.4249999998</v>
      </c>
      <c r="F41" s="993">
        <v>8909234.4389999993</v>
      </c>
      <c r="G41" s="993">
        <v>10560234.721999999</v>
      </c>
      <c r="H41" s="993">
        <v>20148142.225000001</v>
      </c>
      <c r="I41" s="993">
        <v>18256967.380000003</v>
      </c>
      <c r="J41" s="993">
        <v>39548308.171999998</v>
      </c>
      <c r="K41" s="993">
        <v>27508154.969000001</v>
      </c>
      <c r="L41" s="993">
        <v>64959674.520999998</v>
      </c>
      <c r="M41" s="824">
        <f>SUM(B41:L41)</f>
        <v>208088622.60600001</v>
      </c>
    </row>
    <row r="42" spans="1:13" s="986" customFormat="1" ht="17.100000000000001" customHeight="1">
      <c r="A42" s="961" t="s">
        <v>616</v>
      </c>
      <c r="B42" s="993">
        <v>81146441.371600002</v>
      </c>
      <c r="C42" s="993">
        <v>212727510.54525</v>
      </c>
      <c r="D42" s="993">
        <v>318913429.41189998</v>
      </c>
      <c r="E42" s="993">
        <v>431562234.4228</v>
      </c>
      <c r="F42" s="993">
        <v>505425064.76120001</v>
      </c>
      <c r="G42" s="993">
        <v>566318415.46700001</v>
      </c>
      <c r="H42" s="993">
        <v>1310609455.5232</v>
      </c>
      <c r="I42" s="993">
        <v>1464988743.994</v>
      </c>
      <c r="J42" s="993">
        <v>3988810702.3600006</v>
      </c>
      <c r="K42" s="993">
        <v>4236450292.5524001</v>
      </c>
      <c r="L42" s="993">
        <v>39292357334.272003</v>
      </c>
      <c r="M42" s="824">
        <f>SUM(B42:L42)</f>
        <v>52409309624.681351</v>
      </c>
    </row>
    <row r="43" spans="1:13" s="986" customFormat="1" ht="17.100000000000001" customHeight="1">
      <c r="A43" s="961" t="s">
        <v>619</v>
      </c>
      <c r="B43" s="994">
        <v>5064269.8890000004</v>
      </c>
      <c r="C43" s="994">
        <v>13775569.631000001</v>
      </c>
      <c r="D43" s="994">
        <v>21183530.185000002</v>
      </c>
      <c r="E43" s="994">
        <v>27270306.074999999</v>
      </c>
      <c r="F43" s="994">
        <v>31328476.298</v>
      </c>
      <c r="G43" s="994">
        <v>38089268.703000002</v>
      </c>
      <c r="H43" s="994">
        <v>90813303.796000004</v>
      </c>
      <c r="I43" s="994">
        <v>96068418.834000006</v>
      </c>
      <c r="J43" s="994">
        <v>251064322.236</v>
      </c>
      <c r="K43" s="994">
        <v>271991214.64900005</v>
      </c>
      <c r="L43" s="994">
        <v>1670755896.891</v>
      </c>
      <c r="M43" s="824">
        <f>SUM(B43:L43)</f>
        <v>2517404577.1870003</v>
      </c>
    </row>
    <row r="44" spans="1:13" ht="17.399999999999999">
      <c r="A44" s="995" t="s">
        <v>825</v>
      </c>
      <c r="B44" s="996"/>
      <c r="C44" s="996"/>
      <c r="D44" s="996"/>
      <c r="E44" s="996"/>
      <c r="F44" s="996"/>
      <c r="G44" s="996"/>
      <c r="H44" s="996"/>
      <c r="I44" s="996"/>
      <c r="J44" s="996"/>
      <c r="K44" s="996"/>
      <c r="L44" s="996"/>
      <c r="M44" s="997"/>
    </row>
    <row r="45" spans="1:13" ht="17.100000000000001" customHeight="1">
      <c r="A45" s="980" t="s">
        <v>802</v>
      </c>
      <c r="B45" s="979"/>
      <c r="C45" s="979"/>
      <c r="D45" s="979"/>
      <c r="E45" s="979"/>
      <c r="F45" s="979"/>
      <c r="G45" s="979"/>
      <c r="H45" s="979"/>
      <c r="I45" s="979"/>
      <c r="J45" s="979"/>
      <c r="K45" s="979"/>
      <c r="L45" s="979"/>
    </row>
    <row r="46" spans="1:13" ht="17.100000000000001" customHeight="1">
      <c r="A46" s="981" t="str">
        <f>A3</f>
        <v>Taxable Year 2011</v>
      </c>
      <c r="B46" s="979"/>
      <c r="C46" s="979"/>
      <c r="D46" s="979"/>
      <c r="E46" s="979"/>
      <c r="F46" s="979"/>
      <c r="G46" s="979"/>
      <c r="H46" s="979"/>
      <c r="I46" s="979"/>
      <c r="J46" s="979"/>
      <c r="K46" s="979"/>
      <c r="L46" s="979"/>
    </row>
    <row r="47" spans="1:13" ht="17.100000000000001" customHeight="1" thickBot="1">
      <c r="B47" s="998">
        <f>SUM(B9:B43)</f>
        <v>181890228.12345001</v>
      </c>
      <c r="C47" s="998">
        <f t="shared" ref="C47:M47" si="0">SUM(C9:C43)</f>
        <v>516858810.35304993</v>
      </c>
      <c r="D47" s="998">
        <f t="shared" si="0"/>
        <v>814034364.78289986</v>
      </c>
      <c r="E47" s="998">
        <f t="shared" si="0"/>
        <v>1106622621.8025999</v>
      </c>
      <c r="F47" s="998">
        <f t="shared" si="0"/>
        <v>1321682412.6752002</v>
      </c>
      <c r="G47" s="998">
        <f t="shared" si="0"/>
        <v>1486722281.434</v>
      </c>
      <c r="H47" s="998">
        <f t="shared" si="0"/>
        <v>3342721545.8297</v>
      </c>
      <c r="I47" s="998">
        <f t="shared" si="0"/>
        <v>3602231853.6080003</v>
      </c>
      <c r="J47" s="998">
        <f t="shared" si="0"/>
        <v>9335543567.1539993</v>
      </c>
      <c r="K47" s="998">
        <f t="shared" si="0"/>
        <v>9179844144.3803997</v>
      </c>
      <c r="L47" s="998">
        <f t="shared" si="0"/>
        <v>60570276002.233101</v>
      </c>
      <c r="M47" s="998">
        <f t="shared" si="0"/>
        <v>91458427832.376389</v>
      </c>
    </row>
    <row r="48" spans="1:13" s="986" customFormat="1" ht="17.100000000000001" customHeight="1">
      <c r="A48" s="983"/>
      <c r="B48" s="999"/>
      <c r="C48" s="985"/>
      <c r="D48" s="985"/>
      <c r="E48" s="985"/>
      <c r="F48" s="985"/>
      <c r="G48" s="985"/>
      <c r="H48" s="985"/>
      <c r="I48" s="985"/>
      <c r="J48" s="985"/>
      <c r="K48" s="985"/>
      <c r="L48" s="985"/>
      <c r="M48" s="985" t="s">
        <v>25</v>
      </c>
    </row>
    <row r="49" spans="1:13" s="986" customFormat="1" ht="17.100000000000001" customHeight="1">
      <c r="A49" s="987"/>
      <c r="B49" s="988"/>
      <c r="C49" s="988" t="s">
        <v>804</v>
      </c>
      <c r="D49" s="988" t="s">
        <v>805</v>
      </c>
      <c r="E49" s="988" t="s">
        <v>806</v>
      </c>
      <c r="F49" s="988" t="s">
        <v>807</v>
      </c>
      <c r="G49" s="988" t="s">
        <v>808</v>
      </c>
      <c r="H49" s="988" t="s">
        <v>809</v>
      </c>
      <c r="I49" s="988" t="s">
        <v>810</v>
      </c>
      <c r="J49" s="988" t="s">
        <v>811</v>
      </c>
      <c r="K49" s="988" t="s">
        <v>812</v>
      </c>
      <c r="L49" s="988" t="s">
        <v>813</v>
      </c>
      <c r="M49" s="988" t="s">
        <v>474</v>
      </c>
    </row>
    <row r="50" spans="1:13" s="986" customFormat="1" ht="17.100000000000001" customHeight="1">
      <c r="A50" s="989" t="s">
        <v>33</v>
      </c>
      <c r="B50" s="988" t="s">
        <v>814</v>
      </c>
      <c r="C50" s="988" t="s">
        <v>815</v>
      </c>
      <c r="D50" s="988" t="s">
        <v>816</v>
      </c>
      <c r="E50" s="988" t="s">
        <v>817</v>
      </c>
      <c r="F50" s="988" t="s">
        <v>818</v>
      </c>
      <c r="G50" s="988" t="s">
        <v>819</v>
      </c>
      <c r="H50" s="988" t="s">
        <v>820</v>
      </c>
      <c r="I50" s="988" t="s">
        <v>821</v>
      </c>
      <c r="J50" s="988" t="s">
        <v>822</v>
      </c>
      <c r="K50" s="988" t="s">
        <v>823</v>
      </c>
      <c r="L50" s="988" t="s">
        <v>824</v>
      </c>
      <c r="M50" s="988" t="s">
        <v>32</v>
      </c>
    </row>
    <row r="51" spans="1:13" ht="17.100000000000001" customHeight="1">
      <c r="A51" s="1000"/>
      <c r="B51" s="1001"/>
      <c r="C51" s="1001"/>
      <c r="D51" s="1001"/>
      <c r="E51" s="1001"/>
      <c r="F51" s="1001"/>
      <c r="G51" s="1001"/>
      <c r="H51" s="1001"/>
      <c r="I51" s="1001"/>
      <c r="J51" s="1001"/>
      <c r="K51" s="1001"/>
      <c r="L51" s="1001"/>
      <c r="M51" s="1002"/>
    </row>
    <row r="52" spans="1:13" s="986" customFormat="1" ht="17.100000000000001" customHeight="1">
      <c r="A52" s="960" t="s">
        <v>622</v>
      </c>
      <c r="B52" s="891">
        <v>1193394.98</v>
      </c>
      <c r="C52" s="891">
        <v>3681476.8480000002</v>
      </c>
      <c r="D52" s="891">
        <v>6888878.5279999999</v>
      </c>
      <c r="E52" s="891">
        <v>9497745.2290000003</v>
      </c>
      <c r="F52" s="891">
        <v>10851438</v>
      </c>
      <c r="G52" s="891">
        <v>11688048.857999999</v>
      </c>
      <c r="H52" s="891">
        <v>23494534.873999998</v>
      </c>
      <c r="I52" s="891">
        <v>25156675.877</v>
      </c>
      <c r="J52" s="891">
        <v>55644653.181000002</v>
      </c>
      <c r="K52" s="891">
        <v>42338807.213</v>
      </c>
      <c r="L52" s="891">
        <v>65937901.906999998</v>
      </c>
      <c r="M52" s="892">
        <f>SUM(B52:L52)</f>
        <v>256373555.495</v>
      </c>
    </row>
    <row r="53" spans="1:13" s="986" customFormat="1" ht="17.100000000000001" customHeight="1">
      <c r="A53" s="960" t="s">
        <v>624</v>
      </c>
      <c r="B53" s="993">
        <v>1631384.3419999999</v>
      </c>
      <c r="C53" s="993">
        <v>4904194.2429999998</v>
      </c>
      <c r="D53" s="993">
        <v>7822136.5930000003</v>
      </c>
      <c r="E53" s="993">
        <v>10755112.646</v>
      </c>
      <c r="F53" s="993">
        <v>14591450.704</v>
      </c>
      <c r="G53" s="993">
        <v>17775720</v>
      </c>
      <c r="H53" s="993">
        <v>39811036.489999995</v>
      </c>
      <c r="I53" s="993">
        <v>42456528.706</v>
      </c>
      <c r="J53" s="993">
        <v>108520551.866</v>
      </c>
      <c r="K53" s="993">
        <v>104386552.09300001</v>
      </c>
      <c r="L53" s="993">
        <v>220798165.294</v>
      </c>
      <c r="M53" s="824">
        <f>SUM(B53:L53)</f>
        <v>573452832.977</v>
      </c>
    </row>
    <row r="54" spans="1:13" s="986" customFormat="1" ht="17.100000000000001" customHeight="1">
      <c r="A54" s="960" t="s">
        <v>627</v>
      </c>
      <c r="B54" s="993">
        <v>4465198.1849999996</v>
      </c>
      <c r="C54" s="993">
        <v>13750067.143000001</v>
      </c>
      <c r="D54" s="993">
        <v>23496014.785999998</v>
      </c>
      <c r="E54" s="993">
        <v>32508966.270999998</v>
      </c>
      <c r="F54" s="993">
        <v>39700170.590999998</v>
      </c>
      <c r="G54" s="993">
        <v>46393246.902999997</v>
      </c>
      <c r="H54" s="993">
        <v>88413333.693999991</v>
      </c>
      <c r="I54" s="993">
        <v>81033914.101999998</v>
      </c>
      <c r="J54" s="993">
        <v>184809607.08500001</v>
      </c>
      <c r="K54" s="993">
        <v>141755726.43699998</v>
      </c>
      <c r="L54" s="993">
        <v>344795234.13800001</v>
      </c>
      <c r="M54" s="824">
        <f>SUM(B54:L54)</f>
        <v>1001121479.335</v>
      </c>
    </row>
    <row r="55" spans="1:13" s="986" customFormat="1" ht="17.100000000000001" customHeight="1">
      <c r="A55" s="960" t="s">
        <v>629</v>
      </c>
      <c r="B55" s="993">
        <v>7094360.3474000003</v>
      </c>
      <c r="C55" s="993">
        <v>19230654.277999997</v>
      </c>
      <c r="D55" s="993">
        <v>31086844.439999998</v>
      </c>
      <c r="E55" s="993">
        <v>39575507.185000002</v>
      </c>
      <c r="F55" s="993">
        <v>48334247.271999992</v>
      </c>
      <c r="G55" s="993">
        <v>55080893.961000003</v>
      </c>
      <c r="H55" s="993">
        <v>124220514.53</v>
      </c>
      <c r="I55" s="993">
        <v>128595384.73199999</v>
      </c>
      <c r="J55" s="993">
        <v>319392562.06099999</v>
      </c>
      <c r="K55" s="993">
        <v>304295575.41400003</v>
      </c>
      <c r="L55" s="993">
        <v>889553183.36000001</v>
      </c>
      <c r="M55" s="824">
        <f>SUM(B55:L55)</f>
        <v>1966459727.5804</v>
      </c>
    </row>
    <row r="56" spans="1:13" s="986" customFormat="1" ht="17.100000000000001" customHeight="1">
      <c r="A56" s="960" t="s">
        <v>632</v>
      </c>
      <c r="B56" s="993">
        <v>1456668.0736</v>
      </c>
      <c r="C56" s="993">
        <v>4682515.1610000003</v>
      </c>
      <c r="D56" s="993">
        <v>7961030.6639999999</v>
      </c>
      <c r="E56" s="993">
        <v>9939974.7190000005</v>
      </c>
      <c r="F56" s="993">
        <v>12343297.368000001</v>
      </c>
      <c r="G56" s="993">
        <v>13687348.381999999</v>
      </c>
      <c r="H56" s="993">
        <v>29560425.225000001</v>
      </c>
      <c r="I56" s="993">
        <v>30713582.699999999</v>
      </c>
      <c r="J56" s="993">
        <v>64199476.633000001</v>
      </c>
      <c r="K56" s="993">
        <v>49717770.452</v>
      </c>
      <c r="L56" s="993">
        <v>70804450.399000004</v>
      </c>
      <c r="M56" s="824">
        <f>SUM(B56:L56)</f>
        <v>295066539.7766</v>
      </c>
    </row>
    <row r="57" spans="1:13" s="986" customFormat="1" ht="17.100000000000001" customHeight="1">
      <c r="A57" s="960"/>
      <c r="B57" s="993"/>
      <c r="C57" s="993"/>
      <c r="D57" s="993"/>
      <c r="E57" s="993"/>
      <c r="F57" s="993"/>
      <c r="G57" s="993"/>
      <c r="H57" s="993"/>
      <c r="I57" s="993"/>
      <c r="J57" s="993"/>
      <c r="K57" s="993"/>
      <c r="L57" s="993"/>
      <c r="M57" s="824"/>
    </row>
    <row r="58" spans="1:13" s="986" customFormat="1" ht="17.100000000000001" customHeight="1">
      <c r="A58" s="960" t="s">
        <v>635</v>
      </c>
      <c r="B58" s="993">
        <v>2909438.8039999995</v>
      </c>
      <c r="C58" s="993">
        <v>9925251.9219999984</v>
      </c>
      <c r="D58" s="993">
        <v>15653696.726399999</v>
      </c>
      <c r="E58" s="993">
        <v>20552833.923999999</v>
      </c>
      <c r="F58" s="993">
        <v>24759995.858999997</v>
      </c>
      <c r="G58" s="993">
        <v>26081794.204999998</v>
      </c>
      <c r="H58" s="993">
        <v>60493764.326000005</v>
      </c>
      <c r="I58" s="993">
        <v>60757921.127000004</v>
      </c>
      <c r="J58" s="993">
        <v>156100767.752</v>
      </c>
      <c r="K58" s="993">
        <v>151313492.382</v>
      </c>
      <c r="L58" s="993">
        <v>299725635.83900005</v>
      </c>
      <c r="M58" s="824">
        <f>SUM(B58:L58)</f>
        <v>828274592.8664</v>
      </c>
    </row>
    <row r="59" spans="1:13" s="986" customFormat="1" ht="17.100000000000001" customHeight="1">
      <c r="A59" s="960" t="s">
        <v>637</v>
      </c>
      <c r="B59" s="993">
        <v>1483634.3470000001</v>
      </c>
      <c r="C59" s="993">
        <v>3899142.2519999999</v>
      </c>
      <c r="D59" s="993">
        <v>6601594.9939999999</v>
      </c>
      <c r="E59" s="993">
        <v>9098828.0520000011</v>
      </c>
      <c r="F59" s="993">
        <v>10974463.42</v>
      </c>
      <c r="G59" s="993">
        <v>12672613.713</v>
      </c>
      <c r="H59" s="993">
        <v>26351425.653999999</v>
      </c>
      <c r="I59" s="993">
        <v>27222960.350000001</v>
      </c>
      <c r="J59" s="993">
        <v>72401761.581999987</v>
      </c>
      <c r="K59" s="993">
        <v>80599278.048999995</v>
      </c>
      <c r="L59" s="993">
        <v>851026566.57600009</v>
      </c>
      <c r="M59" s="824">
        <f>SUM(B59:L59)</f>
        <v>1102332268.9890001</v>
      </c>
    </row>
    <row r="60" spans="1:13" s="986" customFormat="1" ht="17.100000000000001" customHeight="1">
      <c r="A60" s="960" t="s">
        <v>639</v>
      </c>
      <c r="B60" s="993">
        <v>1424796.3900000001</v>
      </c>
      <c r="C60" s="993">
        <v>4319292.1900000004</v>
      </c>
      <c r="D60" s="993">
        <v>7715953.2300000004</v>
      </c>
      <c r="E60" s="993">
        <v>11891505.607000001</v>
      </c>
      <c r="F60" s="993">
        <v>14284297.529000001</v>
      </c>
      <c r="G60" s="993">
        <v>13015250.899999999</v>
      </c>
      <c r="H60" s="993">
        <v>25778959.614399999</v>
      </c>
      <c r="I60" s="993">
        <v>23382074.114</v>
      </c>
      <c r="J60" s="993">
        <v>44909926.744999997</v>
      </c>
      <c r="K60" s="993">
        <v>28495537.936000001</v>
      </c>
      <c r="L60" s="993">
        <v>29225235.040999997</v>
      </c>
      <c r="M60" s="824">
        <f>SUM(B60:L60)</f>
        <v>204442829.29640001</v>
      </c>
    </row>
    <row r="61" spans="1:13" s="986" customFormat="1" ht="17.100000000000001" customHeight="1">
      <c r="A61" s="960" t="s">
        <v>642</v>
      </c>
      <c r="B61" s="993">
        <v>1315689.58</v>
      </c>
      <c r="C61" s="993">
        <v>3798656.0920000002</v>
      </c>
      <c r="D61" s="993">
        <v>7329112.7599999998</v>
      </c>
      <c r="E61" s="993">
        <v>9417442.9110000003</v>
      </c>
      <c r="F61" s="993">
        <v>12652569.619999999</v>
      </c>
      <c r="G61" s="993">
        <v>13901317.572999999</v>
      </c>
      <c r="H61" s="993">
        <v>27543476.538000003</v>
      </c>
      <c r="I61" s="993">
        <v>29130026.920000002</v>
      </c>
      <c r="J61" s="993">
        <v>72412274.76699999</v>
      </c>
      <c r="K61" s="993">
        <v>69470463</v>
      </c>
      <c r="L61" s="993">
        <v>142655094.43199998</v>
      </c>
      <c r="M61" s="824">
        <f>SUM(B61:L61)</f>
        <v>389626124.19299996</v>
      </c>
    </row>
    <row r="62" spans="1:13" s="986" customFormat="1" ht="17.100000000000001" customHeight="1">
      <c r="A62" s="960" t="s">
        <v>645</v>
      </c>
      <c r="B62" s="993">
        <v>869806.24540000013</v>
      </c>
      <c r="C62" s="993">
        <v>3234423.6129999999</v>
      </c>
      <c r="D62" s="993">
        <v>5500103.6169999996</v>
      </c>
      <c r="E62" s="993">
        <v>8241939.79</v>
      </c>
      <c r="F62" s="993">
        <v>9561617.2659999989</v>
      </c>
      <c r="G62" s="993">
        <v>13776116.988</v>
      </c>
      <c r="H62" s="993">
        <v>24899661.59</v>
      </c>
      <c r="I62" s="993">
        <v>18795482.176000003</v>
      </c>
      <c r="J62" s="993">
        <v>34727198.403999999</v>
      </c>
      <c r="K62" s="993">
        <v>22150687.144000001</v>
      </c>
      <c r="L62" s="993">
        <v>42437453.495000005</v>
      </c>
      <c r="M62" s="824">
        <f>SUM(B62:L62)</f>
        <v>184194490.32840002</v>
      </c>
    </row>
    <row r="63" spans="1:13" s="986" customFormat="1" ht="17.100000000000001" customHeight="1">
      <c r="A63" s="960"/>
      <c r="B63" s="824"/>
      <c r="C63" s="1003"/>
      <c r="D63" s="824"/>
      <c r="E63" s="824"/>
      <c r="F63" s="824"/>
      <c r="G63" s="824"/>
      <c r="H63" s="824"/>
      <c r="I63" s="824"/>
      <c r="J63" s="824"/>
      <c r="K63" s="824"/>
      <c r="L63" s="824"/>
      <c r="M63" s="824"/>
    </row>
    <row r="64" spans="1:13" s="986" customFormat="1" ht="17.100000000000001" customHeight="1">
      <c r="A64" s="960" t="s">
        <v>521</v>
      </c>
      <c r="B64" s="993">
        <v>3191181.8675000002</v>
      </c>
      <c r="C64" s="824">
        <v>10533056.086999999</v>
      </c>
      <c r="D64" s="993">
        <v>18532197.938999999</v>
      </c>
      <c r="E64" s="993">
        <v>22769580.576000001</v>
      </c>
      <c r="F64" s="993">
        <v>28110819.776999999</v>
      </c>
      <c r="G64" s="993">
        <v>31651088.524000004</v>
      </c>
      <c r="H64" s="993">
        <v>62876280.255000003</v>
      </c>
      <c r="I64" s="993">
        <v>48258738.833000004</v>
      </c>
      <c r="J64" s="824">
        <v>104409930.34100001</v>
      </c>
      <c r="K64" s="993">
        <v>73588052.203999996</v>
      </c>
      <c r="L64" s="993">
        <v>127483717.764</v>
      </c>
      <c r="M64" s="824">
        <f>SUM(B64:L64)</f>
        <v>531404644.16750002</v>
      </c>
    </row>
    <row r="65" spans="1:13" s="986" customFormat="1" ht="17.100000000000001" customHeight="1">
      <c r="A65" s="960" t="s">
        <v>525</v>
      </c>
      <c r="B65" s="993">
        <v>8728377.3489999995</v>
      </c>
      <c r="C65" s="993">
        <v>22823631.585999999</v>
      </c>
      <c r="D65" s="993">
        <v>33392597.812999997</v>
      </c>
      <c r="E65" s="993">
        <v>44230294.368000001</v>
      </c>
      <c r="F65" s="993">
        <v>55051524.166000001</v>
      </c>
      <c r="G65" s="993">
        <v>58774798.482000001</v>
      </c>
      <c r="H65" s="993">
        <v>140404860.25200003</v>
      </c>
      <c r="I65" s="993">
        <v>151819567.67199999</v>
      </c>
      <c r="J65" s="824">
        <v>388781618.50599998</v>
      </c>
      <c r="K65" s="993">
        <v>416961551.56299996</v>
      </c>
      <c r="L65" s="993">
        <v>1701771218.78</v>
      </c>
      <c r="M65" s="824">
        <f>SUM(B65:L65)</f>
        <v>3022740040.5369997</v>
      </c>
    </row>
    <row r="66" spans="1:13" s="986" customFormat="1" ht="17.100000000000001" customHeight="1">
      <c r="A66" s="960" t="s">
        <v>529</v>
      </c>
      <c r="B66" s="993">
        <v>23315861.832199998</v>
      </c>
      <c r="C66" s="993">
        <v>73673673.215499997</v>
      </c>
      <c r="D66" s="993">
        <v>121227736.103</v>
      </c>
      <c r="E66" s="993">
        <v>163402467.48800001</v>
      </c>
      <c r="F66" s="993">
        <v>203750624.48300001</v>
      </c>
      <c r="G66" s="993">
        <v>236871552.581</v>
      </c>
      <c r="H66" s="993">
        <v>546519732.25500011</v>
      </c>
      <c r="I66" s="993">
        <v>550195269.87100005</v>
      </c>
      <c r="J66" s="824">
        <v>1216200333.546</v>
      </c>
      <c r="K66" s="993">
        <v>1037806796.6969999</v>
      </c>
      <c r="L66" s="993">
        <v>4766672677.5559998</v>
      </c>
      <c r="M66" s="824">
        <f>SUM(B66:L66)</f>
        <v>8939636725.6277008</v>
      </c>
    </row>
    <row r="67" spans="1:13" s="986" customFormat="1" ht="17.100000000000001" customHeight="1">
      <c r="A67" s="960" t="s">
        <v>533</v>
      </c>
      <c r="B67" s="993">
        <v>4944535.801</v>
      </c>
      <c r="C67" s="993">
        <v>16605700.477000002</v>
      </c>
      <c r="D67" s="993">
        <v>31261729.942999996</v>
      </c>
      <c r="E67" s="993">
        <v>44552950.502000004</v>
      </c>
      <c r="F67" s="993">
        <v>50162350.281999998</v>
      </c>
      <c r="G67" s="993">
        <v>50256637.640000001</v>
      </c>
      <c r="H67" s="993">
        <v>81925727.09799999</v>
      </c>
      <c r="I67" s="993">
        <v>75067487.254999995</v>
      </c>
      <c r="J67" s="824">
        <v>147972011.8114</v>
      </c>
      <c r="K67" s="993">
        <v>100399628.29799999</v>
      </c>
      <c r="L67" s="993">
        <v>166154604.74800003</v>
      </c>
      <c r="M67" s="824">
        <f>SUM(B67:L67)</f>
        <v>769303363.85539997</v>
      </c>
    </row>
    <row r="68" spans="1:13" s="986" customFormat="1" ht="17.100000000000001" customHeight="1">
      <c r="A68" s="960" t="s">
        <v>537</v>
      </c>
      <c r="B68" s="993">
        <v>235671.111</v>
      </c>
      <c r="C68" s="993">
        <v>660425.32200000004</v>
      </c>
      <c r="D68" s="993">
        <v>1203082.76</v>
      </c>
      <c r="E68" s="993">
        <v>1734250.8910000001</v>
      </c>
      <c r="F68" s="993">
        <v>1382641</v>
      </c>
      <c r="G68" s="993">
        <v>2016348</v>
      </c>
      <c r="H68" s="993">
        <v>4139700</v>
      </c>
      <c r="I68" s="993">
        <v>3403556</v>
      </c>
      <c r="J68" s="993">
        <v>8328244.8229999999</v>
      </c>
      <c r="K68" s="993">
        <v>4286260</v>
      </c>
      <c r="L68" s="993">
        <v>13446781</v>
      </c>
      <c r="M68" s="824">
        <f>SUM(B68:L68)</f>
        <v>40836960.906999998</v>
      </c>
    </row>
    <row r="69" spans="1:13" s="986" customFormat="1" ht="17.100000000000001" customHeight="1">
      <c r="A69" s="960"/>
      <c r="B69" s="993"/>
      <c r="C69" s="993"/>
      <c r="D69" s="993"/>
      <c r="E69" s="993"/>
      <c r="F69" s="993"/>
      <c r="G69" s="993"/>
      <c r="H69" s="993"/>
      <c r="I69" s="993"/>
      <c r="J69" s="993"/>
      <c r="K69" s="993"/>
      <c r="L69" s="993"/>
      <c r="M69" s="824"/>
    </row>
    <row r="70" spans="1:13" s="986" customFormat="1" ht="17.100000000000001" customHeight="1">
      <c r="A70" s="960" t="s">
        <v>541</v>
      </c>
      <c r="B70" s="993">
        <v>2552628.6230000001</v>
      </c>
      <c r="C70" s="993">
        <v>8350438.3910000008</v>
      </c>
      <c r="D70" s="993">
        <v>13015253.48</v>
      </c>
      <c r="E70" s="993">
        <v>18472957.622000001</v>
      </c>
      <c r="F70" s="993">
        <v>22437515.062000003</v>
      </c>
      <c r="G70" s="993">
        <v>24712327.933800001</v>
      </c>
      <c r="H70" s="993">
        <v>50629820.978</v>
      </c>
      <c r="I70" s="993">
        <v>52585336.344999999</v>
      </c>
      <c r="J70" s="993">
        <v>137136408.34400001</v>
      </c>
      <c r="K70" s="993">
        <v>140911298.74399999</v>
      </c>
      <c r="L70" s="993">
        <v>464308893.31300002</v>
      </c>
      <c r="M70" s="824">
        <f>SUM(B70:L70)</f>
        <v>935112878.83579993</v>
      </c>
    </row>
    <row r="71" spans="1:13" s="986" customFormat="1" ht="17.100000000000001" customHeight="1">
      <c r="A71" s="960" t="s">
        <v>545</v>
      </c>
      <c r="B71" s="993">
        <v>6189706.6220000004</v>
      </c>
      <c r="C71" s="993">
        <v>15928779.068</v>
      </c>
      <c r="D71" s="993">
        <v>24648632.675999999</v>
      </c>
      <c r="E71" s="993">
        <v>31743059.616999999</v>
      </c>
      <c r="F71" s="993">
        <v>38806961.795999996</v>
      </c>
      <c r="G71" s="993">
        <v>41496297.469000004</v>
      </c>
      <c r="H71" s="993">
        <v>90014994.292999998</v>
      </c>
      <c r="I71" s="993">
        <v>97661175.672999993</v>
      </c>
      <c r="J71" s="993">
        <v>256215937.19999999</v>
      </c>
      <c r="K71" s="993">
        <v>283306543.33399999</v>
      </c>
      <c r="L71" s="993">
        <v>1419501859.5810001</v>
      </c>
      <c r="M71" s="824">
        <f>SUM(B71:L71)</f>
        <v>2305513947.329</v>
      </c>
    </row>
    <row r="72" spans="1:13" s="986" customFormat="1" ht="17.100000000000001" customHeight="1">
      <c r="A72" s="960" t="s">
        <v>549</v>
      </c>
      <c r="B72" s="993">
        <v>437965.37000000005</v>
      </c>
      <c r="C72" s="993">
        <v>1790855.9990000001</v>
      </c>
      <c r="D72" s="993">
        <v>3403934.5640000002</v>
      </c>
      <c r="E72" s="993">
        <v>4445946.398</v>
      </c>
      <c r="F72" s="993">
        <v>6139467.4720000001</v>
      </c>
      <c r="G72" s="993">
        <v>5699939.2659999998</v>
      </c>
      <c r="H72" s="993">
        <v>12064034</v>
      </c>
      <c r="I72" s="993">
        <v>11953277</v>
      </c>
      <c r="J72" s="993">
        <v>27077837</v>
      </c>
      <c r="K72" s="993">
        <v>21005131</v>
      </c>
      <c r="L72" s="993">
        <v>38711903.424000002</v>
      </c>
      <c r="M72" s="824">
        <f>SUM(B72:L72)</f>
        <v>132730291.493</v>
      </c>
    </row>
    <row r="73" spans="1:13" s="986" customFormat="1" ht="17.100000000000001" customHeight="1">
      <c r="A73" s="960" t="s">
        <v>553</v>
      </c>
      <c r="B73" s="993">
        <v>1715411.4270000001</v>
      </c>
      <c r="C73" s="993">
        <v>4819649.1459999997</v>
      </c>
      <c r="D73" s="993">
        <v>7733048.9180000005</v>
      </c>
      <c r="E73" s="993">
        <v>9161465.0410000011</v>
      </c>
      <c r="F73" s="993">
        <v>10618171.491999999</v>
      </c>
      <c r="G73" s="993">
        <v>11778375.608000001</v>
      </c>
      <c r="H73" s="993">
        <v>27336848.965999998</v>
      </c>
      <c r="I73" s="993">
        <v>29332599.177999999</v>
      </c>
      <c r="J73" s="993">
        <v>81200254.265000001</v>
      </c>
      <c r="K73" s="993">
        <v>104105460.456</v>
      </c>
      <c r="L73" s="993">
        <v>367025089.26599997</v>
      </c>
      <c r="M73" s="824">
        <f>SUM(B73:L73)</f>
        <v>654826373.76300001</v>
      </c>
    </row>
    <row r="74" spans="1:13" s="986" customFormat="1" ht="17.100000000000001" customHeight="1">
      <c r="A74" s="960" t="s">
        <v>557</v>
      </c>
      <c r="B74" s="993">
        <v>1342329.1170000001</v>
      </c>
      <c r="C74" s="993">
        <v>3579579.4920000001</v>
      </c>
      <c r="D74" s="993">
        <v>5904209.3670000006</v>
      </c>
      <c r="E74" s="993">
        <v>8413798.3619999997</v>
      </c>
      <c r="F74" s="993">
        <v>10380980.587000001</v>
      </c>
      <c r="G74" s="993">
        <v>11720588.885</v>
      </c>
      <c r="H74" s="993">
        <v>27002244.564999998</v>
      </c>
      <c r="I74" s="993">
        <v>28262126.226</v>
      </c>
      <c r="J74" s="993">
        <v>78865839.710000008</v>
      </c>
      <c r="K74" s="993">
        <v>69130013.972000003</v>
      </c>
      <c r="L74" s="993">
        <v>115591610.03</v>
      </c>
      <c r="M74" s="824">
        <f>SUM(B74:L74)</f>
        <v>360193320.31299996</v>
      </c>
    </row>
    <row r="75" spans="1:13" s="986" customFormat="1" ht="17.100000000000001" customHeight="1">
      <c r="B75" s="824"/>
      <c r="C75" s="1003"/>
      <c r="D75" s="824"/>
      <c r="E75" s="1003"/>
      <c r="F75" s="824"/>
      <c r="G75" s="1003"/>
      <c r="H75" s="824"/>
      <c r="I75" s="1003"/>
      <c r="J75" s="824"/>
      <c r="K75" s="824"/>
      <c r="L75" s="824"/>
      <c r="M75" s="824"/>
    </row>
    <row r="76" spans="1:13" s="986" customFormat="1" ht="17.100000000000001" customHeight="1">
      <c r="A76" s="960" t="s">
        <v>561</v>
      </c>
      <c r="B76" s="993">
        <v>1032908.1629999999</v>
      </c>
      <c r="C76" s="824">
        <v>3283991.0159999998</v>
      </c>
      <c r="D76" s="993">
        <v>6126311.1390000004</v>
      </c>
      <c r="E76" s="824">
        <v>8164894.9380000001</v>
      </c>
      <c r="F76" s="993">
        <v>9095263.1600000001</v>
      </c>
      <c r="G76" s="824">
        <v>8634312.9780000001</v>
      </c>
      <c r="H76" s="993">
        <v>19334495.414000001</v>
      </c>
      <c r="I76" s="824">
        <v>18709515.791000001</v>
      </c>
      <c r="J76" s="993">
        <v>39439862.848000005</v>
      </c>
      <c r="K76" s="993">
        <v>36084753</v>
      </c>
      <c r="L76" s="993">
        <v>133110275.873</v>
      </c>
      <c r="M76" s="824">
        <f>SUM(B76:L76)</f>
        <v>283016584.32000005</v>
      </c>
    </row>
    <row r="77" spans="1:13" s="986" customFormat="1" ht="17.100000000000001" customHeight="1">
      <c r="A77" s="960" t="s">
        <v>565</v>
      </c>
      <c r="B77" s="993">
        <v>1884937.7399999998</v>
      </c>
      <c r="C77" s="993">
        <v>6742675.0519999992</v>
      </c>
      <c r="D77" s="993">
        <v>11034155.017000001</v>
      </c>
      <c r="E77" s="993">
        <v>13654912.528999999</v>
      </c>
      <c r="F77" s="993">
        <v>13487531.535</v>
      </c>
      <c r="G77" s="993">
        <v>14618679.521</v>
      </c>
      <c r="H77" s="993">
        <v>28940667.416000001</v>
      </c>
      <c r="I77" s="993">
        <v>27727106.855000004</v>
      </c>
      <c r="J77" s="993">
        <v>65608822.842</v>
      </c>
      <c r="K77" s="993">
        <v>44079676.581999995</v>
      </c>
      <c r="L77" s="993">
        <v>68794221.042999998</v>
      </c>
      <c r="M77" s="824">
        <f>SUM(B77:L77)</f>
        <v>296573386.13199997</v>
      </c>
    </row>
    <row r="78" spans="1:13" s="986" customFormat="1" ht="17.100000000000001" customHeight="1">
      <c r="A78" s="960" t="s">
        <v>569</v>
      </c>
      <c r="B78" s="993">
        <v>22492902.367200002</v>
      </c>
      <c r="C78" s="993">
        <v>53046579.728999995</v>
      </c>
      <c r="D78" s="993">
        <v>76047027.066</v>
      </c>
      <c r="E78" s="993">
        <v>98263043.769000009</v>
      </c>
      <c r="F78" s="993">
        <v>121674211.56000002</v>
      </c>
      <c r="G78" s="993">
        <v>142296925.09499997</v>
      </c>
      <c r="H78" s="993">
        <v>324025297.36300004</v>
      </c>
      <c r="I78" s="993">
        <v>361794582.23399997</v>
      </c>
      <c r="J78" s="993">
        <v>1041985641.961</v>
      </c>
      <c r="K78" s="993">
        <v>1219543794.9170001</v>
      </c>
      <c r="L78" s="993">
        <v>11246699167.444</v>
      </c>
      <c r="M78" s="824">
        <f>SUM(B78:L78)</f>
        <v>14707869173.505199</v>
      </c>
    </row>
    <row r="79" spans="1:13" s="986" customFormat="1" ht="17.100000000000001" customHeight="1">
      <c r="A79" s="960" t="s">
        <v>573</v>
      </c>
      <c r="B79" s="993">
        <v>2221199.0259999996</v>
      </c>
      <c r="C79" s="993">
        <v>7329504.1860000007</v>
      </c>
      <c r="D79" s="993">
        <v>12869720.343</v>
      </c>
      <c r="E79" s="993">
        <v>16608588.677999999</v>
      </c>
      <c r="F79" s="993">
        <v>22932049.252</v>
      </c>
      <c r="G79" s="993">
        <v>24380838.914999999</v>
      </c>
      <c r="H79" s="993">
        <v>52900718.936999999</v>
      </c>
      <c r="I79" s="993">
        <v>53257631.350000001</v>
      </c>
      <c r="J79" s="993">
        <v>125964066.794</v>
      </c>
      <c r="K79" s="993">
        <v>122132435.043</v>
      </c>
      <c r="L79" s="993">
        <v>263116361.13</v>
      </c>
      <c r="M79" s="824">
        <f>SUM(B79:L79)</f>
        <v>703713113.65400004</v>
      </c>
    </row>
    <row r="80" spans="1:13" s="986" customFormat="1" ht="17.100000000000001" customHeight="1">
      <c r="A80" s="960" t="s">
        <v>577</v>
      </c>
      <c r="B80" s="993">
        <v>935859.52500000002</v>
      </c>
      <c r="C80" s="993">
        <v>3347987.7479999997</v>
      </c>
      <c r="D80" s="993">
        <v>5614335.1140000001</v>
      </c>
      <c r="E80" s="993">
        <v>8159277.2369999997</v>
      </c>
      <c r="F80" s="993">
        <v>9637279.1760000009</v>
      </c>
      <c r="G80" s="993">
        <v>10044174.083999999</v>
      </c>
      <c r="H80" s="993">
        <v>19890112</v>
      </c>
      <c r="I80" s="993">
        <v>15306427</v>
      </c>
      <c r="J80" s="993">
        <v>33652407</v>
      </c>
      <c r="K80" s="993">
        <v>21634208</v>
      </c>
      <c r="L80" s="993">
        <v>33427332</v>
      </c>
      <c r="M80" s="824">
        <f>SUM(B80:L80)</f>
        <v>161649398.884</v>
      </c>
    </row>
    <row r="81" spans="1:13" s="986" customFormat="1" ht="17.100000000000001" customHeight="1">
      <c r="A81" s="960"/>
      <c r="B81" s="993"/>
      <c r="C81" s="993"/>
      <c r="D81" s="993"/>
      <c r="E81" s="993"/>
      <c r="F81" s="993"/>
      <c r="G81" s="993"/>
      <c r="H81" s="993"/>
      <c r="I81" s="993"/>
      <c r="J81" s="993"/>
      <c r="K81" s="993"/>
      <c r="L81" s="993"/>
      <c r="M81" s="824"/>
    </row>
    <row r="82" spans="1:13" s="986" customFormat="1" ht="17.100000000000001" customHeight="1">
      <c r="A82" s="960" t="s">
        <v>581</v>
      </c>
      <c r="B82" s="993">
        <v>1035876.147</v>
      </c>
      <c r="C82" s="993">
        <v>2962019.6599999997</v>
      </c>
      <c r="D82" s="993">
        <v>5230160.3660000004</v>
      </c>
      <c r="E82" s="993">
        <v>6566634.4230000004</v>
      </c>
      <c r="F82" s="993">
        <v>8447376.5190000013</v>
      </c>
      <c r="G82" s="993">
        <v>9311107.3990000021</v>
      </c>
      <c r="H82" s="993">
        <v>20617660.756000001</v>
      </c>
      <c r="I82" s="993">
        <v>21760633.578999996</v>
      </c>
      <c r="J82" s="993">
        <v>49009383.903999999</v>
      </c>
      <c r="K82" s="993">
        <v>40997309</v>
      </c>
      <c r="L82" s="993">
        <v>104645718.006</v>
      </c>
      <c r="M82" s="824">
        <f>SUM(B82:L82)</f>
        <v>270583879.759</v>
      </c>
    </row>
    <row r="83" spans="1:13" s="986" customFormat="1" ht="17.100000000000001" customHeight="1">
      <c r="A83" s="960" t="s">
        <v>583</v>
      </c>
      <c r="B83" s="993">
        <v>664907.82799999998</v>
      </c>
      <c r="C83" s="993">
        <v>2049484.9110000001</v>
      </c>
      <c r="D83" s="993">
        <v>3768010.7859999998</v>
      </c>
      <c r="E83" s="993">
        <v>5257824.216</v>
      </c>
      <c r="F83" s="993">
        <v>6439916</v>
      </c>
      <c r="G83" s="993">
        <v>6344656</v>
      </c>
      <c r="H83" s="993">
        <v>14024402</v>
      </c>
      <c r="I83" s="993">
        <v>15317209.304</v>
      </c>
      <c r="J83" s="993">
        <v>35381464.664999999</v>
      </c>
      <c r="K83" s="993">
        <v>32171671</v>
      </c>
      <c r="L83" s="993">
        <v>82353875.453999996</v>
      </c>
      <c r="M83" s="824">
        <f>SUM(B83:L83)</f>
        <v>203773422.16399997</v>
      </c>
    </row>
    <row r="84" spans="1:13" s="986" customFormat="1" ht="17.100000000000001" customHeight="1">
      <c r="A84" s="960" t="s">
        <v>586</v>
      </c>
      <c r="B84" s="993">
        <v>2767076.9334000004</v>
      </c>
      <c r="C84" s="993">
        <v>9762968.4498000015</v>
      </c>
      <c r="D84" s="993">
        <v>16675166.409</v>
      </c>
      <c r="E84" s="993">
        <v>22854255.812000003</v>
      </c>
      <c r="F84" s="993">
        <v>26452595.635000002</v>
      </c>
      <c r="G84" s="993">
        <v>27900946.789000001</v>
      </c>
      <c r="H84" s="993">
        <v>55607276.800400004</v>
      </c>
      <c r="I84" s="993">
        <v>44020811.847999997</v>
      </c>
      <c r="J84" s="993">
        <v>89719793.869000003</v>
      </c>
      <c r="K84" s="993">
        <v>64288312.158</v>
      </c>
      <c r="L84" s="993">
        <v>135909595.57499999</v>
      </c>
      <c r="M84" s="824">
        <f>SUM(B84:L84)</f>
        <v>495958800.27859998</v>
      </c>
    </row>
    <row r="85" spans="1:13" s="986" customFormat="1" ht="17.100000000000001" customHeight="1">
      <c r="A85" s="960" t="s">
        <v>589</v>
      </c>
      <c r="B85" s="993">
        <v>864997.40999999992</v>
      </c>
      <c r="C85" s="993">
        <v>3045701.3810000001</v>
      </c>
      <c r="D85" s="993">
        <v>5019366.4189999998</v>
      </c>
      <c r="E85" s="993">
        <v>7554796.0479999995</v>
      </c>
      <c r="F85" s="993">
        <v>7423518.6999999993</v>
      </c>
      <c r="G85" s="993">
        <v>7733042.5800000001</v>
      </c>
      <c r="H85" s="993">
        <v>17209900.949000001</v>
      </c>
      <c r="I85" s="993">
        <v>18599087</v>
      </c>
      <c r="J85" s="993">
        <v>39695322.377000004</v>
      </c>
      <c r="K85" s="993">
        <v>30919581.715999998</v>
      </c>
      <c r="L85" s="993">
        <v>102739434.044</v>
      </c>
      <c r="M85" s="824">
        <f>SUM(B85:L85)</f>
        <v>240804748.62400001</v>
      </c>
    </row>
    <row r="86" spans="1:13" s="986" customFormat="1" ht="17.100000000000001" customHeight="1">
      <c r="A86" s="961" t="s">
        <v>592</v>
      </c>
      <c r="B86" s="994">
        <v>7452138.3050000006</v>
      </c>
      <c r="C86" s="994">
        <v>23348724.106000002</v>
      </c>
      <c r="D86" s="994">
        <v>34200122.233999997</v>
      </c>
      <c r="E86" s="994">
        <v>50861305.406999998</v>
      </c>
      <c r="F86" s="994">
        <v>58711222.958219998</v>
      </c>
      <c r="G86" s="994">
        <v>53182220.012999997</v>
      </c>
      <c r="H86" s="994">
        <v>116626114.919</v>
      </c>
      <c r="I86" s="994">
        <v>107067902.594</v>
      </c>
      <c r="J86" s="994">
        <v>267650451.63099998</v>
      </c>
      <c r="K86" s="994">
        <v>244896918.19</v>
      </c>
      <c r="L86" s="994">
        <v>740561148.37399995</v>
      </c>
      <c r="M86" s="824">
        <f>SUM(B86:L86)</f>
        <v>1704558268.7312198</v>
      </c>
    </row>
    <row r="87" spans="1:13" ht="18" customHeight="1">
      <c r="A87" s="995" t="s">
        <v>825</v>
      </c>
      <c r="B87" s="996"/>
      <c r="C87" s="996"/>
      <c r="D87" s="996"/>
      <c r="E87" s="996"/>
      <c r="F87" s="996"/>
      <c r="G87" s="996"/>
      <c r="H87" s="996"/>
      <c r="I87" s="996"/>
      <c r="J87" s="996"/>
      <c r="K87" s="996"/>
      <c r="L87" s="996"/>
      <c r="M87" s="997"/>
    </row>
    <row r="88" spans="1:13" ht="17.100000000000001" customHeight="1">
      <c r="A88" s="980" t="s">
        <v>802</v>
      </c>
      <c r="B88" s="979"/>
      <c r="C88" s="979"/>
      <c r="D88" s="979"/>
      <c r="E88" s="979"/>
      <c r="F88" s="979"/>
      <c r="G88" s="979"/>
      <c r="H88" s="979"/>
      <c r="I88" s="979"/>
      <c r="J88" s="979"/>
      <c r="K88" s="979"/>
      <c r="L88" s="979"/>
    </row>
    <row r="89" spans="1:13" ht="17.100000000000001" customHeight="1">
      <c r="A89" s="981" t="str">
        <f>A46</f>
        <v>Taxable Year 2011</v>
      </c>
      <c r="B89" s="979"/>
      <c r="C89" s="979"/>
      <c r="D89" s="979"/>
      <c r="E89" s="979"/>
      <c r="F89" s="979"/>
      <c r="G89" s="979"/>
      <c r="H89" s="979"/>
      <c r="I89" s="979"/>
      <c r="J89" s="979"/>
      <c r="K89" s="979"/>
      <c r="L89" s="979"/>
    </row>
    <row r="90" spans="1:13" ht="17.100000000000001" customHeight="1" thickBot="1">
      <c r="B90" s="998">
        <f t="shared" ref="B90:M90" si="1">SUM(B52:B86)</f>
        <v>117850843.85870001</v>
      </c>
      <c r="C90" s="998">
        <f t="shared" si="1"/>
        <v>345111098.76429999</v>
      </c>
      <c r="D90" s="998">
        <f t="shared" si="1"/>
        <v>556962164.79439998</v>
      </c>
      <c r="E90" s="998">
        <f t="shared" si="1"/>
        <v>748352160.2559998</v>
      </c>
      <c r="F90" s="998">
        <f t="shared" si="1"/>
        <v>909195568.24122012</v>
      </c>
      <c r="G90" s="998">
        <f t="shared" si="1"/>
        <v>1003497209.2458001</v>
      </c>
      <c r="H90" s="998">
        <f t="shared" si="1"/>
        <v>2182658021.7518001</v>
      </c>
      <c r="I90" s="998">
        <f t="shared" si="1"/>
        <v>2199344592.4119997</v>
      </c>
      <c r="J90" s="998">
        <f t="shared" si="1"/>
        <v>5347414413.5133991</v>
      </c>
      <c r="K90" s="998">
        <f t="shared" si="1"/>
        <v>5102773285.9939995</v>
      </c>
      <c r="L90" s="998">
        <f t="shared" si="1"/>
        <v>25048984404.885998</v>
      </c>
      <c r="M90" s="998">
        <f t="shared" si="1"/>
        <v>43562143763.717628</v>
      </c>
    </row>
    <row r="91" spans="1:13" ht="17.100000000000001" customHeight="1">
      <c r="A91" s="983"/>
      <c r="B91" s="999"/>
      <c r="C91" s="985"/>
      <c r="D91" s="985"/>
      <c r="E91" s="985"/>
      <c r="F91" s="985"/>
      <c r="G91" s="985"/>
      <c r="H91" s="985"/>
      <c r="I91" s="985"/>
      <c r="J91" s="985"/>
      <c r="K91" s="985"/>
      <c r="L91" s="985"/>
      <c r="M91" s="985" t="s">
        <v>25</v>
      </c>
    </row>
    <row r="92" spans="1:13" ht="17.100000000000001" customHeight="1">
      <c r="A92" s="987"/>
      <c r="B92" s="988"/>
      <c r="C92" s="988" t="s">
        <v>804</v>
      </c>
      <c r="D92" s="988" t="s">
        <v>805</v>
      </c>
      <c r="E92" s="988" t="s">
        <v>806</v>
      </c>
      <c r="F92" s="988" t="s">
        <v>807</v>
      </c>
      <c r="G92" s="988" t="s">
        <v>808</v>
      </c>
      <c r="H92" s="988" t="s">
        <v>809</v>
      </c>
      <c r="I92" s="988" t="s">
        <v>810</v>
      </c>
      <c r="J92" s="988" t="s">
        <v>811</v>
      </c>
      <c r="K92" s="988" t="s">
        <v>812</v>
      </c>
      <c r="L92" s="988" t="s">
        <v>813</v>
      </c>
      <c r="M92" s="988" t="s">
        <v>474</v>
      </c>
    </row>
    <row r="93" spans="1:13" ht="17.100000000000001" customHeight="1">
      <c r="A93" s="989" t="s">
        <v>33</v>
      </c>
      <c r="B93" s="988" t="s">
        <v>814</v>
      </c>
      <c r="C93" s="988" t="s">
        <v>815</v>
      </c>
      <c r="D93" s="988" t="s">
        <v>816</v>
      </c>
      <c r="E93" s="988" t="s">
        <v>817</v>
      </c>
      <c r="F93" s="988" t="s">
        <v>818</v>
      </c>
      <c r="G93" s="988" t="s">
        <v>819</v>
      </c>
      <c r="H93" s="988" t="s">
        <v>820</v>
      </c>
      <c r="I93" s="988" t="s">
        <v>821</v>
      </c>
      <c r="J93" s="988" t="s">
        <v>822</v>
      </c>
      <c r="K93" s="988" t="s">
        <v>823</v>
      </c>
      <c r="L93" s="988" t="s">
        <v>824</v>
      </c>
      <c r="M93" s="988" t="s">
        <v>32</v>
      </c>
    </row>
    <row r="94" spans="1:13" ht="17.100000000000001" customHeight="1">
      <c r="A94" s="961"/>
      <c r="B94" s="1004"/>
      <c r="C94" s="1004"/>
      <c r="D94" s="1004"/>
      <c r="E94" s="1004"/>
      <c r="F94" s="1004"/>
      <c r="G94" s="1004"/>
      <c r="H94" s="1004"/>
      <c r="I94" s="1004"/>
      <c r="J94" s="1004"/>
      <c r="K94" s="1004"/>
      <c r="L94" s="1004"/>
      <c r="M94" s="991"/>
    </row>
    <row r="95" spans="1:13" s="986" customFormat="1" ht="17.100000000000001" customHeight="1">
      <c r="A95" s="960" t="s">
        <v>594</v>
      </c>
      <c r="B95" s="891">
        <v>1174854.3560000001</v>
      </c>
      <c r="C95" s="891">
        <v>3896280.0949999997</v>
      </c>
      <c r="D95" s="891">
        <v>6148233.1150000002</v>
      </c>
      <c r="E95" s="891">
        <v>9449310.341</v>
      </c>
      <c r="F95" s="891">
        <v>11810815.530000001</v>
      </c>
      <c r="G95" s="891">
        <v>13360737.312999999</v>
      </c>
      <c r="H95" s="891">
        <v>26556950.316</v>
      </c>
      <c r="I95" s="891">
        <v>24596546.427999999</v>
      </c>
      <c r="J95" s="891">
        <v>55695810.688000001</v>
      </c>
      <c r="K95" s="891">
        <v>46918736.947999999</v>
      </c>
      <c r="L95" s="891">
        <v>118325576.255</v>
      </c>
      <c r="M95" s="892">
        <f>SUM(B95:L95)</f>
        <v>317933851.38499999</v>
      </c>
    </row>
    <row r="96" spans="1:13" s="986" customFormat="1" ht="17.100000000000001" customHeight="1">
      <c r="A96" s="960" t="s">
        <v>597</v>
      </c>
      <c r="B96" s="993">
        <v>1355697.287</v>
      </c>
      <c r="C96" s="993">
        <v>4279117.6440000003</v>
      </c>
      <c r="D96" s="993">
        <v>6463460.0130000003</v>
      </c>
      <c r="E96" s="993">
        <v>8419440.1280000005</v>
      </c>
      <c r="F96" s="993">
        <v>11124866.252</v>
      </c>
      <c r="G96" s="993">
        <v>11693411.944</v>
      </c>
      <c r="H96" s="993">
        <v>26991089.827</v>
      </c>
      <c r="I96" s="993">
        <v>29741504.473999999</v>
      </c>
      <c r="J96" s="993">
        <v>83354888.666000009</v>
      </c>
      <c r="K96" s="993">
        <v>89634710.126000002</v>
      </c>
      <c r="L96" s="993">
        <v>258573981.89700001</v>
      </c>
      <c r="M96" s="824">
        <f>SUM(B96:L96)</f>
        <v>531632168.25800002</v>
      </c>
    </row>
    <row r="97" spans="1:13" s="986" customFormat="1" ht="17.100000000000001" customHeight="1">
      <c r="A97" s="960" t="s">
        <v>599</v>
      </c>
      <c r="B97" s="993">
        <v>1268395.4963</v>
      </c>
      <c r="C97" s="993">
        <v>4269985.2149999999</v>
      </c>
      <c r="D97" s="993">
        <v>7005268.3940000003</v>
      </c>
      <c r="E97" s="993">
        <v>9096867.0879999995</v>
      </c>
      <c r="F97" s="993">
        <v>11478480.971999999</v>
      </c>
      <c r="G97" s="993">
        <v>11551683.306000002</v>
      </c>
      <c r="H97" s="993">
        <v>21955219.973999999</v>
      </c>
      <c r="I97" s="993">
        <v>16974835.462000001</v>
      </c>
      <c r="J97" s="993">
        <v>32320281.601999998</v>
      </c>
      <c r="K97" s="993">
        <v>25500424.289999999</v>
      </c>
      <c r="L97" s="993">
        <v>81184689.560000002</v>
      </c>
      <c r="M97" s="824">
        <f>SUM(B97:L97)</f>
        <v>222606131.35930002</v>
      </c>
    </row>
    <row r="98" spans="1:13" s="986" customFormat="1" ht="17.100000000000001" customHeight="1">
      <c r="A98" s="960" t="s">
        <v>602</v>
      </c>
      <c r="B98" s="993">
        <v>961287.19900000002</v>
      </c>
      <c r="C98" s="993">
        <v>3282512.54</v>
      </c>
      <c r="D98" s="993">
        <v>6246077.6260000002</v>
      </c>
      <c r="E98" s="993">
        <v>8877479.6830000002</v>
      </c>
      <c r="F98" s="993">
        <v>9714624.2650000006</v>
      </c>
      <c r="G98" s="993">
        <v>10298119.073000001</v>
      </c>
      <c r="H98" s="993">
        <v>22114687.399999999</v>
      </c>
      <c r="I98" s="993">
        <v>20341802</v>
      </c>
      <c r="J98" s="993">
        <v>47072916.514000006</v>
      </c>
      <c r="K98" s="993">
        <v>37293632.640000001</v>
      </c>
      <c r="L98" s="993">
        <v>114307014.41500001</v>
      </c>
      <c r="M98" s="824">
        <f>SUM(B98:L98)</f>
        <v>280510153.35500002</v>
      </c>
    </row>
    <row r="99" spans="1:13" s="986" customFormat="1" ht="17.100000000000001" customHeight="1">
      <c r="A99" s="960" t="s">
        <v>605</v>
      </c>
      <c r="B99" s="993">
        <v>977282.54800000007</v>
      </c>
      <c r="C99" s="993">
        <v>3943850.67</v>
      </c>
      <c r="D99" s="993">
        <v>7395888.9519999996</v>
      </c>
      <c r="E99" s="993">
        <v>10041229.666999999</v>
      </c>
      <c r="F99" s="993">
        <v>12534855.410999998</v>
      </c>
      <c r="G99" s="993">
        <v>13287013.492000001</v>
      </c>
      <c r="H99" s="993">
        <v>25293129.883000001</v>
      </c>
      <c r="I99" s="993">
        <v>20676543.357999999</v>
      </c>
      <c r="J99" s="993">
        <v>42374127.884000003</v>
      </c>
      <c r="K99" s="993">
        <v>29835764.888000004</v>
      </c>
      <c r="L99" s="993">
        <v>56573319.796000004</v>
      </c>
      <c r="M99" s="824">
        <f>SUM(B99:L99)</f>
        <v>222933006.54900002</v>
      </c>
    </row>
    <row r="100" spans="1:13" s="986" customFormat="1" ht="17.100000000000001" customHeight="1">
      <c r="A100" s="960"/>
      <c r="B100" s="993"/>
      <c r="C100" s="993"/>
      <c r="D100" s="993"/>
      <c r="E100" s="993"/>
      <c r="F100" s="993"/>
      <c r="G100" s="993"/>
      <c r="H100" s="993"/>
      <c r="I100" s="993"/>
      <c r="J100" s="993"/>
      <c r="K100" s="993"/>
      <c r="L100" s="993"/>
      <c r="M100" s="824"/>
    </row>
    <row r="101" spans="1:13" s="986" customFormat="1" ht="17.100000000000001" customHeight="1">
      <c r="A101" s="960" t="s">
        <v>608</v>
      </c>
      <c r="B101" s="993">
        <v>2365176.0300000003</v>
      </c>
      <c r="C101" s="993">
        <v>7736950.1199999992</v>
      </c>
      <c r="D101" s="993">
        <v>13144441.275</v>
      </c>
      <c r="E101" s="993">
        <v>18063545.796999998</v>
      </c>
      <c r="F101" s="993">
        <v>20774575.177999999</v>
      </c>
      <c r="G101" s="993">
        <v>25010536.083999999</v>
      </c>
      <c r="H101" s="993">
        <v>56107223.174999997</v>
      </c>
      <c r="I101" s="993">
        <v>56843673.906000003</v>
      </c>
      <c r="J101" s="993">
        <v>140943360.97799999</v>
      </c>
      <c r="K101" s="993">
        <v>130481876.743</v>
      </c>
      <c r="L101" s="993">
        <v>323700644.65100002</v>
      </c>
      <c r="M101" s="824">
        <f>SUM(B101:L101)</f>
        <v>795172003.93700004</v>
      </c>
    </row>
    <row r="102" spans="1:13" s="986" customFormat="1" ht="17.100000000000001" customHeight="1">
      <c r="A102" s="960" t="s">
        <v>611</v>
      </c>
      <c r="B102" s="993">
        <v>2184801.915</v>
      </c>
      <c r="C102" s="993">
        <v>7336490.807</v>
      </c>
      <c r="D102" s="993">
        <v>12129684.588</v>
      </c>
      <c r="E102" s="993">
        <v>15765184.625</v>
      </c>
      <c r="F102" s="993">
        <v>19766461.113000002</v>
      </c>
      <c r="G102" s="993">
        <v>19608128.894000001</v>
      </c>
      <c r="H102" s="993">
        <v>41413196.623999998</v>
      </c>
      <c r="I102" s="993">
        <v>37387090.609999999</v>
      </c>
      <c r="J102" s="993">
        <v>84640456.838</v>
      </c>
      <c r="K102" s="993">
        <v>61643465</v>
      </c>
      <c r="L102" s="993">
        <v>89255464.900999993</v>
      </c>
      <c r="M102" s="824">
        <f>SUM(B102:L102)</f>
        <v>391130425.91499996</v>
      </c>
    </row>
    <row r="103" spans="1:13" s="986" customFormat="1" ht="17.100000000000001" customHeight="1">
      <c r="A103" s="960" t="s">
        <v>614</v>
      </c>
      <c r="B103" s="993">
        <v>1457924.912</v>
      </c>
      <c r="C103" s="993">
        <v>4932966.0259999996</v>
      </c>
      <c r="D103" s="993">
        <v>8736317.4710000008</v>
      </c>
      <c r="E103" s="993">
        <v>13127511.370200001</v>
      </c>
      <c r="F103" s="993">
        <v>15588120.384</v>
      </c>
      <c r="G103" s="993">
        <v>14090428.916999999</v>
      </c>
      <c r="H103" s="993">
        <v>26941249.376000002</v>
      </c>
      <c r="I103" s="993">
        <v>25331598.946000002</v>
      </c>
      <c r="J103" s="993">
        <v>50007406.951000005</v>
      </c>
      <c r="K103" s="993">
        <v>29117453.677999999</v>
      </c>
      <c r="L103" s="993">
        <v>47741601.427000001</v>
      </c>
      <c r="M103" s="824">
        <f>SUM(B103:L103)</f>
        <v>237072579.45820004</v>
      </c>
    </row>
    <row r="104" spans="1:13" s="986" customFormat="1" ht="17.100000000000001" customHeight="1">
      <c r="A104" s="960" t="s">
        <v>617</v>
      </c>
      <c r="B104" s="993">
        <v>4608366.9994000001</v>
      </c>
      <c r="C104" s="993">
        <v>16816928.467</v>
      </c>
      <c r="D104" s="993">
        <v>29753978.936000001</v>
      </c>
      <c r="E104" s="993">
        <v>39988019.879999995</v>
      </c>
      <c r="F104" s="993">
        <v>49656236.784000002</v>
      </c>
      <c r="G104" s="993">
        <v>52026608.296999998</v>
      </c>
      <c r="H104" s="993">
        <v>105746613.846</v>
      </c>
      <c r="I104" s="993">
        <v>96324113.645000011</v>
      </c>
      <c r="J104" s="993">
        <v>224766053.051</v>
      </c>
      <c r="K104" s="993">
        <v>162541037.86199999</v>
      </c>
      <c r="L104" s="993">
        <v>260549023.77800003</v>
      </c>
      <c r="M104" s="824">
        <f>SUM(B104:L104)</f>
        <v>1042776981.5454</v>
      </c>
    </row>
    <row r="105" spans="1:13" s="986" customFormat="1" ht="17.100000000000001" customHeight="1">
      <c r="A105" s="960" t="s">
        <v>620</v>
      </c>
      <c r="B105" s="993">
        <v>1891722.142</v>
      </c>
      <c r="C105" s="993">
        <v>5458778.8660000004</v>
      </c>
      <c r="D105" s="993">
        <v>8519599.4859999996</v>
      </c>
      <c r="E105" s="993">
        <v>11009088.779999999</v>
      </c>
      <c r="F105" s="993">
        <v>13304663.434</v>
      </c>
      <c r="G105" s="993">
        <v>15376595.434</v>
      </c>
      <c r="H105" s="993">
        <v>37643804.708999999</v>
      </c>
      <c r="I105" s="993">
        <v>38771146</v>
      </c>
      <c r="J105" s="993">
        <v>106437800.973</v>
      </c>
      <c r="K105" s="993">
        <v>118520194</v>
      </c>
      <c r="L105" s="993">
        <v>400915815.88599998</v>
      </c>
      <c r="M105" s="824">
        <f>SUM(B105:L105)</f>
        <v>757849209.71000004</v>
      </c>
    </row>
    <row r="106" spans="1:13" s="986" customFormat="1" ht="17.100000000000001" customHeight="1">
      <c r="A106" s="960"/>
      <c r="B106" s="824"/>
      <c r="C106" s="824"/>
      <c r="D106" s="824"/>
      <c r="E106" s="824"/>
      <c r="F106" s="824"/>
      <c r="G106" s="824"/>
      <c r="H106" s="824"/>
      <c r="I106" s="824"/>
      <c r="J106" s="824"/>
      <c r="K106" s="824"/>
      <c r="L106" s="824"/>
      <c r="M106" s="824"/>
    </row>
    <row r="107" spans="1:13" s="986" customFormat="1" ht="17.100000000000001" customHeight="1">
      <c r="A107" s="960" t="s">
        <v>623</v>
      </c>
      <c r="B107" s="824">
        <v>1525098.2880000002</v>
      </c>
      <c r="C107" s="993">
        <v>5017234.4570000004</v>
      </c>
      <c r="D107" s="993">
        <v>9643831.8000000007</v>
      </c>
      <c r="E107" s="824">
        <v>12651980.112</v>
      </c>
      <c r="F107" s="824">
        <v>14109661.739</v>
      </c>
      <c r="G107" s="993">
        <v>16763401.603</v>
      </c>
      <c r="H107" s="993">
        <v>31806182.891000003</v>
      </c>
      <c r="I107" s="993">
        <v>25608801.149999999</v>
      </c>
      <c r="J107" s="993">
        <v>51576612.149999999</v>
      </c>
      <c r="K107" s="993">
        <v>41071843.649999999</v>
      </c>
      <c r="L107" s="993">
        <v>76362461.452000007</v>
      </c>
      <c r="M107" s="824">
        <f>SUM(B107:L107)</f>
        <v>286137109.292</v>
      </c>
    </row>
    <row r="108" spans="1:13" s="986" customFormat="1" ht="17.100000000000001" customHeight="1">
      <c r="A108" s="960" t="s">
        <v>625</v>
      </c>
      <c r="B108" s="993">
        <v>2485159.781</v>
      </c>
      <c r="C108" s="993">
        <v>7352101.4869999997</v>
      </c>
      <c r="D108" s="993">
        <v>11035181.398</v>
      </c>
      <c r="E108" s="993">
        <v>14324284.425000001</v>
      </c>
      <c r="F108" s="993">
        <v>17117848.223000001</v>
      </c>
      <c r="G108" s="993">
        <v>20063126.712000001</v>
      </c>
      <c r="H108" s="993">
        <v>43491696.730999999</v>
      </c>
      <c r="I108" s="993">
        <v>45746341.295999996</v>
      </c>
      <c r="J108" s="993">
        <v>113522993.92300001</v>
      </c>
      <c r="K108" s="993">
        <v>112202210.045</v>
      </c>
      <c r="L108" s="993">
        <v>280935245.82500005</v>
      </c>
      <c r="M108" s="824">
        <f>SUM(B108:L108)</f>
        <v>668276189.84600008</v>
      </c>
    </row>
    <row r="109" spans="1:13" s="986" customFormat="1" ht="17.100000000000001" customHeight="1">
      <c r="A109" s="960" t="s">
        <v>628</v>
      </c>
      <c r="B109" s="993">
        <v>27877431.223499998</v>
      </c>
      <c r="C109" s="993">
        <v>84359665.386399999</v>
      </c>
      <c r="D109" s="993">
        <v>134901094.53</v>
      </c>
      <c r="E109" s="993">
        <v>180172168.71759996</v>
      </c>
      <c r="F109" s="993">
        <v>207885579.32800001</v>
      </c>
      <c r="G109" s="993">
        <v>245625103.07999998</v>
      </c>
      <c r="H109" s="993">
        <v>559359394.21899986</v>
      </c>
      <c r="I109" s="993">
        <v>623121146.19199991</v>
      </c>
      <c r="J109" s="993">
        <v>1573059187.3890002</v>
      </c>
      <c r="K109" s="993">
        <v>1591764317.027</v>
      </c>
      <c r="L109" s="993">
        <v>7837945152.0200005</v>
      </c>
      <c r="M109" s="824">
        <f>SUM(B109:L109)</f>
        <v>13066070239.112499</v>
      </c>
    </row>
    <row r="110" spans="1:13" s="986" customFormat="1" ht="17.100000000000001" customHeight="1">
      <c r="A110" s="960" t="s">
        <v>630</v>
      </c>
      <c r="B110" s="993">
        <v>2711014.25</v>
      </c>
      <c r="C110" s="993">
        <v>9441781.307</v>
      </c>
      <c r="D110" s="993">
        <v>16669692.200000001</v>
      </c>
      <c r="E110" s="993">
        <v>21984671.502999999</v>
      </c>
      <c r="F110" s="993">
        <v>24687691.663000003</v>
      </c>
      <c r="G110" s="993">
        <v>25508305.743999999</v>
      </c>
      <c r="H110" s="993">
        <v>53158510.915999994</v>
      </c>
      <c r="I110" s="993">
        <v>52537648.777999997</v>
      </c>
      <c r="J110" s="993">
        <v>126734521.575</v>
      </c>
      <c r="K110" s="993">
        <v>97873691.182999998</v>
      </c>
      <c r="L110" s="993">
        <v>143167568.097</v>
      </c>
      <c r="M110" s="824">
        <f>SUM(B110:L110)</f>
        <v>574475097.21599996</v>
      </c>
    </row>
    <row r="111" spans="1:13" s="986" customFormat="1" ht="17.100000000000001" customHeight="1">
      <c r="A111" s="960" t="s">
        <v>633</v>
      </c>
      <c r="B111" s="993">
        <v>542335.80499999993</v>
      </c>
      <c r="C111" s="993">
        <v>1690221.5070000002</v>
      </c>
      <c r="D111" s="993">
        <v>2996218.923</v>
      </c>
      <c r="E111" s="993">
        <v>3678626.2209999999</v>
      </c>
      <c r="F111" s="993">
        <v>4262902.5760000004</v>
      </c>
      <c r="G111" s="993">
        <v>4947852.6979999999</v>
      </c>
      <c r="H111" s="993">
        <v>11097862.066</v>
      </c>
      <c r="I111" s="993">
        <v>11833752.335000001</v>
      </c>
      <c r="J111" s="993">
        <v>30662707.157000002</v>
      </c>
      <c r="K111" s="993">
        <v>28887430</v>
      </c>
      <c r="L111" s="993">
        <v>123664133.14</v>
      </c>
      <c r="M111" s="824">
        <f>SUM(B111:L111)</f>
        <v>224264042.428</v>
      </c>
    </row>
    <row r="112" spans="1:13" s="986" customFormat="1" ht="17.100000000000001" customHeight="1">
      <c r="A112" s="960"/>
      <c r="B112" s="993"/>
      <c r="C112" s="993"/>
      <c r="D112" s="993"/>
      <c r="E112" s="993"/>
      <c r="F112" s="993"/>
      <c r="G112" s="993"/>
      <c r="H112" s="993"/>
      <c r="I112" s="993"/>
      <c r="J112" s="993"/>
      <c r="K112" s="993"/>
      <c r="L112" s="993"/>
      <c r="M112" s="824"/>
    </row>
    <row r="113" spans="1:13" s="986" customFormat="1" ht="17.100000000000001" customHeight="1">
      <c r="A113" s="960" t="s">
        <v>563</v>
      </c>
      <c r="B113" s="993">
        <v>1815261.1229999999</v>
      </c>
      <c r="C113" s="993">
        <v>4235471.7410000004</v>
      </c>
      <c r="D113" s="993">
        <v>6213819.9589999998</v>
      </c>
      <c r="E113" s="993">
        <v>8227824.5389999999</v>
      </c>
      <c r="F113" s="993">
        <v>7893399.5769999996</v>
      </c>
      <c r="G113" s="993">
        <v>8841203.6380000003</v>
      </c>
      <c r="H113" s="993">
        <v>18711642.887000002</v>
      </c>
      <c r="I113" s="993">
        <v>15121909.386</v>
      </c>
      <c r="J113" s="993">
        <v>32698051.818999998</v>
      </c>
      <c r="K113" s="993">
        <v>25048473.886</v>
      </c>
      <c r="L113" s="993">
        <v>78623956.583000004</v>
      </c>
      <c r="M113" s="824">
        <f>SUM(B113:L113)</f>
        <v>207431015.13800001</v>
      </c>
    </row>
    <row r="114" spans="1:13" s="986" customFormat="1" ht="17.100000000000001" customHeight="1">
      <c r="A114" s="960" t="s">
        <v>567</v>
      </c>
      <c r="B114" s="993">
        <v>8893919.1399999987</v>
      </c>
      <c r="C114" s="993">
        <v>23599648.656999998</v>
      </c>
      <c r="D114" s="993">
        <v>36156216.347000003</v>
      </c>
      <c r="E114" s="993">
        <v>47725737.133000001</v>
      </c>
      <c r="F114" s="993">
        <v>63032443.561999999</v>
      </c>
      <c r="G114" s="993">
        <v>70291993.849000007</v>
      </c>
      <c r="H114" s="993">
        <v>150504804.34900001</v>
      </c>
      <c r="I114" s="993">
        <v>156949065.10500002</v>
      </c>
      <c r="J114" s="993">
        <v>393440015.10899997</v>
      </c>
      <c r="K114" s="993">
        <v>380686530.69800001</v>
      </c>
      <c r="L114" s="993">
        <v>1173231630.5680001</v>
      </c>
      <c r="M114" s="824">
        <f>SUM(B114:L114)</f>
        <v>2504512004.5170002</v>
      </c>
    </row>
    <row r="115" spans="1:13" s="986" customFormat="1" ht="17.100000000000001" customHeight="1">
      <c r="A115" s="960" t="s">
        <v>640</v>
      </c>
      <c r="B115" s="993">
        <v>1882695.2460000003</v>
      </c>
      <c r="C115" s="993">
        <v>5368760.3940000003</v>
      </c>
      <c r="D115" s="993">
        <v>9388385.4699999988</v>
      </c>
      <c r="E115" s="993">
        <v>12848689.345999999</v>
      </c>
      <c r="F115" s="993">
        <v>17556774.571999997</v>
      </c>
      <c r="G115" s="993">
        <v>18211192.263</v>
      </c>
      <c r="H115" s="993">
        <v>35208590.539999999</v>
      </c>
      <c r="I115" s="993">
        <v>35950736.535000004</v>
      </c>
      <c r="J115" s="993">
        <v>75948558.239999995</v>
      </c>
      <c r="K115" s="993">
        <v>59401733.880000003</v>
      </c>
      <c r="L115" s="993">
        <v>146737466.41</v>
      </c>
      <c r="M115" s="824">
        <f>SUM(B115:L115)</f>
        <v>418503582.89600003</v>
      </c>
    </row>
    <row r="116" spans="1:13" s="986" customFormat="1" ht="17.100000000000001" customHeight="1">
      <c r="A116" s="960" t="s">
        <v>643</v>
      </c>
      <c r="B116" s="993">
        <v>6241451.4360000007</v>
      </c>
      <c r="C116" s="993">
        <v>19312035.572000001</v>
      </c>
      <c r="D116" s="993">
        <v>32599154.975000001</v>
      </c>
      <c r="E116" s="993">
        <v>45232015.711000003</v>
      </c>
      <c r="F116" s="993">
        <v>61000035.694999993</v>
      </c>
      <c r="G116" s="993">
        <v>67964230.169</v>
      </c>
      <c r="H116" s="993">
        <v>138214785.398</v>
      </c>
      <c r="I116" s="993">
        <v>142925900.34999999</v>
      </c>
      <c r="J116" s="993">
        <v>311500591.17299998</v>
      </c>
      <c r="K116" s="993">
        <v>246037019.29900002</v>
      </c>
      <c r="L116" s="993">
        <v>585730661.78299999</v>
      </c>
      <c r="M116" s="824">
        <f>SUM(B116:L116)</f>
        <v>1656757881.5609999</v>
      </c>
    </row>
    <row r="117" spans="1:13" s="986" customFormat="1" ht="17.100000000000001" customHeight="1">
      <c r="A117" s="960" t="s">
        <v>646</v>
      </c>
      <c r="B117" s="993">
        <v>2271990.3340000003</v>
      </c>
      <c r="C117" s="993">
        <v>6836806.9560000002</v>
      </c>
      <c r="D117" s="993">
        <v>11492235.434999999</v>
      </c>
      <c r="E117" s="993">
        <v>16556042.950999999</v>
      </c>
      <c r="F117" s="993">
        <v>17952680.866</v>
      </c>
      <c r="G117" s="993">
        <v>18268620.873999998</v>
      </c>
      <c r="H117" s="993">
        <v>40003763.780000001</v>
      </c>
      <c r="I117" s="993">
        <v>38282524.026000001</v>
      </c>
      <c r="J117" s="993">
        <v>89652356.921000004</v>
      </c>
      <c r="K117" s="993">
        <v>69900151.954000011</v>
      </c>
      <c r="L117" s="993">
        <v>134136844.68000001</v>
      </c>
      <c r="M117" s="824">
        <f>SUM(B117:L117)</f>
        <v>445354018.77700001</v>
      </c>
    </row>
    <row r="118" spans="1:13" s="986" customFormat="1" ht="17.100000000000001" customHeight="1">
      <c r="A118" s="960"/>
      <c r="B118" s="993"/>
      <c r="C118" s="824"/>
      <c r="D118" s="824"/>
      <c r="E118" s="824"/>
      <c r="F118" s="824"/>
      <c r="G118" s="824"/>
      <c r="H118" s="824"/>
      <c r="I118" s="824"/>
      <c r="J118" s="824"/>
      <c r="K118" s="824"/>
      <c r="L118" s="824"/>
      <c r="M118" s="824"/>
    </row>
    <row r="119" spans="1:13" s="986" customFormat="1" ht="17.100000000000001" customHeight="1">
      <c r="A119" s="960" t="s">
        <v>522</v>
      </c>
      <c r="B119" s="993">
        <v>2008359.7549999999</v>
      </c>
      <c r="C119" s="993">
        <v>6446793.1430000002</v>
      </c>
      <c r="D119" s="824">
        <v>10509395.645</v>
      </c>
      <c r="E119" s="993">
        <v>14408567.609999999</v>
      </c>
      <c r="F119" s="993">
        <v>15101316.027000001</v>
      </c>
      <c r="G119" s="824">
        <v>15918468.536</v>
      </c>
      <c r="H119" s="824">
        <v>35248636.718099996</v>
      </c>
      <c r="I119" s="993">
        <v>32832457.500999998</v>
      </c>
      <c r="J119" s="993">
        <v>73982258.379999995</v>
      </c>
      <c r="K119" s="993">
        <v>51589590.318999998</v>
      </c>
      <c r="L119" s="993">
        <v>67207665.665000007</v>
      </c>
      <c r="M119" s="824">
        <f>SUM(B119:L119)</f>
        <v>325253509.29910004</v>
      </c>
    </row>
    <row r="120" spans="1:13" s="986" customFormat="1" ht="17.100000000000001" customHeight="1">
      <c r="A120" s="960" t="s">
        <v>526</v>
      </c>
      <c r="B120" s="824">
        <v>3507090.1510000001</v>
      </c>
      <c r="C120" s="993">
        <v>10676704.146</v>
      </c>
      <c r="D120" s="993">
        <v>18544287.423</v>
      </c>
      <c r="E120" s="993">
        <v>25624948.123</v>
      </c>
      <c r="F120" s="993">
        <v>31980776.646000002</v>
      </c>
      <c r="G120" s="993">
        <v>37164037.774000004</v>
      </c>
      <c r="H120" s="993">
        <v>74351171.025000006</v>
      </c>
      <c r="I120" s="993">
        <v>73416768.768000007</v>
      </c>
      <c r="J120" s="993">
        <v>170700059.44400001</v>
      </c>
      <c r="K120" s="993">
        <v>139029696.72299999</v>
      </c>
      <c r="L120" s="993">
        <v>260237600.502</v>
      </c>
      <c r="M120" s="824">
        <f>SUM(B120:L120)</f>
        <v>845233140.72500002</v>
      </c>
    </row>
    <row r="121" spans="1:13" s="986" customFormat="1" ht="17.100000000000001" customHeight="1">
      <c r="A121" s="960" t="s">
        <v>530</v>
      </c>
      <c r="B121" s="993">
        <v>2943187.4189999998</v>
      </c>
      <c r="C121" s="993">
        <v>9895006.0379999988</v>
      </c>
      <c r="D121" s="993">
        <v>15911237.7688</v>
      </c>
      <c r="E121" s="993">
        <v>21990481.464000002</v>
      </c>
      <c r="F121" s="993">
        <v>25055862.197000001</v>
      </c>
      <c r="G121" s="993">
        <v>26626749.210999999</v>
      </c>
      <c r="H121" s="993">
        <v>57762936.312000006</v>
      </c>
      <c r="I121" s="993">
        <v>46825484.068999998</v>
      </c>
      <c r="J121" s="993">
        <v>102403761.79899999</v>
      </c>
      <c r="K121" s="993">
        <v>59947039.829999998</v>
      </c>
      <c r="L121" s="993">
        <v>93331086.781000003</v>
      </c>
      <c r="M121" s="824">
        <f>SUM(B121:L121)</f>
        <v>462692832.88879997</v>
      </c>
    </row>
    <row r="122" spans="1:13" s="986" customFormat="1" ht="17.100000000000001" customHeight="1">
      <c r="A122" s="960" t="s">
        <v>534</v>
      </c>
      <c r="B122" s="993">
        <v>1344834.8959999999</v>
      </c>
      <c r="C122" s="993">
        <v>4346448.2110000001</v>
      </c>
      <c r="D122" s="993">
        <v>7604224.3210000005</v>
      </c>
      <c r="E122" s="993">
        <v>10882681.365</v>
      </c>
      <c r="F122" s="993">
        <v>12464160.972999999</v>
      </c>
      <c r="G122" s="993">
        <v>15594013.941</v>
      </c>
      <c r="H122" s="993">
        <v>32834847.761</v>
      </c>
      <c r="I122" s="993">
        <v>28531342.776000001</v>
      </c>
      <c r="J122" s="993">
        <v>68876583.120000005</v>
      </c>
      <c r="K122" s="993">
        <v>53432605.571999997</v>
      </c>
      <c r="L122" s="993">
        <v>79597880.737000003</v>
      </c>
      <c r="M122" s="824">
        <f>SUM(B122:L122)</f>
        <v>315509623.67299998</v>
      </c>
    </row>
    <row r="123" spans="1:13" s="986" customFormat="1" ht="17.100000000000001" customHeight="1">
      <c r="A123" s="960" t="s">
        <v>538</v>
      </c>
      <c r="B123" s="993">
        <v>9557955.7709999997</v>
      </c>
      <c r="C123" s="993">
        <v>27900930.338</v>
      </c>
      <c r="D123" s="993">
        <v>44325969.576999992</v>
      </c>
      <c r="E123" s="993">
        <v>56455037.732999995</v>
      </c>
      <c r="F123" s="993">
        <v>62620142.460000001</v>
      </c>
      <c r="G123" s="993">
        <v>68657483.105000004</v>
      </c>
      <c r="H123" s="993">
        <v>162582818.979</v>
      </c>
      <c r="I123" s="993">
        <v>176865122.47299999</v>
      </c>
      <c r="J123" s="993">
        <v>447213497.72600001</v>
      </c>
      <c r="K123" s="993">
        <v>489566414.58699995</v>
      </c>
      <c r="L123" s="993">
        <v>1803740936.6259999</v>
      </c>
      <c r="M123" s="824">
        <f>SUM(B123:L123)</f>
        <v>3349486309.375</v>
      </c>
    </row>
    <row r="124" spans="1:13" s="986" customFormat="1" ht="17.100000000000001" customHeight="1">
      <c r="A124" s="960"/>
      <c r="B124" s="993"/>
      <c r="C124" s="993"/>
      <c r="D124" s="993"/>
      <c r="E124" s="993"/>
      <c r="F124" s="993"/>
      <c r="G124" s="993"/>
      <c r="H124" s="993"/>
      <c r="I124" s="993"/>
      <c r="J124" s="993"/>
      <c r="K124" s="993"/>
      <c r="L124" s="993"/>
      <c r="M124" s="824"/>
    </row>
    <row r="125" spans="1:13" s="986" customFormat="1" ht="17.100000000000001" customHeight="1">
      <c r="A125" s="960" t="s">
        <v>542</v>
      </c>
      <c r="B125" s="993">
        <v>9397569.8833000008</v>
      </c>
      <c r="C125" s="993">
        <v>27158299.811000004</v>
      </c>
      <c r="D125" s="993">
        <v>37889544.682999998</v>
      </c>
      <c r="E125" s="993">
        <v>46873034.118000001</v>
      </c>
      <c r="F125" s="993">
        <v>51957116.964000002</v>
      </c>
      <c r="G125" s="993">
        <v>57274561.166800007</v>
      </c>
      <c r="H125" s="993">
        <v>131994539.83700001</v>
      </c>
      <c r="I125" s="993">
        <v>152310801.88300002</v>
      </c>
      <c r="J125" s="993">
        <v>406800650.96599996</v>
      </c>
      <c r="K125" s="993">
        <v>465912218.77899998</v>
      </c>
      <c r="L125" s="993">
        <v>2493836112.9629998</v>
      </c>
      <c r="M125" s="824">
        <f>SUM(B125:L125)</f>
        <v>3881404451.0541</v>
      </c>
    </row>
    <row r="126" spans="1:13" s="986" customFormat="1" ht="17.100000000000001" customHeight="1">
      <c r="A126" s="960" t="s">
        <v>546</v>
      </c>
      <c r="B126" s="993">
        <v>627981.69799999997</v>
      </c>
      <c r="C126" s="993">
        <v>2409194.804</v>
      </c>
      <c r="D126" s="993">
        <v>3570553.2140000002</v>
      </c>
      <c r="E126" s="993">
        <v>4444348.2205999997</v>
      </c>
      <c r="F126" s="993">
        <v>5271951.892</v>
      </c>
      <c r="G126" s="993">
        <v>6524314.7050000001</v>
      </c>
      <c r="H126" s="993">
        <v>11852236.164999999</v>
      </c>
      <c r="I126" s="993">
        <v>11551302.907</v>
      </c>
      <c r="J126" s="993">
        <v>26982766.934999999</v>
      </c>
      <c r="K126" s="993">
        <v>22658323.578000002</v>
      </c>
      <c r="L126" s="993">
        <v>38685475.351999998</v>
      </c>
      <c r="M126" s="824">
        <f>SUM(B126:L126)</f>
        <v>134578449.47060001</v>
      </c>
    </row>
    <row r="127" spans="1:13" s="986" customFormat="1" ht="17.100000000000001" customHeight="1">
      <c r="A127" s="960" t="s">
        <v>550</v>
      </c>
      <c r="B127" s="993">
        <v>814207.38400000008</v>
      </c>
      <c r="C127" s="993">
        <v>2676575.037</v>
      </c>
      <c r="D127" s="993">
        <v>4855075.9739999995</v>
      </c>
      <c r="E127" s="993">
        <v>6914323.817999999</v>
      </c>
      <c r="F127" s="993">
        <v>7452197.4839999992</v>
      </c>
      <c r="G127" s="993">
        <v>9883847.6079999991</v>
      </c>
      <c r="H127" s="993">
        <v>18217457.390000001</v>
      </c>
      <c r="I127" s="993">
        <v>13149971.002999999</v>
      </c>
      <c r="J127" s="993">
        <v>30797879.200999998</v>
      </c>
      <c r="K127" s="993">
        <v>22835806.077</v>
      </c>
      <c r="L127" s="993">
        <v>36170361.649000004</v>
      </c>
      <c r="M127" s="824">
        <f>SUM(B127:L127)</f>
        <v>153767702.625</v>
      </c>
    </row>
    <row r="128" spans="1:13" s="986" customFormat="1" ht="17.100000000000001" customHeight="1">
      <c r="A128" s="961" t="s">
        <v>554</v>
      </c>
      <c r="B128" s="993">
        <v>3397523.142</v>
      </c>
      <c r="C128" s="993">
        <v>11095583.385</v>
      </c>
      <c r="D128" s="993">
        <v>19505939.846999999</v>
      </c>
      <c r="E128" s="993">
        <v>25091388.108000003</v>
      </c>
      <c r="F128" s="993">
        <v>29144955.268999998</v>
      </c>
      <c r="G128" s="993">
        <v>32191289.413999997</v>
      </c>
      <c r="H128" s="993">
        <v>61716315.814999998</v>
      </c>
      <c r="I128" s="993">
        <v>57492626.781000003</v>
      </c>
      <c r="J128" s="993">
        <v>133421488.397</v>
      </c>
      <c r="K128" s="993">
        <v>113197883.686</v>
      </c>
      <c r="L128" s="993">
        <v>317716239.65999997</v>
      </c>
      <c r="M128" s="824">
        <f>SUM(B128:L128)</f>
        <v>803971233.50399995</v>
      </c>
    </row>
    <row r="129" spans="1:14" s="986" customFormat="1" ht="17.100000000000001" customHeight="1">
      <c r="A129" s="961" t="s">
        <v>558</v>
      </c>
      <c r="B129" s="994">
        <v>3322197.2659999998</v>
      </c>
      <c r="C129" s="994">
        <v>9522738.2589999996</v>
      </c>
      <c r="D129" s="994">
        <v>16214836.471000001</v>
      </c>
      <c r="E129" s="994">
        <v>20446478.182</v>
      </c>
      <c r="F129" s="994">
        <v>21982578.412999999</v>
      </c>
      <c r="G129" s="994">
        <v>25659004.198000003</v>
      </c>
      <c r="H129" s="994">
        <v>57890377.805</v>
      </c>
      <c r="I129" s="994">
        <v>59584937.807999998</v>
      </c>
      <c r="J129" s="994">
        <v>145910463.07600001</v>
      </c>
      <c r="K129" s="994">
        <v>146166025.48400003</v>
      </c>
      <c r="L129" s="994">
        <v>360388660.87099999</v>
      </c>
      <c r="M129" s="824">
        <f>SUM(B129:L129)</f>
        <v>867088297.83300006</v>
      </c>
    </row>
    <row r="130" spans="1:14" ht="17.399999999999999">
      <c r="A130" s="995" t="s">
        <v>825</v>
      </c>
      <c r="B130" s="996"/>
      <c r="C130" s="996"/>
      <c r="D130" s="996"/>
      <c r="E130" s="996"/>
      <c r="F130" s="996"/>
      <c r="G130" s="996"/>
      <c r="H130" s="996"/>
      <c r="I130" s="996"/>
      <c r="J130" s="996"/>
      <c r="K130" s="996"/>
      <c r="L130" s="996"/>
      <c r="M130" s="997"/>
    </row>
    <row r="131" spans="1:14" ht="17.100000000000001" customHeight="1">
      <c r="A131" s="980" t="s">
        <v>802</v>
      </c>
      <c r="B131" s="979"/>
      <c r="C131" s="979"/>
      <c r="D131" s="979"/>
      <c r="E131" s="979"/>
      <c r="F131" s="979"/>
      <c r="G131" s="979"/>
      <c r="H131" s="979"/>
      <c r="I131" s="979"/>
      <c r="J131" s="979"/>
      <c r="K131" s="979"/>
      <c r="L131" s="979"/>
    </row>
    <row r="132" spans="1:14" ht="17.100000000000001" customHeight="1">
      <c r="A132" s="981" t="str">
        <f>A89</f>
        <v>Taxable Year 2011</v>
      </c>
      <c r="B132" s="979"/>
      <c r="C132" s="979"/>
      <c r="D132" s="979"/>
      <c r="E132" s="979"/>
      <c r="F132" s="979"/>
      <c r="G132" s="979"/>
      <c r="H132" s="979"/>
      <c r="I132" s="979"/>
      <c r="J132" s="979"/>
      <c r="K132" s="979"/>
      <c r="L132" s="979"/>
    </row>
    <row r="133" spans="1:14" ht="17.100000000000001" customHeight="1" thickBot="1">
      <c r="B133" s="998">
        <f t="shared" ref="B133:M133" si="2">SUM(B95:B129)</f>
        <v>111412772.87650001</v>
      </c>
      <c r="C133" s="998">
        <f t="shared" si="2"/>
        <v>341295861.08639997</v>
      </c>
      <c r="D133" s="998">
        <f t="shared" si="2"/>
        <v>555569845.81679976</v>
      </c>
      <c r="E133" s="998">
        <f t="shared" si="2"/>
        <v>740371006.75940013</v>
      </c>
      <c r="F133" s="998">
        <f t="shared" si="2"/>
        <v>874283775.449</v>
      </c>
      <c r="G133" s="998">
        <f t="shared" si="2"/>
        <v>978282063.04280019</v>
      </c>
      <c r="H133" s="998">
        <f t="shared" si="2"/>
        <v>2116771736.7141004</v>
      </c>
      <c r="I133" s="998">
        <f t="shared" si="2"/>
        <v>2167627495.9510002</v>
      </c>
      <c r="J133" s="998">
        <f t="shared" si="2"/>
        <v>5273498108.6450005</v>
      </c>
      <c r="K133" s="998">
        <f t="shared" si="2"/>
        <v>4948696302.4320002</v>
      </c>
      <c r="L133" s="998">
        <f t="shared" si="2"/>
        <v>17882574273.929996</v>
      </c>
      <c r="M133" s="998">
        <f t="shared" si="2"/>
        <v>35990383242.703003</v>
      </c>
    </row>
    <row r="134" spans="1:14" ht="17.100000000000001" customHeight="1">
      <c r="A134" s="1005"/>
      <c r="B134" s="1006"/>
      <c r="C134" s="1007"/>
      <c r="D134" s="1007"/>
      <c r="E134" s="1007"/>
      <c r="F134" s="1007"/>
      <c r="G134" s="1007"/>
      <c r="H134" s="1007"/>
      <c r="I134" s="1007"/>
      <c r="J134" s="1007"/>
      <c r="K134" s="1007"/>
      <c r="L134" s="1007"/>
      <c r="M134" s="1007" t="s">
        <v>25</v>
      </c>
    </row>
    <row r="135" spans="1:14" ht="17.100000000000001" customHeight="1">
      <c r="A135" s="987"/>
      <c r="B135" s="988"/>
      <c r="C135" s="988" t="s">
        <v>804</v>
      </c>
      <c r="D135" s="988" t="s">
        <v>805</v>
      </c>
      <c r="E135" s="988" t="s">
        <v>806</v>
      </c>
      <c r="F135" s="988" t="s">
        <v>807</v>
      </c>
      <c r="G135" s="988" t="s">
        <v>808</v>
      </c>
      <c r="H135" s="988" t="s">
        <v>809</v>
      </c>
      <c r="I135" s="988" t="s">
        <v>810</v>
      </c>
      <c r="J135" s="988" t="s">
        <v>811</v>
      </c>
      <c r="K135" s="988" t="s">
        <v>812</v>
      </c>
      <c r="L135" s="988" t="s">
        <v>813</v>
      </c>
      <c r="M135" s="988" t="s">
        <v>474</v>
      </c>
    </row>
    <row r="136" spans="1:14" ht="17.100000000000001" customHeight="1">
      <c r="A136" s="989" t="s">
        <v>33</v>
      </c>
      <c r="B136" s="988" t="s">
        <v>814</v>
      </c>
      <c r="C136" s="988" t="s">
        <v>815</v>
      </c>
      <c r="D136" s="988" t="s">
        <v>816</v>
      </c>
      <c r="E136" s="988" t="s">
        <v>817</v>
      </c>
      <c r="F136" s="988" t="s">
        <v>818</v>
      </c>
      <c r="G136" s="988" t="s">
        <v>819</v>
      </c>
      <c r="H136" s="988" t="s">
        <v>820</v>
      </c>
      <c r="I136" s="988" t="s">
        <v>821</v>
      </c>
      <c r="J136" s="988" t="s">
        <v>822</v>
      </c>
      <c r="K136" s="988" t="s">
        <v>823</v>
      </c>
      <c r="L136" s="988" t="s">
        <v>824</v>
      </c>
      <c r="M136" s="988" t="s">
        <v>32</v>
      </c>
    </row>
    <row r="137" spans="1:14" ht="17.100000000000001" customHeight="1">
      <c r="A137" s="961"/>
      <c r="B137" s="1008"/>
      <c r="C137" s="1008"/>
      <c r="D137" s="1008"/>
      <c r="E137" s="1008"/>
      <c r="F137" s="1008"/>
      <c r="G137" s="1008"/>
      <c r="H137" s="1008"/>
      <c r="I137" s="1008"/>
      <c r="J137" s="1008"/>
      <c r="K137" s="1008"/>
      <c r="L137" s="1008"/>
      <c r="M137" s="991"/>
    </row>
    <row r="138" spans="1:14" s="1009" customFormat="1" ht="17.100000000000001" customHeight="1">
      <c r="A138" s="892" t="s">
        <v>562</v>
      </c>
      <c r="B138" s="891">
        <v>5047145.7615</v>
      </c>
      <c r="C138" s="891">
        <v>15921240.739</v>
      </c>
      <c r="D138" s="891">
        <v>27062924.718699999</v>
      </c>
      <c r="E138" s="891">
        <v>35587570.844000004</v>
      </c>
      <c r="F138" s="891">
        <v>41273124.413000003</v>
      </c>
      <c r="G138" s="891">
        <v>50198928.586999997</v>
      </c>
      <c r="H138" s="891">
        <v>100425771.01300001</v>
      </c>
      <c r="I138" s="891">
        <v>86032814.344999999</v>
      </c>
      <c r="J138" s="891">
        <v>196661042.01599997</v>
      </c>
      <c r="K138" s="891">
        <v>132893003.08800001</v>
      </c>
      <c r="L138" s="891">
        <v>628205698.91499996</v>
      </c>
      <c r="M138" s="892">
        <f>SUM(B138:L138)</f>
        <v>1319309264.4402001</v>
      </c>
      <c r="N138" s="986"/>
    </row>
    <row r="139" spans="1:14" ht="17.100000000000001" customHeight="1">
      <c r="A139" s="960" t="s">
        <v>566</v>
      </c>
      <c r="B139" s="993">
        <v>1300946.7169999999</v>
      </c>
      <c r="C139" s="993">
        <v>5310917.6736000003</v>
      </c>
      <c r="D139" s="993">
        <v>8673785.3319999985</v>
      </c>
      <c r="E139" s="993">
        <v>12986114.812000001</v>
      </c>
      <c r="F139" s="993">
        <v>12911697.966</v>
      </c>
      <c r="G139" s="993">
        <v>13198136.264</v>
      </c>
      <c r="H139" s="993">
        <v>28259481.377999999</v>
      </c>
      <c r="I139" s="993">
        <v>28350901.056000002</v>
      </c>
      <c r="J139" s="993">
        <v>59372648.017000005</v>
      </c>
      <c r="K139" s="993">
        <v>54322448.869000003</v>
      </c>
      <c r="L139" s="993">
        <v>115154606.36500001</v>
      </c>
      <c r="M139" s="824">
        <f>SUM(B139:L139)</f>
        <v>339841684.44960004</v>
      </c>
    </row>
    <row r="140" spans="1:14" ht="17.100000000000001" customHeight="1">
      <c r="A140" s="960" t="s">
        <v>570</v>
      </c>
      <c r="B140" s="993">
        <v>3254073.8990000002</v>
      </c>
      <c r="C140" s="993">
        <v>10810256.432999998</v>
      </c>
      <c r="D140" s="993">
        <v>16648432.278000001</v>
      </c>
      <c r="E140" s="993">
        <v>22136159.980999999</v>
      </c>
      <c r="F140" s="993">
        <v>23751382.241999999</v>
      </c>
      <c r="G140" s="993">
        <v>24221452.310000002</v>
      </c>
      <c r="H140" s="993">
        <v>49784443.736000001</v>
      </c>
      <c r="I140" s="993">
        <v>46952155.057999998</v>
      </c>
      <c r="J140" s="993">
        <v>127810892.89</v>
      </c>
      <c r="K140" s="993">
        <v>100285445.61400001</v>
      </c>
      <c r="L140" s="993">
        <v>197741787.11700001</v>
      </c>
      <c r="M140" s="824">
        <f>SUM(B140:L140)</f>
        <v>623396481.55800009</v>
      </c>
    </row>
    <row r="141" spans="1:14" ht="17.100000000000001" customHeight="1">
      <c r="A141" s="960" t="s">
        <v>574</v>
      </c>
      <c r="B141" s="993">
        <v>2746093.4759999998</v>
      </c>
      <c r="C141" s="993">
        <v>8813435.6569999997</v>
      </c>
      <c r="D141" s="993">
        <v>14921801.243000001</v>
      </c>
      <c r="E141" s="993">
        <v>18461867.616000004</v>
      </c>
      <c r="F141" s="993">
        <v>20315936.899999999</v>
      </c>
      <c r="G141" s="993">
        <v>23667496.984000001</v>
      </c>
      <c r="H141" s="993">
        <v>48638126.924999997</v>
      </c>
      <c r="I141" s="993">
        <v>43977111.590000004</v>
      </c>
      <c r="J141" s="993">
        <v>102217039.43700001</v>
      </c>
      <c r="K141" s="993">
        <v>71753560.181999996</v>
      </c>
      <c r="L141" s="993">
        <v>111658190.596</v>
      </c>
      <c r="M141" s="824">
        <f>SUM(B141:L141)</f>
        <v>467170660.60600001</v>
      </c>
    </row>
    <row r="142" spans="1:14" ht="17.100000000000001" customHeight="1">
      <c r="A142" s="960" t="s">
        <v>578</v>
      </c>
      <c r="B142" s="993">
        <v>5772447.6270000003</v>
      </c>
      <c r="C142" s="993">
        <v>14835241.308600001</v>
      </c>
      <c r="D142" s="993">
        <v>20833015.711999997</v>
      </c>
      <c r="E142" s="993">
        <v>23917672.765999999</v>
      </c>
      <c r="F142" s="993">
        <v>30226615.995999999</v>
      </c>
      <c r="G142" s="993">
        <v>33515164.516000003</v>
      </c>
      <c r="H142" s="993">
        <v>73274740.055000007</v>
      </c>
      <c r="I142" s="993">
        <v>84197451.489999995</v>
      </c>
      <c r="J142" s="993">
        <v>214849430.87200004</v>
      </c>
      <c r="K142" s="993">
        <v>241263661.653</v>
      </c>
      <c r="L142" s="993">
        <v>1093169574.552</v>
      </c>
      <c r="M142" s="824">
        <f>SUM(B142:L142)</f>
        <v>1835855016.5476</v>
      </c>
    </row>
    <row r="143" spans="1:14" ht="17.100000000000001" customHeight="1">
      <c r="A143" s="961"/>
      <c r="B143" s="993"/>
      <c r="C143" s="993"/>
      <c r="D143" s="993"/>
      <c r="E143" s="993"/>
      <c r="F143" s="993"/>
      <c r="G143" s="993"/>
      <c r="H143" s="993"/>
      <c r="I143" s="993"/>
      <c r="J143" s="993"/>
      <c r="K143" s="993"/>
      <c r="L143" s="993"/>
      <c r="M143" s="886"/>
    </row>
    <row r="144" spans="1:14" s="1012" customFormat="1" ht="17.100000000000001" customHeight="1">
      <c r="A144" s="1010" t="s">
        <v>34</v>
      </c>
      <c r="B144" s="1011">
        <f>SUM(B138:B143)+B133+B90+B47</f>
        <v>429274552.33915007</v>
      </c>
      <c r="C144" s="1011">
        <f t="shared" ref="C144:M144" si="3">SUM(C138:C143)+C133+C90+C47</f>
        <v>1258956862.01495</v>
      </c>
      <c r="D144" s="1011">
        <f t="shared" si="3"/>
        <v>2014706334.6777997</v>
      </c>
      <c r="E144" s="1011">
        <f t="shared" si="3"/>
        <v>2708435174.8369999</v>
      </c>
      <c r="F144" s="1011">
        <f t="shared" si="3"/>
        <v>3233640513.8824205</v>
      </c>
      <c r="G144" s="1011">
        <f t="shared" si="3"/>
        <v>3613302732.3836002</v>
      </c>
      <c r="H144" s="1011">
        <f t="shared" si="3"/>
        <v>7942533867.4026012</v>
      </c>
      <c r="I144" s="1011">
        <f t="shared" si="3"/>
        <v>8258714375.5100002</v>
      </c>
      <c r="J144" s="1011">
        <f t="shared" si="3"/>
        <v>20657367142.544399</v>
      </c>
      <c r="K144" s="1011">
        <f t="shared" si="3"/>
        <v>19831831852.212402</v>
      </c>
      <c r="L144" s="1011">
        <f t="shared" si="3"/>
        <v>105647764538.59409</v>
      </c>
      <c r="M144" s="1011">
        <f t="shared" si="3"/>
        <v>175596527946.39844</v>
      </c>
    </row>
    <row r="145" spans="1:13" s="1003" customFormat="1" ht="17.100000000000001" customHeight="1">
      <c r="A145" s="1013"/>
      <c r="B145" s="1014"/>
      <c r="C145" s="1014"/>
      <c r="D145" s="1014"/>
      <c r="E145" s="1014"/>
      <c r="F145" s="1014"/>
      <c r="G145" s="1014"/>
      <c r="H145" s="1014"/>
      <c r="I145" s="1014"/>
      <c r="J145" s="1014"/>
      <c r="K145" s="1014"/>
      <c r="L145" s="1014"/>
      <c r="M145" s="1015"/>
    </row>
    <row r="146" spans="1:13" s="1003" customFormat="1" ht="17.100000000000001" customHeight="1" thickBot="1">
      <c r="A146" s="1016"/>
      <c r="B146" s="1016"/>
      <c r="C146" s="1016"/>
      <c r="D146" s="1016"/>
      <c r="E146" s="1016"/>
      <c r="F146" s="1016"/>
      <c r="G146" s="1016"/>
      <c r="H146" s="1016"/>
      <c r="I146" s="1016"/>
      <c r="J146" s="1016"/>
      <c r="K146" s="1016"/>
      <c r="L146" s="1016"/>
      <c r="M146" s="1016"/>
    </row>
    <row r="147" spans="1:13" ht="17.100000000000001" customHeight="1">
      <c r="A147" s="961"/>
      <c r="B147" s="961"/>
      <c r="C147" s="961"/>
      <c r="D147" s="961"/>
      <c r="E147" s="961"/>
      <c r="F147" s="961"/>
      <c r="G147" s="961"/>
      <c r="H147" s="961"/>
      <c r="I147" s="961"/>
      <c r="J147" s="961"/>
      <c r="K147" s="961"/>
      <c r="L147" s="961"/>
      <c r="M147" s="985" t="s">
        <v>25</v>
      </c>
    </row>
    <row r="148" spans="1:13" ht="17.100000000000001" customHeight="1">
      <c r="A148" s="987"/>
      <c r="B148" s="988"/>
      <c r="C148" s="988" t="s">
        <v>804</v>
      </c>
      <c r="D148" s="988" t="s">
        <v>805</v>
      </c>
      <c r="E148" s="988" t="s">
        <v>806</v>
      </c>
      <c r="F148" s="988" t="s">
        <v>807</v>
      </c>
      <c r="G148" s="988" t="s">
        <v>808</v>
      </c>
      <c r="H148" s="988" t="s">
        <v>809</v>
      </c>
      <c r="I148" s="988" t="s">
        <v>810</v>
      </c>
      <c r="J148" s="988" t="s">
        <v>811</v>
      </c>
      <c r="K148" s="988" t="s">
        <v>812</v>
      </c>
      <c r="L148" s="988" t="s">
        <v>813</v>
      </c>
      <c r="M148" s="988" t="s">
        <v>474</v>
      </c>
    </row>
    <row r="149" spans="1:13" ht="17.100000000000001" customHeight="1">
      <c r="A149" s="989" t="s">
        <v>35</v>
      </c>
      <c r="B149" s="988" t="s">
        <v>814</v>
      </c>
      <c r="C149" s="988" t="s">
        <v>815</v>
      </c>
      <c r="D149" s="988" t="s">
        <v>816</v>
      </c>
      <c r="E149" s="988" t="s">
        <v>817</v>
      </c>
      <c r="F149" s="988" t="s">
        <v>818</v>
      </c>
      <c r="G149" s="988" t="s">
        <v>819</v>
      </c>
      <c r="H149" s="988" t="s">
        <v>820</v>
      </c>
      <c r="I149" s="988" t="s">
        <v>821</v>
      </c>
      <c r="J149" s="988" t="s">
        <v>822</v>
      </c>
      <c r="K149" s="988" t="s">
        <v>823</v>
      </c>
      <c r="L149" s="988" t="s">
        <v>824</v>
      </c>
      <c r="M149" s="988" t="s">
        <v>32</v>
      </c>
    </row>
    <row r="150" spans="1:13" ht="17.100000000000001" customHeight="1">
      <c r="A150" s="961"/>
      <c r="B150" s="1004"/>
      <c r="C150" s="1004"/>
      <c r="D150" s="1004"/>
      <c r="E150" s="1004"/>
      <c r="F150" s="1004"/>
      <c r="G150" s="1004"/>
      <c r="H150" s="1004"/>
      <c r="I150" s="1004"/>
      <c r="J150" s="1004"/>
      <c r="K150" s="1004"/>
      <c r="L150" s="1004"/>
      <c r="M150" s="991"/>
    </row>
    <row r="151" spans="1:13" s="986" customFormat="1" ht="17.100000000000001" customHeight="1">
      <c r="A151" s="960" t="s">
        <v>595</v>
      </c>
      <c r="B151" s="891">
        <v>10524850.918200001</v>
      </c>
      <c r="C151" s="891">
        <v>33888943.942999996</v>
      </c>
      <c r="D151" s="891">
        <v>54108148.694499999</v>
      </c>
      <c r="E151" s="891">
        <v>76901788.50500001</v>
      </c>
      <c r="F151" s="891">
        <v>90927232.064999998</v>
      </c>
      <c r="G151" s="891">
        <v>101596049.79100001</v>
      </c>
      <c r="H151" s="891">
        <v>242469211.36199999</v>
      </c>
      <c r="I151" s="891">
        <v>286177232.11399996</v>
      </c>
      <c r="J151" s="891">
        <v>760528002.14199996</v>
      </c>
      <c r="K151" s="891">
        <v>751086562.72599995</v>
      </c>
      <c r="L151" s="891">
        <v>4539231495.8240004</v>
      </c>
      <c r="M151" s="892">
        <f>SUM(B151:L151)</f>
        <v>6947439518.0846996</v>
      </c>
    </row>
    <row r="152" spans="1:13" s="986" customFormat="1" ht="17.100000000000001" customHeight="1">
      <c r="A152" s="960" t="s">
        <v>556</v>
      </c>
      <c r="B152" s="993">
        <v>655268.96699999995</v>
      </c>
      <c r="C152" s="993">
        <v>2159276.463</v>
      </c>
      <c r="D152" s="993">
        <v>3129077.4619999998</v>
      </c>
      <c r="E152" s="993">
        <v>4763341.3480000002</v>
      </c>
      <c r="F152" s="993">
        <v>5241494.4290000005</v>
      </c>
      <c r="G152" s="993">
        <v>5314439.76</v>
      </c>
      <c r="H152" s="993">
        <v>10683550.138999999</v>
      </c>
      <c r="I152" s="993">
        <v>10012027.986000001</v>
      </c>
      <c r="J152" s="993">
        <v>20932511.730999999</v>
      </c>
      <c r="K152" s="993">
        <v>13960925.497</v>
      </c>
      <c r="L152" s="993">
        <v>23273555.102000002</v>
      </c>
      <c r="M152" s="824">
        <f>SUM(B152:L152)</f>
        <v>100125468.88399999</v>
      </c>
    </row>
    <row r="153" spans="1:13" s="986" customFormat="1" ht="17.100000000000001" customHeight="1">
      <c r="A153" s="960" t="s">
        <v>600</v>
      </c>
      <c r="B153" s="993">
        <v>3151338.7519</v>
      </c>
      <c r="C153" s="993">
        <v>8996897.6321999989</v>
      </c>
      <c r="D153" s="993">
        <v>15196687.3752</v>
      </c>
      <c r="E153" s="993">
        <v>21677246.395499997</v>
      </c>
      <c r="F153" s="993">
        <v>25450342.954</v>
      </c>
      <c r="G153" s="993">
        <v>26933640.0156</v>
      </c>
      <c r="H153" s="993">
        <v>49044055.591499999</v>
      </c>
      <c r="I153" s="993">
        <v>36943361.133000001</v>
      </c>
      <c r="J153" s="993">
        <v>66870812.787</v>
      </c>
      <c r="K153" s="993">
        <v>40900947.809</v>
      </c>
      <c r="L153" s="993">
        <v>89216990.713</v>
      </c>
      <c r="M153" s="824">
        <f>SUM(B153:L153)</f>
        <v>384382321.15790004</v>
      </c>
    </row>
    <row r="154" spans="1:13" s="986" customFormat="1" ht="17.100000000000001" customHeight="1">
      <c r="A154" s="960" t="s">
        <v>603</v>
      </c>
      <c r="B154" s="993">
        <v>705668.19400000002</v>
      </c>
      <c r="C154" s="993">
        <v>1905677.4759999998</v>
      </c>
      <c r="D154" s="993">
        <v>3197925.5580000002</v>
      </c>
      <c r="E154" s="993">
        <v>4653525.4950000001</v>
      </c>
      <c r="F154" s="993">
        <v>5159472.7799999993</v>
      </c>
      <c r="G154" s="993">
        <v>6085808.4680000003</v>
      </c>
      <c r="H154" s="993">
        <v>12701762</v>
      </c>
      <c r="I154" s="993">
        <v>9383897.1459999997</v>
      </c>
      <c r="J154" s="993">
        <v>21192220</v>
      </c>
      <c r="K154" s="993">
        <v>13147843</v>
      </c>
      <c r="L154" s="993">
        <v>11623382.404999999</v>
      </c>
      <c r="M154" s="824">
        <f>SUM(B154:L154)</f>
        <v>89757182.522</v>
      </c>
    </row>
    <row r="155" spans="1:13" s="986" customFormat="1" ht="17.100000000000001" customHeight="1">
      <c r="A155" s="960" t="s">
        <v>606</v>
      </c>
      <c r="B155" s="993">
        <v>4788008.8505300004</v>
      </c>
      <c r="C155" s="993">
        <v>13623849.641000001</v>
      </c>
      <c r="D155" s="993">
        <v>20142940.642000001</v>
      </c>
      <c r="E155" s="993">
        <v>27385824.656999998</v>
      </c>
      <c r="F155" s="993">
        <v>34504567.544</v>
      </c>
      <c r="G155" s="993">
        <v>35881029.803000003</v>
      </c>
      <c r="H155" s="993">
        <v>69030014.266000003</v>
      </c>
      <c r="I155" s="993">
        <v>68223217.931999996</v>
      </c>
      <c r="J155" s="993">
        <v>132325519.53200001</v>
      </c>
      <c r="K155" s="993">
        <v>102853887.167</v>
      </c>
      <c r="L155" s="993">
        <v>731869180.38</v>
      </c>
      <c r="M155" s="824">
        <f>SUM(B155:L155)</f>
        <v>1240628040.41453</v>
      </c>
    </row>
    <row r="156" spans="1:13" s="986" customFormat="1" ht="17.100000000000001" customHeight="1">
      <c r="A156" s="960"/>
      <c r="B156" s="993"/>
      <c r="C156" s="993"/>
      <c r="D156" s="993"/>
      <c r="E156" s="993"/>
      <c r="F156" s="993"/>
      <c r="G156" s="993"/>
      <c r="H156" s="993"/>
      <c r="I156" s="993"/>
      <c r="J156" s="993"/>
      <c r="K156" s="993"/>
      <c r="L156" s="993"/>
      <c r="M156" s="824"/>
    </row>
    <row r="157" spans="1:13" s="986" customFormat="1" ht="17.100000000000001" customHeight="1">
      <c r="A157" s="960" t="s">
        <v>609</v>
      </c>
      <c r="B157" s="993">
        <v>18153499.894200001</v>
      </c>
      <c r="C157" s="993">
        <v>57364658.571000002</v>
      </c>
      <c r="D157" s="993">
        <v>90838438.951999992</v>
      </c>
      <c r="E157" s="993">
        <v>115471648.92199999</v>
      </c>
      <c r="F157" s="993">
        <v>138686183.83700001</v>
      </c>
      <c r="G157" s="993">
        <v>152227458.52200001</v>
      </c>
      <c r="H157" s="993">
        <v>325812655.30000001</v>
      </c>
      <c r="I157" s="993">
        <v>342718757.32550001</v>
      </c>
      <c r="J157" s="993">
        <v>818290392.95500004</v>
      </c>
      <c r="K157" s="993">
        <v>758600386.329</v>
      </c>
      <c r="L157" s="993">
        <v>2495484679.2980003</v>
      </c>
      <c r="M157" s="824">
        <f>SUM(B157:L157)</f>
        <v>5313648759.9057007</v>
      </c>
    </row>
    <row r="158" spans="1:13" s="986" customFormat="1" ht="17.100000000000001" customHeight="1">
      <c r="A158" s="960" t="s">
        <v>612</v>
      </c>
      <c r="B158" s="993">
        <v>1621716.0870000001</v>
      </c>
      <c r="C158" s="993">
        <v>4953770.125</v>
      </c>
      <c r="D158" s="993">
        <v>8684019.675999999</v>
      </c>
      <c r="E158" s="993">
        <v>10929460.071</v>
      </c>
      <c r="F158" s="993">
        <v>14135592.998</v>
      </c>
      <c r="G158" s="993">
        <v>15708695.103</v>
      </c>
      <c r="H158" s="993">
        <v>33251716.807</v>
      </c>
      <c r="I158" s="993">
        <v>33396300.166999999</v>
      </c>
      <c r="J158" s="993">
        <v>71113534.127999991</v>
      </c>
      <c r="K158" s="993">
        <v>60075682.115999997</v>
      </c>
      <c r="L158" s="993">
        <v>110067790.45299999</v>
      </c>
      <c r="M158" s="824">
        <f>SUM(B158:L158)</f>
        <v>363938277.73100001</v>
      </c>
    </row>
    <row r="159" spans="1:13" s="986" customFormat="1" ht="17.100000000000001" customHeight="1">
      <c r="A159" s="960" t="s">
        <v>615</v>
      </c>
      <c r="B159" s="993">
        <v>696475.35199999996</v>
      </c>
      <c r="C159" s="993">
        <v>2144458.949</v>
      </c>
      <c r="D159" s="993">
        <v>3470486.3539999994</v>
      </c>
      <c r="E159" s="993">
        <v>4503894.0640000002</v>
      </c>
      <c r="F159" s="993">
        <v>6185846.1629999997</v>
      </c>
      <c r="G159" s="993">
        <v>5034373.7</v>
      </c>
      <c r="H159" s="993">
        <v>11380877.952</v>
      </c>
      <c r="I159" s="993">
        <v>10082795.472999999</v>
      </c>
      <c r="J159" s="993">
        <v>20257368</v>
      </c>
      <c r="K159" s="993">
        <v>13942788.925000001</v>
      </c>
      <c r="L159" s="993">
        <v>13884722.390000001</v>
      </c>
      <c r="M159" s="824">
        <f>SUM(B159:L159)</f>
        <v>91584087.321999997</v>
      </c>
    </row>
    <row r="160" spans="1:13" s="986" customFormat="1" ht="17.100000000000001" customHeight="1">
      <c r="A160" s="960" t="s">
        <v>618</v>
      </c>
      <c r="B160" s="993">
        <v>4504201.1320000002</v>
      </c>
      <c r="C160" s="993">
        <v>16911472.074000001</v>
      </c>
      <c r="D160" s="993">
        <v>30940975.665000003</v>
      </c>
      <c r="E160" s="993">
        <v>37732542.605999999</v>
      </c>
      <c r="F160" s="993">
        <v>40074487.439000003</v>
      </c>
      <c r="G160" s="993">
        <v>39752693.68</v>
      </c>
      <c r="H160" s="993">
        <v>71964111.081</v>
      </c>
      <c r="I160" s="993">
        <v>59480591.989999995</v>
      </c>
      <c r="J160" s="993">
        <v>122090018.83389999</v>
      </c>
      <c r="K160" s="993">
        <v>79390080.436000004</v>
      </c>
      <c r="L160" s="993">
        <v>223902126.82600001</v>
      </c>
      <c r="M160" s="824">
        <f>SUM(B160:L160)</f>
        <v>726743301.76289999</v>
      </c>
    </row>
    <row r="161" spans="1:13" s="986" customFormat="1" ht="17.100000000000001" customHeight="1">
      <c r="A161" s="960" t="s">
        <v>621</v>
      </c>
      <c r="B161" s="993">
        <v>645130.99820000003</v>
      </c>
      <c r="C161" s="993">
        <v>2441446.4989999998</v>
      </c>
      <c r="D161" s="824">
        <v>4000522.7890000003</v>
      </c>
      <c r="E161" s="824">
        <v>5165830.835</v>
      </c>
      <c r="F161" s="993">
        <v>5299341.9100000011</v>
      </c>
      <c r="G161" s="993">
        <v>6185276.085</v>
      </c>
      <c r="H161" s="993">
        <v>11521368.448999999</v>
      </c>
      <c r="I161" s="993">
        <v>8013856.8880000003</v>
      </c>
      <c r="J161" s="993">
        <v>12155483.631999999</v>
      </c>
      <c r="K161" s="993">
        <v>7558644.3569999998</v>
      </c>
      <c r="L161" s="993">
        <v>24032957.120000001</v>
      </c>
      <c r="M161" s="824">
        <f>SUM(B161:L161)</f>
        <v>87019859.562199995</v>
      </c>
    </row>
    <row r="162" spans="1:13" s="986" customFormat="1" ht="17.100000000000001" customHeight="1">
      <c r="A162" s="960"/>
      <c r="B162" s="993"/>
      <c r="C162" s="993"/>
      <c r="D162" s="824"/>
      <c r="E162" s="824"/>
      <c r="F162" s="993"/>
      <c r="G162" s="993"/>
      <c r="H162" s="993"/>
      <c r="I162" s="993"/>
      <c r="J162" s="993"/>
      <c r="K162" s="993"/>
      <c r="L162" s="993"/>
      <c r="M162" s="824"/>
    </row>
    <row r="163" spans="1:13" s="986" customFormat="1" ht="17.100000000000001" customHeight="1">
      <c r="A163" s="960" t="s">
        <v>616</v>
      </c>
      <c r="B163" s="993">
        <v>2677778.6175999995</v>
      </c>
      <c r="C163" s="993">
        <v>7709793.5700000003</v>
      </c>
      <c r="D163" s="993">
        <v>11165412.5524</v>
      </c>
      <c r="E163" s="993">
        <v>14650300.225</v>
      </c>
      <c r="F163" s="993">
        <v>17570456.728999998</v>
      </c>
      <c r="G163" s="993">
        <v>18767533.962000001</v>
      </c>
      <c r="H163" s="993">
        <v>43010217.136999995</v>
      </c>
      <c r="I163" s="993">
        <v>46417572.193999998</v>
      </c>
      <c r="J163" s="993">
        <v>120361925.18300001</v>
      </c>
      <c r="K163" s="993">
        <v>117360669.43499999</v>
      </c>
      <c r="L163" s="993">
        <v>696630789.54900002</v>
      </c>
      <c r="M163" s="824">
        <f>SUM(B163:L163)</f>
        <v>1096322449.154</v>
      </c>
    </row>
    <row r="164" spans="1:13" s="986" customFormat="1" ht="17.100000000000001" customHeight="1">
      <c r="A164" s="960" t="s">
        <v>626</v>
      </c>
      <c r="B164" s="993">
        <v>1305443.6869999999</v>
      </c>
      <c r="C164" s="993">
        <v>2933434.2379999999</v>
      </c>
      <c r="D164" s="993">
        <v>4515379.4399999995</v>
      </c>
      <c r="E164" s="993">
        <v>6019102.1949999994</v>
      </c>
      <c r="F164" s="993">
        <v>6409777.1689999998</v>
      </c>
      <c r="G164" s="993">
        <v>7076070.368999999</v>
      </c>
      <c r="H164" s="993">
        <v>17823093.25</v>
      </c>
      <c r="I164" s="993">
        <v>19858979.837000001</v>
      </c>
      <c r="J164" s="993">
        <v>53452294.679000005</v>
      </c>
      <c r="K164" s="993">
        <v>53326962.976999998</v>
      </c>
      <c r="L164" s="993">
        <v>628248174.84599996</v>
      </c>
      <c r="M164" s="824">
        <f>SUM(B164:L164)</f>
        <v>800968712.68700004</v>
      </c>
    </row>
    <row r="165" spans="1:13" s="986" customFormat="1" ht="17.100000000000001" customHeight="1">
      <c r="A165" s="960" t="s">
        <v>36</v>
      </c>
      <c r="B165" s="824">
        <v>711181.87800000003</v>
      </c>
      <c r="C165" s="824">
        <v>3001475.9</v>
      </c>
      <c r="D165" s="824">
        <v>4705685.193</v>
      </c>
      <c r="E165" s="824">
        <v>6578123.2910000002</v>
      </c>
      <c r="F165" s="824">
        <v>8187441.1299999999</v>
      </c>
      <c r="G165" s="824">
        <v>7618791.1840000004</v>
      </c>
      <c r="H165" s="824">
        <v>13695835.256999999</v>
      </c>
      <c r="I165" s="824">
        <v>11301086.854</v>
      </c>
      <c r="J165" s="824">
        <v>21263468.498999998</v>
      </c>
      <c r="K165" s="824">
        <v>15158255.925000001</v>
      </c>
      <c r="L165" s="824">
        <v>40216592.490000002</v>
      </c>
      <c r="M165" s="824">
        <f>SUM(B165:L165)</f>
        <v>132437937.60100001</v>
      </c>
    </row>
    <row r="166" spans="1:13" s="986" customFormat="1" ht="17.100000000000001" customHeight="1">
      <c r="A166" s="960" t="s">
        <v>631</v>
      </c>
      <c r="B166" s="824">
        <v>2358697.3185000001</v>
      </c>
      <c r="C166" s="824">
        <v>7928895.6399999997</v>
      </c>
      <c r="D166" s="824">
        <v>12468582.330000002</v>
      </c>
      <c r="E166" s="824">
        <v>18115844.263999999</v>
      </c>
      <c r="F166" s="824">
        <v>20846391.403999999</v>
      </c>
      <c r="G166" s="824">
        <v>20811895.791000001</v>
      </c>
      <c r="H166" s="824">
        <v>44300650.953000002</v>
      </c>
      <c r="I166" s="824">
        <v>42007345.084999993</v>
      </c>
      <c r="J166" s="824">
        <v>90289596.495000005</v>
      </c>
      <c r="K166" s="824">
        <v>74826876.386999995</v>
      </c>
      <c r="L166" s="824">
        <v>375669655.83899999</v>
      </c>
      <c r="M166" s="824">
        <f>SUM(B166:L166)</f>
        <v>709624431.50650001</v>
      </c>
    </row>
    <row r="167" spans="1:13" s="986" customFormat="1" ht="17.100000000000001" customHeight="1">
      <c r="A167" s="960" t="s">
        <v>634</v>
      </c>
      <c r="B167" s="824">
        <v>814938.88400000008</v>
      </c>
      <c r="C167" s="824">
        <v>2281559.2209999999</v>
      </c>
      <c r="D167" s="824">
        <v>4836625.5659999996</v>
      </c>
      <c r="E167" s="824">
        <v>6527002.358</v>
      </c>
      <c r="F167" s="824">
        <v>7181944.0160000008</v>
      </c>
      <c r="G167" s="824">
        <v>7094564.4610000001</v>
      </c>
      <c r="H167" s="824">
        <v>11181971.293000001</v>
      </c>
      <c r="I167" s="824">
        <v>9033365.3460000008</v>
      </c>
      <c r="J167" s="824">
        <v>16561910.301999999</v>
      </c>
      <c r="K167" s="824">
        <v>12861876.273</v>
      </c>
      <c r="L167" s="824">
        <v>30168956.066</v>
      </c>
      <c r="M167" s="824">
        <f>SUM(B167:L167)</f>
        <v>108544713.786</v>
      </c>
    </row>
    <row r="168" spans="1:13" s="986" customFormat="1" ht="17.100000000000001" customHeight="1">
      <c r="A168" s="960"/>
      <c r="B168" s="824"/>
      <c r="C168" s="824"/>
      <c r="D168" s="824"/>
      <c r="E168" s="824"/>
      <c r="F168" s="824"/>
      <c r="G168" s="824"/>
      <c r="H168" s="824"/>
      <c r="I168" s="824"/>
      <c r="J168" s="824"/>
      <c r="K168" s="824"/>
      <c r="L168" s="824"/>
      <c r="M168" s="824"/>
    </row>
    <row r="169" spans="1:13" s="986" customFormat="1" ht="17.100000000000001" customHeight="1">
      <c r="A169" s="960" t="s">
        <v>636</v>
      </c>
      <c r="B169" s="824">
        <v>10178033.8793</v>
      </c>
      <c r="C169" s="824">
        <v>36398880.703199998</v>
      </c>
      <c r="D169" s="824">
        <v>61737581.534999996</v>
      </c>
      <c r="E169" s="824">
        <v>79661525.994000003</v>
      </c>
      <c r="F169" s="824">
        <v>93239880.810000002</v>
      </c>
      <c r="G169" s="824">
        <v>98990610.317000002</v>
      </c>
      <c r="H169" s="824">
        <v>212459236.95499998</v>
      </c>
      <c r="I169" s="824">
        <v>213291858.97100002</v>
      </c>
      <c r="J169" s="824">
        <v>462950832.31999999</v>
      </c>
      <c r="K169" s="824">
        <v>365533504.51899999</v>
      </c>
      <c r="L169" s="824">
        <v>717404093.2463001</v>
      </c>
      <c r="M169" s="824">
        <f>SUM(B169:L169)</f>
        <v>2351846039.2498002</v>
      </c>
    </row>
    <row r="170" spans="1:13" s="986" customFormat="1" ht="17.100000000000001" customHeight="1">
      <c r="A170" s="960" t="s">
        <v>638</v>
      </c>
      <c r="B170" s="824">
        <v>3604301.3941000002</v>
      </c>
      <c r="C170" s="824">
        <v>11803684.511000002</v>
      </c>
      <c r="D170" s="824">
        <v>18625699.679000001</v>
      </c>
      <c r="E170" s="824">
        <v>25278989.583999999</v>
      </c>
      <c r="F170" s="824">
        <v>33787816.601999998</v>
      </c>
      <c r="G170" s="824">
        <v>35142744.068999998</v>
      </c>
      <c r="H170" s="824">
        <v>57072140.265000001</v>
      </c>
      <c r="I170" s="824">
        <v>53058366.693000004</v>
      </c>
      <c r="J170" s="824">
        <v>98155915.763999999</v>
      </c>
      <c r="K170" s="824">
        <v>70139647.494000003</v>
      </c>
      <c r="L170" s="824">
        <v>182994132.29100001</v>
      </c>
      <c r="M170" s="824">
        <f>SUM(B170:L170)</f>
        <v>589663438.34610009</v>
      </c>
    </row>
    <row r="171" spans="1:13" s="986" customFormat="1" ht="17.100000000000001" customHeight="1">
      <c r="A171" s="824" t="s">
        <v>641</v>
      </c>
      <c r="B171" s="824">
        <v>1664250.1189999999</v>
      </c>
      <c r="C171" s="824">
        <v>7178209.3509999998</v>
      </c>
      <c r="D171" s="824">
        <v>12809121.862</v>
      </c>
      <c r="E171" s="824">
        <v>15661330.845000001</v>
      </c>
      <c r="F171" s="824">
        <v>18971013.460000001</v>
      </c>
      <c r="G171" s="824">
        <v>20731277.006000001</v>
      </c>
      <c r="H171" s="824">
        <v>42008524.131999999</v>
      </c>
      <c r="I171" s="824">
        <v>34538852.917999998</v>
      </c>
      <c r="J171" s="824">
        <v>66425309.472000003</v>
      </c>
      <c r="K171" s="824">
        <v>45240894.967999995</v>
      </c>
      <c r="L171" s="824">
        <v>57661906.519999996</v>
      </c>
      <c r="M171" s="824">
        <f>SUM(B171:L171)</f>
        <v>322890690.653</v>
      </c>
    </row>
    <row r="172" spans="1:13" s="986" customFormat="1" ht="17.100000000000001" customHeight="1">
      <c r="A172" s="961" t="s">
        <v>644</v>
      </c>
      <c r="B172" s="886">
        <v>533808.79499999993</v>
      </c>
      <c r="C172" s="886">
        <v>1392718.8390000002</v>
      </c>
      <c r="D172" s="886">
        <v>2605983.4739999999</v>
      </c>
      <c r="E172" s="886">
        <v>3174012.3390000002</v>
      </c>
      <c r="F172" s="886">
        <v>4518591.99</v>
      </c>
      <c r="G172" s="886">
        <v>3810152.5720000002</v>
      </c>
      <c r="H172" s="886">
        <v>8178189.5339999991</v>
      </c>
      <c r="I172" s="886">
        <v>7942655.3220000006</v>
      </c>
      <c r="J172" s="886">
        <v>19700212.083999999</v>
      </c>
      <c r="K172" s="886">
        <v>13260410</v>
      </c>
      <c r="L172" s="886">
        <v>92955668.917999998</v>
      </c>
      <c r="M172" s="824">
        <f>SUM(B172:L172)</f>
        <v>158072403.86699998</v>
      </c>
    </row>
    <row r="173" spans="1:13" s="986" customFormat="1" ht="17.100000000000001" customHeight="1">
      <c r="A173" s="961" t="s">
        <v>647</v>
      </c>
      <c r="B173" s="886">
        <v>6761641.6200000001</v>
      </c>
      <c r="C173" s="886">
        <v>22988277.940000001</v>
      </c>
      <c r="D173" s="886">
        <v>39235977.328000002</v>
      </c>
      <c r="E173" s="886">
        <v>45809687.394999996</v>
      </c>
      <c r="F173" s="886">
        <v>53055777.217</v>
      </c>
      <c r="G173" s="886">
        <v>55086159.350000001</v>
      </c>
      <c r="H173" s="886">
        <v>108678712.41099998</v>
      </c>
      <c r="I173" s="886">
        <v>97909970.245999992</v>
      </c>
      <c r="J173" s="886">
        <v>215083751.89600003</v>
      </c>
      <c r="K173" s="886">
        <v>147904435.78500003</v>
      </c>
      <c r="L173" s="886">
        <v>542818757.21999991</v>
      </c>
      <c r="M173" s="824">
        <f>SUM(B173:L173)</f>
        <v>1335333148.408</v>
      </c>
    </row>
    <row r="174" spans="1:13" s="1018" customFormat="1" ht="17.399999999999999">
      <c r="A174" s="995" t="s">
        <v>825</v>
      </c>
      <c r="B174" s="1017"/>
      <c r="C174" s="1017"/>
      <c r="D174" s="1017"/>
      <c r="E174" s="1017"/>
      <c r="F174" s="1017"/>
      <c r="G174" s="1017"/>
      <c r="H174" s="1017"/>
      <c r="I174" s="1017"/>
      <c r="J174" s="1017"/>
      <c r="K174" s="1017"/>
      <c r="L174" s="1017"/>
      <c r="M174" s="1017"/>
    </row>
    <row r="175" spans="1:13" ht="17.100000000000001" customHeight="1">
      <c r="A175" s="980" t="s">
        <v>802</v>
      </c>
      <c r="B175" s="1019"/>
      <c r="C175" s="1019"/>
      <c r="D175" s="1019"/>
      <c r="E175" s="1019"/>
      <c r="F175" s="1019"/>
      <c r="G175" s="1019"/>
      <c r="H175" s="1019"/>
      <c r="I175" s="1019"/>
      <c r="J175" s="1019"/>
      <c r="K175" s="1019"/>
      <c r="L175" s="1019"/>
      <c r="M175" s="1019"/>
    </row>
    <row r="176" spans="1:13" ht="17.100000000000001" customHeight="1">
      <c r="A176" s="981" t="str">
        <f>A132</f>
        <v>Taxable Year 2011</v>
      </c>
      <c r="B176" s="1020"/>
      <c r="C176" s="1020"/>
      <c r="D176" s="1020"/>
      <c r="E176" s="1020"/>
      <c r="F176" s="1020"/>
      <c r="G176" s="1020"/>
      <c r="H176" s="1020"/>
      <c r="I176" s="1020"/>
      <c r="J176" s="1020"/>
      <c r="K176" s="1020"/>
      <c r="L176" s="1020"/>
      <c r="M176" s="1020"/>
    </row>
    <row r="177" spans="1:13" ht="17.100000000000001" customHeight="1" thickBot="1">
      <c r="B177" s="998">
        <f>SUM(B151:B173)</f>
        <v>76056235.337530002</v>
      </c>
      <c r="C177" s="998">
        <f t="shared" ref="C177:M177" si="4">SUM(C151:C173)</f>
        <v>248007381.28639999</v>
      </c>
      <c r="D177" s="998">
        <f t="shared" si="4"/>
        <v>406415272.12709993</v>
      </c>
      <c r="E177" s="998">
        <f t="shared" si="4"/>
        <v>530661021.38850003</v>
      </c>
      <c r="F177" s="998">
        <f t="shared" si="4"/>
        <v>629433652.64600015</v>
      </c>
      <c r="G177" s="998">
        <f t="shared" si="4"/>
        <v>669849264.00860023</v>
      </c>
      <c r="H177" s="998">
        <f t="shared" si="4"/>
        <v>1396267894.1344998</v>
      </c>
      <c r="I177" s="998">
        <f t="shared" si="4"/>
        <v>1399792091.6205003</v>
      </c>
      <c r="J177" s="998">
        <f t="shared" si="4"/>
        <v>3210001080.4348998</v>
      </c>
      <c r="K177" s="998">
        <f t="shared" si="4"/>
        <v>2757131282.1249995</v>
      </c>
      <c r="L177" s="998">
        <f t="shared" si="4"/>
        <v>11627355607.496302</v>
      </c>
      <c r="M177" s="998">
        <f t="shared" si="4"/>
        <v>22950970782.605335</v>
      </c>
    </row>
    <row r="178" spans="1:13" ht="17.100000000000001" customHeight="1">
      <c r="A178" s="983"/>
      <c r="B178" s="999"/>
      <c r="C178" s="985"/>
      <c r="D178" s="985"/>
      <c r="E178" s="985"/>
      <c r="F178" s="985"/>
      <c r="G178" s="985"/>
      <c r="H178" s="985"/>
      <c r="I178" s="985"/>
      <c r="J178" s="985"/>
      <c r="K178" s="985"/>
      <c r="L178" s="985"/>
      <c r="M178" s="985" t="s">
        <v>25</v>
      </c>
    </row>
    <row r="179" spans="1:13" ht="17.100000000000001" customHeight="1">
      <c r="A179" s="987"/>
      <c r="B179" s="988"/>
      <c r="C179" s="988" t="s">
        <v>804</v>
      </c>
      <c r="D179" s="988" t="s">
        <v>805</v>
      </c>
      <c r="E179" s="988" t="s">
        <v>806</v>
      </c>
      <c r="F179" s="988" t="s">
        <v>807</v>
      </c>
      <c r="G179" s="988" t="s">
        <v>808</v>
      </c>
      <c r="H179" s="988" t="s">
        <v>809</v>
      </c>
      <c r="I179" s="988" t="s">
        <v>810</v>
      </c>
      <c r="J179" s="988" t="s">
        <v>811</v>
      </c>
      <c r="K179" s="988" t="s">
        <v>812</v>
      </c>
      <c r="L179" s="988" t="s">
        <v>813</v>
      </c>
      <c r="M179" s="988" t="s">
        <v>474</v>
      </c>
    </row>
    <row r="180" spans="1:13" ht="17.100000000000001" customHeight="1">
      <c r="A180" s="989" t="s">
        <v>35</v>
      </c>
      <c r="B180" s="988" t="s">
        <v>814</v>
      </c>
      <c r="C180" s="988" t="s">
        <v>815</v>
      </c>
      <c r="D180" s="988" t="s">
        <v>816</v>
      </c>
      <c r="E180" s="988" t="s">
        <v>817</v>
      </c>
      <c r="F180" s="988" t="s">
        <v>818</v>
      </c>
      <c r="G180" s="988" t="s">
        <v>819</v>
      </c>
      <c r="H180" s="988" t="s">
        <v>820</v>
      </c>
      <c r="I180" s="988" t="s">
        <v>821</v>
      </c>
      <c r="J180" s="988" t="s">
        <v>822</v>
      </c>
      <c r="K180" s="988" t="s">
        <v>823</v>
      </c>
      <c r="L180" s="988" t="s">
        <v>824</v>
      </c>
      <c r="M180" s="988" t="s">
        <v>32</v>
      </c>
    </row>
    <row r="181" spans="1:13" ht="17.100000000000001" customHeight="1">
      <c r="A181" s="961"/>
      <c r="B181" s="1004"/>
      <c r="C181" s="1004"/>
      <c r="D181" s="1004"/>
      <c r="E181" s="1004"/>
      <c r="F181" s="1004"/>
      <c r="G181" s="1004"/>
      <c r="H181" s="1004"/>
      <c r="I181" s="1004"/>
      <c r="J181" s="1004"/>
      <c r="K181" s="1004"/>
      <c r="L181" s="1004"/>
      <c r="M181" s="991"/>
    </row>
    <row r="182" spans="1:13" s="986" customFormat="1" ht="17.100000000000001" customHeight="1">
      <c r="A182" s="960" t="s">
        <v>523</v>
      </c>
      <c r="B182" s="892">
        <v>2981491.1761999996</v>
      </c>
      <c r="C182" s="892">
        <v>9794361.9299999997</v>
      </c>
      <c r="D182" s="892">
        <v>16974172.725000001</v>
      </c>
      <c r="E182" s="892">
        <v>24150899.959000003</v>
      </c>
      <c r="F182" s="892">
        <v>27683493.370000001</v>
      </c>
      <c r="G182" s="892">
        <v>28837911.886999998</v>
      </c>
      <c r="H182" s="892">
        <v>65322430.545999996</v>
      </c>
      <c r="I182" s="892">
        <v>70241138.639999986</v>
      </c>
      <c r="J182" s="892">
        <v>151612711.79100001</v>
      </c>
      <c r="K182" s="892">
        <v>134333648.206</v>
      </c>
      <c r="L182" s="892">
        <v>464021815.241</v>
      </c>
      <c r="M182" s="892">
        <f>SUM(B182:L182)</f>
        <v>995954075.47119999</v>
      </c>
    </row>
    <row r="183" spans="1:13" s="986" customFormat="1" ht="17.100000000000001" customHeight="1">
      <c r="A183" s="960" t="s">
        <v>527</v>
      </c>
      <c r="B183" s="824">
        <v>944801.01099999994</v>
      </c>
      <c r="C183" s="824">
        <v>3320906.4650000003</v>
      </c>
      <c r="D183" s="824">
        <v>6407185.5260000005</v>
      </c>
      <c r="E183" s="824">
        <v>8832417.3599999994</v>
      </c>
      <c r="F183" s="824">
        <v>10519603.465</v>
      </c>
      <c r="G183" s="824">
        <v>11650359.612</v>
      </c>
      <c r="H183" s="824">
        <v>26591006.226999998</v>
      </c>
      <c r="I183" s="824">
        <v>29113747.932999998</v>
      </c>
      <c r="J183" s="824">
        <v>65672615.372000001</v>
      </c>
      <c r="K183" s="824">
        <v>52185165.519999996</v>
      </c>
      <c r="L183" s="824">
        <v>129445566.171</v>
      </c>
      <c r="M183" s="824">
        <f>SUM(B183:L183)</f>
        <v>344683374.662</v>
      </c>
    </row>
    <row r="184" spans="1:13" s="986" customFormat="1" ht="17.100000000000001" customHeight="1">
      <c r="A184" s="960" t="s">
        <v>531</v>
      </c>
      <c r="B184" s="824">
        <v>1710487.1739999999</v>
      </c>
      <c r="C184" s="824">
        <v>5575726.5190000003</v>
      </c>
      <c r="D184" s="824">
        <v>9332472.8300000001</v>
      </c>
      <c r="E184" s="824">
        <v>12732870.471000001</v>
      </c>
      <c r="F184" s="824">
        <v>13356886.368999999</v>
      </c>
      <c r="G184" s="824">
        <v>12008843.911000002</v>
      </c>
      <c r="H184" s="824">
        <v>21662605.989</v>
      </c>
      <c r="I184" s="824">
        <v>17271540.660999998</v>
      </c>
      <c r="J184" s="824">
        <v>34076026.024999999</v>
      </c>
      <c r="K184" s="824">
        <v>22146147.033999998</v>
      </c>
      <c r="L184" s="824">
        <v>74926814.251000002</v>
      </c>
      <c r="M184" s="824">
        <f>SUM(B184:L184)</f>
        <v>224800421.23400003</v>
      </c>
    </row>
    <row r="185" spans="1:13" s="986" customFormat="1" ht="17.100000000000001" customHeight="1">
      <c r="A185" s="960" t="s">
        <v>535</v>
      </c>
      <c r="B185" s="824">
        <v>14104458.1197</v>
      </c>
      <c r="C185" s="824">
        <v>51401057.230000004</v>
      </c>
      <c r="D185" s="824">
        <v>83005192.138999999</v>
      </c>
      <c r="E185" s="824">
        <v>113078932.4051</v>
      </c>
      <c r="F185" s="824">
        <v>136187192.574</v>
      </c>
      <c r="G185" s="824">
        <v>142945587.97499999</v>
      </c>
      <c r="H185" s="824">
        <v>286962130.60899997</v>
      </c>
      <c r="I185" s="824">
        <v>271997994.06099999</v>
      </c>
      <c r="J185" s="824">
        <v>592819157.28300011</v>
      </c>
      <c r="K185" s="824">
        <v>476512833.55199999</v>
      </c>
      <c r="L185" s="824">
        <v>985887300.25099993</v>
      </c>
      <c r="M185" s="824">
        <f>SUM(B185:L185)</f>
        <v>3154901836.1988001</v>
      </c>
    </row>
    <row r="186" spans="1:13" s="986" customFormat="1" ht="17.100000000000001" customHeight="1">
      <c r="A186" s="960" t="s">
        <v>539</v>
      </c>
      <c r="B186" s="824">
        <v>17440372.117699999</v>
      </c>
      <c r="C186" s="824">
        <v>68045311.563999996</v>
      </c>
      <c r="D186" s="824">
        <v>116443804.69400001</v>
      </c>
      <c r="E186" s="824">
        <v>151030262.56900004</v>
      </c>
      <c r="F186" s="824">
        <v>163951521.25299999</v>
      </c>
      <c r="G186" s="824">
        <v>165136621.93700001</v>
      </c>
      <c r="H186" s="824">
        <v>330185033.54799998</v>
      </c>
      <c r="I186" s="824">
        <v>293378002.63199997</v>
      </c>
      <c r="J186" s="824">
        <v>584846260.273</v>
      </c>
      <c r="K186" s="824">
        <v>408702047.98699999</v>
      </c>
      <c r="L186" s="824">
        <v>1395037440.3420002</v>
      </c>
      <c r="M186" s="824">
        <f>SUM(B186:L186)</f>
        <v>3694196678.9167004</v>
      </c>
    </row>
    <row r="187" spans="1:13" s="986" customFormat="1" ht="17.100000000000001" customHeight="1">
      <c r="A187" s="960"/>
      <c r="B187" s="824"/>
      <c r="C187" s="824"/>
      <c r="D187" s="824"/>
      <c r="E187" s="824"/>
      <c r="F187" s="824"/>
      <c r="G187" s="824"/>
      <c r="H187" s="824"/>
      <c r="I187" s="824"/>
      <c r="J187" s="824"/>
      <c r="K187" s="824"/>
      <c r="L187" s="824"/>
      <c r="M187" s="824"/>
    </row>
    <row r="188" spans="1:13" s="986" customFormat="1" ht="17.100000000000001" customHeight="1">
      <c r="A188" s="960" t="s">
        <v>543</v>
      </c>
      <c r="B188" s="824">
        <v>635820.41399999999</v>
      </c>
      <c r="C188" s="824">
        <v>2196097.557</v>
      </c>
      <c r="D188" s="824">
        <v>2916433.5820000004</v>
      </c>
      <c r="E188" s="824">
        <v>4113129.2010000004</v>
      </c>
      <c r="F188" s="824">
        <v>3502735.2440000004</v>
      </c>
      <c r="G188" s="824">
        <v>3880378.7209999999</v>
      </c>
      <c r="H188" s="824">
        <v>8802121.3830000013</v>
      </c>
      <c r="I188" s="824">
        <v>7111411.4330000002</v>
      </c>
      <c r="J188" s="824">
        <v>17367565.813999999</v>
      </c>
      <c r="K188" s="824">
        <v>12007821.662</v>
      </c>
      <c r="L188" s="824">
        <v>21950011.734999999</v>
      </c>
      <c r="M188" s="824">
        <f>SUM(B188:L188)</f>
        <v>84483526.746000007</v>
      </c>
    </row>
    <row r="189" spans="1:13" s="986" customFormat="1" ht="17.100000000000001" customHeight="1">
      <c r="A189" s="960" t="s">
        <v>547</v>
      </c>
      <c r="B189" s="824">
        <v>2976707.6540000001</v>
      </c>
      <c r="C189" s="824">
        <v>11330143.064999999</v>
      </c>
      <c r="D189" s="824">
        <v>21244451.072000001</v>
      </c>
      <c r="E189" s="824">
        <v>28434990.612</v>
      </c>
      <c r="F189" s="824">
        <v>32545865.778999999</v>
      </c>
      <c r="G189" s="824">
        <v>32768721.971999999</v>
      </c>
      <c r="H189" s="824">
        <v>59923084.509000003</v>
      </c>
      <c r="I189" s="824">
        <v>47284311.151999995</v>
      </c>
      <c r="J189" s="824">
        <v>78711422.432000011</v>
      </c>
      <c r="K189" s="824">
        <v>46898669.574000001</v>
      </c>
      <c r="L189" s="824">
        <v>67029154.347000003</v>
      </c>
      <c r="M189" s="824">
        <f>SUM(B189:L189)</f>
        <v>429147522.16799998</v>
      </c>
    </row>
    <row r="190" spans="1:13" s="986" customFormat="1" ht="17.100000000000001" customHeight="1">
      <c r="A190" s="960" t="s">
        <v>551</v>
      </c>
      <c r="B190" s="824">
        <v>1098727.7579999999</v>
      </c>
      <c r="C190" s="824">
        <v>2662136.1550000003</v>
      </c>
      <c r="D190" s="824">
        <v>3659725.1119999997</v>
      </c>
      <c r="E190" s="824">
        <v>4088031.8679999998</v>
      </c>
      <c r="F190" s="824">
        <v>5316992.1740000006</v>
      </c>
      <c r="G190" s="824">
        <v>6709972.7249999996</v>
      </c>
      <c r="H190" s="824">
        <v>14339739.828</v>
      </c>
      <c r="I190" s="824">
        <v>17040389.608999997</v>
      </c>
      <c r="J190" s="824">
        <v>47894181.199000001</v>
      </c>
      <c r="K190" s="824">
        <v>49665833.236000001</v>
      </c>
      <c r="L190" s="824">
        <v>247856088.676</v>
      </c>
      <c r="M190" s="824">
        <f>SUM(B190:L190)</f>
        <v>400331818.34000003</v>
      </c>
    </row>
    <row r="191" spans="1:13" s="986" customFormat="1" ht="17.100000000000001" customHeight="1">
      <c r="A191" s="960" t="s">
        <v>555</v>
      </c>
      <c r="B191" s="824">
        <v>6663420.7488000002</v>
      </c>
      <c r="C191" s="824">
        <v>27913643.627</v>
      </c>
      <c r="D191" s="824">
        <v>52103715.690000005</v>
      </c>
      <c r="E191" s="824">
        <v>72303948.516000003</v>
      </c>
      <c r="F191" s="824">
        <v>79700187.450399995</v>
      </c>
      <c r="G191" s="824">
        <v>84450210.312999994</v>
      </c>
      <c r="H191" s="824">
        <v>161095619.44</v>
      </c>
      <c r="I191" s="824">
        <v>162480729.08500001</v>
      </c>
      <c r="J191" s="824">
        <v>319788587.074</v>
      </c>
      <c r="K191" s="824">
        <v>228560846.34099999</v>
      </c>
      <c r="L191" s="824">
        <v>404871100.51599997</v>
      </c>
      <c r="M191" s="824">
        <f>SUM(B191:L191)</f>
        <v>1599932008.8012002</v>
      </c>
    </row>
    <row r="192" spans="1:13" s="986" customFormat="1" ht="17.100000000000001" customHeight="1">
      <c r="A192" s="960" t="s">
        <v>559</v>
      </c>
      <c r="B192" s="824">
        <v>1257489.2289999998</v>
      </c>
      <c r="C192" s="824">
        <v>4285889.2929999996</v>
      </c>
      <c r="D192" s="824">
        <v>6306409.4280000003</v>
      </c>
      <c r="E192" s="824">
        <v>6193118.6569999997</v>
      </c>
      <c r="F192" s="824">
        <v>6985263.4820000008</v>
      </c>
      <c r="G192" s="824">
        <v>8094596</v>
      </c>
      <c r="H192" s="824">
        <v>16325838.514999999</v>
      </c>
      <c r="I192" s="824">
        <v>15178016.242000001</v>
      </c>
      <c r="J192" s="824">
        <v>34529059.417999998</v>
      </c>
      <c r="K192" s="824">
        <v>32189943.897</v>
      </c>
      <c r="L192" s="824">
        <v>101175119.124</v>
      </c>
      <c r="M192" s="824">
        <f>SUM(B192:L192)</f>
        <v>232520743.285</v>
      </c>
    </row>
    <row r="193" spans="1:13" s="986" customFormat="1" ht="17.100000000000001" customHeight="1">
      <c r="A193" s="960"/>
      <c r="B193" s="824"/>
      <c r="C193" s="824"/>
      <c r="D193" s="824"/>
      <c r="E193" s="824"/>
      <c r="F193" s="824"/>
      <c r="G193" s="824"/>
      <c r="H193" s="824"/>
      <c r="I193" s="824"/>
      <c r="J193" s="824"/>
      <c r="K193" s="824"/>
      <c r="L193" s="824"/>
      <c r="M193" s="824"/>
    </row>
    <row r="194" spans="1:13" s="986" customFormat="1" ht="17.100000000000001" customHeight="1">
      <c r="A194" s="960" t="s">
        <v>563</v>
      </c>
      <c r="B194" s="824">
        <v>19132992.572700001</v>
      </c>
      <c r="C194" s="824">
        <v>68622260.160999998</v>
      </c>
      <c r="D194" s="824">
        <v>112318593.892</v>
      </c>
      <c r="E194" s="824">
        <v>145778223.56900001</v>
      </c>
      <c r="F194" s="824">
        <v>164975426.80699998</v>
      </c>
      <c r="G194" s="824">
        <v>177267354.454</v>
      </c>
      <c r="H194" s="824">
        <v>346931918.91600001</v>
      </c>
      <c r="I194" s="824">
        <v>306331917.14999998</v>
      </c>
      <c r="J194" s="824">
        <v>540742038.03699994</v>
      </c>
      <c r="K194" s="824">
        <v>391536484.35600001</v>
      </c>
      <c r="L194" s="824">
        <v>2528436634.6399999</v>
      </c>
      <c r="M194" s="824">
        <f t="shared" ref="M194:M203" si="5">SUM(B194:L194)</f>
        <v>4802073844.5546999</v>
      </c>
    </row>
    <row r="195" spans="1:13" s="986" customFormat="1" ht="17.100000000000001" customHeight="1">
      <c r="A195" s="960" t="s">
        <v>37</v>
      </c>
      <c r="B195" s="824">
        <v>9340850.4480000008</v>
      </c>
      <c r="C195" s="824">
        <v>31867709.423</v>
      </c>
      <c r="D195" s="824">
        <v>54837346.571999997</v>
      </c>
      <c r="E195" s="824">
        <v>74792144.150000006</v>
      </c>
      <c r="F195" s="824">
        <v>90124461.084000006</v>
      </c>
      <c r="G195" s="824">
        <v>97598462.179000005</v>
      </c>
      <c r="H195" s="824">
        <v>177413561.63599998</v>
      </c>
      <c r="I195" s="824">
        <v>149587308.79300001</v>
      </c>
      <c r="J195" s="824">
        <v>290268833.75599998</v>
      </c>
      <c r="K195" s="824">
        <v>189375193.46799999</v>
      </c>
      <c r="L195" s="824">
        <v>622301721.403</v>
      </c>
      <c r="M195" s="824">
        <f t="shared" si="5"/>
        <v>1787507592.9119997</v>
      </c>
    </row>
    <row r="196" spans="1:13" s="986" customFormat="1" ht="17.100000000000001" customHeight="1">
      <c r="A196" s="960" t="s">
        <v>571</v>
      </c>
      <c r="B196" s="824">
        <v>2184004.4410000001</v>
      </c>
      <c r="C196" s="824">
        <v>6832926.6439999994</v>
      </c>
      <c r="D196" s="824">
        <v>11343811.253</v>
      </c>
      <c r="E196" s="824">
        <v>15846727.725000001</v>
      </c>
      <c r="F196" s="824">
        <v>18749106.971000001</v>
      </c>
      <c r="G196" s="824">
        <v>20638380.644000001</v>
      </c>
      <c r="H196" s="824">
        <v>47326433.478</v>
      </c>
      <c r="I196" s="824">
        <v>40905426.141000003</v>
      </c>
      <c r="J196" s="824">
        <v>91060447.702999994</v>
      </c>
      <c r="K196" s="824">
        <v>79153804.092999995</v>
      </c>
      <c r="L196" s="824">
        <v>241620259.74900001</v>
      </c>
      <c r="M196" s="824">
        <f t="shared" si="5"/>
        <v>575661328.84200001</v>
      </c>
    </row>
    <row r="197" spans="1:13" s="986" customFormat="1" ht="17.100000000000001" customHeight="1">
      <c r="A197" s="960" t="s">
        <v>575</v>
      </c>
      <c r="B197" s="824">
        <v>1996658.6170000001</v>
      </c>
      <c r="C197" s="824">
        <v>7022406.8109999998</v>
      </c>
      <c r="D197" s="824">
        <v>12069149.674999999</v>
      </c>
      <c r="E197" s="824">
        <v>16451054.401999999</v>
      </c>
      <c r="F197" s="824">
        <v>17462484.081999999</v>
      </c>
      <c r="G197" s="824">
        <v>22021490.923999999</v>
      </c>
      <c r="H197" s="824">
        <v>47389580.166999996</v>
      </c>
      <c r="I197" s="824">
        <v>42714177.201000005</v>
      </c>
      <c r="J197" s="824">
        <v>91153779.278999999</v>
      </c>
      <c r="K197" s="824">
        <v>66925886.936999999</v>
      </c>
      <c r="L197" s="824">
        <v>138864320.759</v>
      </c>
      <c r="M197" s="824">
        <f t="shared" si="5"/>
        <v>464070988.85399997</v>
      </c>
    </row>
    <row r="198" spans="1:13" s="986" customFormat="1" ht="17.100000000000001" customHeight="1">
      <c r="A198" s="960" t="s">
        <v>579</v>
      </c>
      <c r="B198" s="824">
        <v>5778175.5425000004</v>
      </c>
      <c r="C198" s="824">
        <v>20329003.454</v>
      </c>
      <c r="D198" s="824">
        <v>35956453.544</v>
      </c>
      <c r="E198" s="824">
        <v>46174413.803000003</v>
      </c>
      <c r="F198" s="824">
        <v>50963349.865000002</v>
      </c>
      <c r="G198" s="824">
        <v>56500628.946999997</v>
      </c>
      <c r="H198" s="824">
        <v>115228315.90800001</v>
      </c>
      <c r="I198" s="824">
        <v>118439583.47600001</v>
      </c>
      <c r="J198" s="824">
        <v>293859392.89100003</v>
      </c>
      <c r="K198" s="824">
        <v>281030964.25800002</v>
      </c>
      <c r="L198" s="824">
        <v>907195763.847</v>
      </c>
      <c r="M198" s="824">
        <f t="shared" si="5"/>
        <v>1931456045.5355</v>
      </c>
    </row>
    <row r="199" spans="1:13" s="986" customFormat="1" ht="17.100000000000001" customHeight="1">
      <c r="A199" s="960"/>
      <c r="B199" s="824"/>
      <c r="C199" s="824"/>
      <c r="D199" s="824"/>
      <c r="E199" s="824"/>
      <c r="F199" s="824"/>
      <c r="G199" s="824"/>
      <c r="H199" s="824"/>
      <c r="I199" s="824"/>
      <c r="J199" s="824"/>
      <c r="K199" s="824"/>
      <c r="L199" s="824"/>
      <c r="M199" s="824"/>
    </row>
    <row r="200" spans="1:13" s="986" customFormat="1" ht="17.100000000000001" customHeight="1">
      <c r="A200" s="960" t="s">
        <v>38</v>
      </c>
      <c r="B200" s="824">
        <v>37333897.5233</v>
      </c>
      <c r="C200" s="824">
        <v>112789610.9524</v>
      </c>
      <c r="D200" s="824">
        <v>174762324.03909999</v>
      </c>
      <c r="E200" s="824">
        <v>226825187.90400001</v>
      </c>
      <c r="F200" s="824">
        <v>273444081.33899999</v>
      </c>
      <c r="G200" s="824">
        <v>302239815.384</v>
      </c>
      <c r="H200" s="824">
        <v>670079591.13999999</v>
      </c>
      <c r="I200" s="824">
        <v>690255356.65700006</v>
      </c>
      <c r="J200" s="824">
        <v>1580529227.8250003</v>
      </c>
      <c r="K200" s="824">
        <v>1410257401.6689999</v>
      </c>
      <c r="L200" s="824">
        <v>5666657235.9370003</v>
      </c>
      <c r="M200" s="824">
        <f t="shared" si="5"/>
        <v>11145173730.369801</v>
      </c>
    </row>
    <row r="201" spans="1:13" s="986" customFormat="1" ht="17.100000000000001" customHeight="1">
      <c r="A201" s="960" t="s">
        <v>584</v>
      </c>
      <c r="B201" s="824">
        <v>1751566.6328</v>
      </c>
      <c r="C201" s="824">
        <v>5901606.04</v>
      </c>
      <c r="D201" s="824">
        <v>10506094.631999999</v>
      </c>
      <c r="E201" s="824">
        <v>14454190.356000001</v>
      </c>
      <c r="F201" s="824">
        <v>16822933.016999997</v>
      </c>
      <c r="G201" s="824">
        <v>20613951</v>
      </c>
      <c r="H201" s="824">
        <v>40164366.949999996</v>
      </c>
      <c r="I201" s="824">
        <v>35369255.280000001</v>
      </c>
      <c r="J201" s="824">
        <v>78367470.434</v>
      </c>
      <c r="K201" s="824">
        <v>50406965.539999999</v>
      </c>
      <c r="L201" s="824">
        <v>97263094.048999995</v>
      </c>
      <c r="M201" s="824">
        <f t="shared" si="5"/>
        <v>371621493.93079996</v>
      </c>
    </row>
    <row r="202" spans="1:13" s="986" customFormat="1" ht="17.100000000000001" customHeight="1">
      <c r="A202" s="960" t="s">
        <v>587</v>
      </c>
      <c r="B202" s="824">
        <v>1806708.7220000001</v>
      </c>
      <c r="C202" s="824">
        <v>4597362.8969999999</v>
      </c>
      <c r="D202" s="824">
        <v>6530806.6979999999</v>
      </c>
      <c r="E202" s="824">
        <v>8558708.1449999996</v>
      </c>
      <c r="F202" s="824">
        <v>8906531.4879999999</v>
      </c>
      <c r="G202" s="824">
        <v>9971612.0219999999</v>
      </c>
      <c r="H202" s="824">
        <v>16910482.763999999</v>
      </c>
      <c r="I202" s="824">
        <v>17865016.550999999</v>
      </c>
      <c r="J202" s="824">
        <v>40316110.396000005</v>
      </c>
      <c r="K202" s="824">
        <v>31470100.800999999</v>
      </c>
      <c r="L202" s="824">
        <v>164716350.91800001</v>
      </c>
      <c r="M202" s="824">
        <f t="shared" si="5"/>
        <v>311649791.40200001</v>
      </c>
    </row>
    <row r="203" spans="1:13" s="986" customFormat="1" ht="17.100000000000001" customHeight="1">
      <c r="A203" s="961" t="s">
        <v>590</v>
      </c>
      <c r="B203" s="886">
        <v>2774531.8309999998</v>
      </c>
      <c r="C203" s="886">
        <v>8057510.6329999994</v>
      </c>
      <c r="D203" s="886">
        <v>14412756.982000001</v>
      </c>
      <c r="E203" s="886">
        <v>18406006.813000001</v>
      </c>
      <c r="F203" s="886">
        <v>21513242.805</v>
      </c>
      <c r="G203" s="886">
        <v>23826445.530000001</v>
      </c>
      <c r="H203" s="886">
        <v>48156123.153999999</v>
      </c>
      <c r="I203" s="886">
        <v>44875258.833999999</v>
      </c>
      <c r="J203" s="886">
        <v>86986616.383000001</v>
      </c>
      <c r="K203" s="886">
        <v>60263314.568000004</v>
      </c>
      <c r="L203" s="886">
        <v>276814790.12900001</v>
      </c>
      <c r="M203" s="824">
        <f t="shared" si="5"/>
        <v>606086597.66200006</v>
      </c>
    </row>
    <row r="204" spans="1:13" ht="17.100000000000001" customHeight="1">
      <c r="A204" s="961"/>
      <c r="B204" s="1021"/>
      <c r="C204" s="1021"/>
      <c r="D204" s="1021"/>
      <c r="E204" s="1021"/>
      <c r="F204" s="1021"/>
      <c r="G204" s="1021"/>
      <c r="H204" s="1021"/>
      <c r="I204" s="1015"/>
      <c r="J204" s="1015"/>
      <c r="K204" s="1015"/>
      <c r="L204" s="1015"/>
      <c r="M204" s="1015"/>
    </row>
    <row r="205" spans="1:13" s="1012" customFormat="1" ht="18" customHeight="1">
      <c r="A205" s="1010" t="s">
        <v>39</v>
      </c>
      <c r="B205" s="1011">
        <f>SUM(B182:B203)+B177</f>
        <v>207969397.07023001</v>
      </c>
      <c r="C205" s="1011">
        <f t="shared" ref="C205:M205" si="6">SUM(C182:C203)+C177</f>
        <v>700553051.70679998</v>
      </c>
      <c r="D205" s="1011">
        <f t="shared" si="6"/>
        <v>1157546172.2121997</v>
      </c>
      <c r="E205" s="1011">
        <f t="shared" si="6"/>
        <v>1522906279.8735998</v>
      </c>
      <c r="F205" s="1011">
        <f t="shared" si="6"/>
        <v>1772145011.2644002</v>
      </c>
      <c r="G205" s="1011">
        <f t="shared" si="6"/>
        <v>1897010610.1456006</v>
      </c>
      <c r="H205" s="1011">
        <f t="shared" si="6"/>
        <v>3897077878.8414993</v>
      </c>
      <c r="I205" s="1011">
        <f t="shared" si="6"/>
        <v>3777232673.1515007</v>
      </c>
      <c r="J205" s="1011">
        <f t="shared" si="6"/>
        <v>8230602583.8199005</v>
      </c>
      <c r="K205" s="1011">
        <f t="shared" si="6"/>
        <v>6780754354.8239994</v>
      </c>
      <c r="L205" s="1011">
        <f t="shared" si="6"/>
        <v>26163426189.581299</v>
      </c>
      <c r="M205" s="1011">
        <f t="shared" si="6"/>
        <v>56107224202.491035</v>
      </c>
    </row>
    <row r="206" spans="1:13" s="1012" customFormat="1" ht="18" customHeight="1">
      <c r="A206" s="1010" t="s">
        <v>34</v>
      </c>
      <c r="B206" s="1011">
        <f>B144</f>
        <v>429274552.33915007</v>
      </c>
      <c r="C206" s="1011">
        <f t="shared" ref="C206:M206" si="7">C144</f>
        <v>1258956862.01495</v>
      </c>
      <c r="D206" s="1011">
        <f t="shared" si="7"/>
        <v>2014706334.6777997</v>
      </c>
      <c r="E206" s="1011">
        <f t="shared" si="7"/>
        <v>2708435174.8369999</v>
      </c>
      <c r="F206" s="1011">
        <f t="shared" si="7"/>
        <v>3233640513.8824205</v>
      </c>
      <c r="G206" s="1011">
        <f t="shared" si="7"/>
        <v>3613302732.3836002</v>
      </c>
      <c r="H206" s="1011">
        <f t="shared" si="7"/>
        <v>7942533867.4026012</v>
      </c>
      <c r="I206" s="1011">
        <f t="shared" si="7"/>
        <v>8258714375.5100002</v>
      </c>
      <c r="J206" s="1011">
        <f t="shared" si="7"/>
        <v>20657367142.544399</v>
      </c>
      <c r="K206" s="1011">
        <f t="shared" si="7"/>
        <v>19831831852.212402</v>
      </c>
      <c r="L206" s="1011">
        <f t="shared" si="7"/>
        <v>105647764538.59409</v>
      </c>
      <c r="M206" s="1011">
        <f t="shared" si="7"/>
        <v>175596527946.39844</v>
      </c>
    </row>
    <row r="207" spans="1:13" s="986" customFormat="1" ht="18" customHeight="1">
      <c r="A207" s="1010" t="s">
        <v>826</v>
      </c>
      <c r="B207" s="1022">
        <v>58241608.052100003</v>
      </c>
      <c r="C207" s="1022">
        <v>119455680.97499999</v>
      </c>
      <c r="D207" s="1022">
        <v>138650552.89030001</v>
      </c>
      <c r="E207" s="1022">
        <v>151248842.29539999</v>
      </c>
      <c r="F207" s="1022">
        <v>158405640.18979996</v>
      </c>
      <c r="G207" s="1022">
        <v>168343682.99700001</v>
      </c>
      <c r="H207" s="1022">
        <v>320787106.13599998</v>
      </c>
      <c r="I207" s="1022">
        <v>280032314.99269998</v>
      </c>
      <c r="J207" s="1022">
        <v>567831513.38189995</v>
      </c>
      <c r="K207" s="1022">
        <v>420698805.29899997</v>
      </c>
      <c r="L207" s="1022">
        <v>3179918828.3214998</v>
      </c>
      <c r="M207" s="1022">
        <f>SUM(B207:L207)</f>
        <v>5563614575.5306988</v>
      </c>
    </row>
    <row r="208" spans="1:13" s="1012" customFormat="1" ht="17.100000000000001" customHeight="1">
      <c r="A208" s="1010"/>
      <c r="B208" s="1011"/>
      <c r="C208" s="1011"/>
      <c r="D208" s="1011"/>
      <c r="E208" s="1011"/>
      <c r="F208" s="1011"/>
      <c r="G208" s="1011"/>
      <c r="H208" s="1011"/>
      <c r="I208" s="1011"/>
      <c r="J208" s="1011"/>
      <c r="K208" s="1011"/>
      <c r="L208" s="1011"/>
      <c r="M208" s="1011"/>
    </row>
    <row r="209" spans="1:13" s="1012" customFormat="1" ht="18" customHeight="1">
      <c r="A209" s="1010" t="s">
        <v>40</v>
      </c>
      <c r="B209" s="1023">
        <f>SUM(B205:B207)</f>
        <v>695485557.46148014</v>
      </c>
      <c r="C209" s="1023">
        <f t="shared" ref="C209:L209" si="8">SUM(C205:C207)</f>
        <v>2078965594.6967499</v>
      </c>
      <c r="D209" s="1023">
        <f t="shared" si="8"/>
        <v>3310903059.7802992</v>
      </c>
      <c r="E209" s="1023">
        <f t="shared" si="8"/>
        <v>4382590297.0059996</v>
      </c>
      <c r="F209" s="1023">
        <f t="shared" si="8"/>
        <v>5164191165.3366213</v>
      </c>
      <c r="G209" s="1023">
        <f t="shared" si="8"/>
        <v>5678657025.5262003</v>
      </c>
      <c r="H209" s="1023">
        <f t="shared" si="8"/>
        <v>12160398852.3801</v>
      </c>
      <c r="I209" s="1023">
        <f t="shared" si="8"/>
        <v>12315979363.654202</v>
      </c>
      <c r="J209" s="1023">
        <f t="shared" si="8"/>
        <v>29455801239.746201</v>
      </c>
      <c r="K209" s="1023">
        <f t="shared" si="8"/>
        <v>27033285012.3354</v>
      </c>
      <c r="L209" s="1023">
        <f t="shared" si="8"/>
        <v>134991109556.49689</v>
      </c>
      <c r="M209" s="1023">
        <f>SUM(M205:M207)</f>
        <v>237267366724.42017</v>
      </c>
    </row>
    <row r="211" spans="1:13" ht="17.100000000000001" customHeight="1">
      <c r="A211" s="986" t="s">
        <v>27</v>
      </c>
    </row>
    <row r="212" spans="1:13" ht="17.100000000000001" customHeight="1">
      <c r="A212" s="978" t="s">
        <v>827</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4.4</vt:lpstr>
      <vt:lpstr>Table 5.1</vt:lpstr>
      <vt:lpstr>Table 5.2</vt:lpstr>
      <vt:lpstr>Tables 5.3-5.4</vt:lpstr>
      <vt:lpstr>Table 5.5</vt:lpstr>
      <vt:lpstr>Table 5.6</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4.4'!Print_Area</vt:lpstr>
      <vt:lpstr>'Table 5.5'!Print_Area</vt:lpstr>
      <vt:lpstr>'Table 5.6'!Print_Area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Adam Silverman</dc:creator>
  <cp:lastModifiedBy>Otto-obong Essen</cp:lastModifiedBy>
  <cp:lastPrinted>2013-11-14T14:59:04Z</cp:lastPrinted>
  <dcterms:created xsi:type="dcterms:W3CDTF">2008-10-20T18:07:18Z</dcterms:created>
  <dcterms:modified xsi:type="dcterms:W3CDTF">2016-06-10T14:19:06Z</dcterms:modified>
</cp:coreProperties>
</file>