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6.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B:\_TAX Annual Report\x_Backup\"/>
    </mc:Choice>
  </mc:AlternateContent>
  <xr:revisionPtr revIDLastSave="0" documentId="8_{BF749F12-99AF-44D7-9171-44FA705D1BFB}" xr6:coauthVersionLast="47" xr6:coauthVersionMax="47" xr10:uidLastSave="{00000000-0000-0000-0000-000000000000}"/>
  <bookViews>
    <workbookView xWindow="28680" yWindow="-120" windowWidth="19440" windowHeight="15600" tabRatio="781" xr2:uid="{35EA8ED6-30AE-4175-8628-74D848223143}"/>
  </bookViews>
  <sheets>
    <sheet name="Cover" sheetId="1" r:id="rId1"/>
    <sheet name="TOC" sheetId="6" r:id="rId2"/>
    <sheet name="RevExp" sheetId="42" r:id="rId3"/>
    <sheet name="ByAcct" sheetId="4" r:id="rId4"/>
    <sheet name="1.1" sheetId="31" r:id="rId5"/>
    <sheet name="1.2" sheetId="30" r:id="rId6"/>
    <sheet name="1.3" sheetId="29" r:id="rId7"/>
    <sheet name="1.4" sheetId="28" r:id="rId8"/>
    <sheet name="1.5" sheetId="27" r:id="rId9"/>
    <sheet name="1.6" sheetId="26" r:id="rId10"/>
    <sheet name="1.7" sheetId="25" r:id="rId11"/>
    <sheet name="1.8-1.9" sheetId="41" r:id="rId12"/>
    <sheet name="1.10" sheetId="40" r:id="rId13"/>
    <sheet name="2.1" sheetId="37" r:id="rId14"/>
    <sheet name="2.2" sheetId="39" r:id="rId15"/>
    <sheet name="2.3" sheetId="38" r:id="rId16"/>
    <sheet name="3.1" sheetId="35" r:id="rId17"/>
    <sheet name="4.1" sheetId="3" r:id="rId18"/>
    <sheet name="4.2" sheetId="16" r:id="rId19"/>
    <sheet name="4.3" sheetId="22" r:id="rId20"/>
    <sheet name="5.1" sheetId="32" r:id="rId21"/>
    <sheet name="5.2" sheetId="33" r:id="rId22"/>
    <sheet name="5.3-5.4" sheetId="20" r:id="rId23"/>
    <sheet name="5.5" sheetId="19" r:id="rId24"/>
    <sheet name="5.6" sheetId="17" r:id="rId25"/>
    <sheet name="5.7" sheetId="34" r:id="rId26"/>
    <sheet name="6.1" sheetId="15" r:id="rId27"/>
    <sheet name="6.2" sheetId="8" r:id="rId28"/>
    <sheet name="6.3" sheetId="9" r:id="rId29"/>
    <sheet name="6.4" sheetId="10" r:id="rId30"/>
    <sheet name="6.5" sheetId="43" r:id="rId31"/>
    <sheet name="7.1" sheetId="11" r:id="rId32"/>
    <sheet name="Directory" sheetId="14" r:id="rId33"/>
  </sheets>
  <definedNames>
    <definedName name="_xlnm.Print_Area" localSheetId="4">'1.1'!$B$1:$G$22</definedName>
    <definedName name="_xlnm.Print_Area" localSheetId="12">'1.10'!$B$1:$O$51</definedName>
    <definedName name="_xlnm.Print_Area" localSheetId="5">'1.2'!$B$1:$L$40</definedName>
    <definedName name="_xlnm.Print_Area" localSheetId="6">'1.3'!$B$1:$I$33</definedName>
    <definedName name="_xlnm.Print_Area" localSheetId="7">'1.4'!$B$1:$L$33</definedName>
    <definedName name="_xlnm.Print_Area" localSheetId="8">'1.5'!$B$1:$O$174</definedName>
    <definedName name="_xlnm.Print_Area" localSheetId="9">'1.6'!$B$1:$N$179</definedName>
    <definedName name="_xlnm.Print_Area" localSheetId="10">'1.7'!$B$1:$I$174</definedName>
    <definedName name="_xlnm.Print_Area" localSheetId="11">'1.8-1.9'!$B$1:$O$43</definedName>
    <definedName name="_xlnm.Print_Area" localSheetId="13">'2.1'!$B$1:$G$18</definedName>
    <definedName name="_xlnm.Print_Area" localSheetId="14">'2.2'!$B$1:$K$25</definedName>
    <definedName name="_xlnm.Print_Area" localSheetId="15">'2.3'!$B$1:$K$23</definedName>
    <definedName name="_xlnm.Print_Area" localSheetId="16">'3.1'!$B$1:$G$57</definedName>
    <definedName name="_xlnm.Print_Area" localSheetId="17">'4.1'!$B$1:$Q$38</definedName>
    <definedName name="_xlnm.Print_Area" localSheetId="18">'4.2'!$B$1:$I$43</definedName>
    <definedName name="_xlnm.Print_Area" localSheetId="19">'4.3'!$B$1:$O$66</definedName>
    <definedName name="_xlnm.Print_Area" localSheetId="20">'5.1'!$B$1:$I$24</definedName>
    <definedName name="_xlnm.Print_Area" localSheetId="21">'5.2'!$B$1:$J$52</definedName>
    <definedName name="_xlnm.Print_Area" localSheetId="22">'5.3-5.4'!$B$1:$H$48</definedName>
    <definedName name="_xlnm.Print_Area" localSheetId="23">'5.5'!$B$1:$H$170</definedName>
    <definedName name="_xlnm.Print_Area" localSheetId="24">'5.6'!$B$1:$T$88</definedName>
    <definedName name="_xlnm.Print_Area" localSheetId="25">'5.7'!$B$1:$L$37</definedName>
    <definedName name="_xlnm.Print_Area" localSheetId="26">'6.1'!$B$1:$H$32</definedName>
    <definedName name="_xlnm.Print_Area" localSheetId="27">'6.2'!$B$1:$I$179</definedName>
    <definedName name="_xlnm.Print_Area" localSheetId="28">'6.3'!$B$1:$I$178</definedName>
    <definedName name="_xlnm.Print_Area" localSheetId="29">'6.4'!$B$1:$M$182</definedName>
    <definedName name="_xlnm.Print_Area" localSheetId="30">'6.5'!$B$1:$O$182</definedName>
    <definedName name="_xlnm.Print_Area" localSheetId="31">'7.1'!$B$1:$E$27</definedName>
    <definedName name="_xlnm.Print_Area" localSheetId="3">ByAcct!$B$1:$S$53</definedName>
    <definedName name="_xlnm.Print_Area" localSheetId="0">Cover!$A$2:$A$12</definedName>
    <definedName name="_xlnm.Print_Area" localSheetId="32">Directory!$A$1:$C$18</definedName>
    <definedName name="_xlnm.Print_Area" localSheetId="2">RevExp!$B$1:$Y$49</definedName>
    <definedName name="_xlnm.Print_Area" localSheetId="1">TOC!$A$1:$E$51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7" i="43" l="1"/>
  <c r="C112" i="43"/>
  <c r="C77" i="43"/>
  <c r="C57" i="43"/>
  <c r="C40" i="43"/>
  <c r="D40" i="43"/>
  <c r="E40" i="43"/>
  <c r="B24" i="15"/>
  <c r="B25" i="15"/>
  <c r="B26" i="15"/>
  <c r="B27" i="15"/>
  <c r="B28" i="15"/>
  <c r="B23" i="15"/>
  <c r="B16" i="15"/>
  <c r="B17" i="15"/>
  <c r="B18" i="15"/>
  <c r="B19" i="15"/>
  <c r="B20" i="15"/>
  <c r="B15" i="15"/>
  <c r="H20" i="15"/>
  <c r="H19" i="15"/>
  <c r="H18" i="15"/>
  <c r="H17" i="15"/>
  <c r="H16" i="15"/>
  <c r="H15" i="15"/>
  <c r="H12" i="15"/>
  <c r="H11" i="15"/>
  <c r="H10" i="15"/>
  <c r="H9" i="15"/>
  <c r="H8" i="15"/>
  <c r="H7" i="15"/>
  <c r="F58" i="9"/>
  <c r="F59" i="9"/>
  <c r="F60" i="9"/>
  <c r="F61" i="9"/>
  <c r="F62" i="9"/>
  <c r="F63" i="9"/>
  <c r="F64" i="9"/>
  <c r="F65" i="9"/>
  <c r="F66" i="9"/>
  <c r="F67" i="9"/>
  <c r="F68" i="9"/>
  <c r="F69" i="9"/>
  <c r="F70" i="9"/>
  <c r="F71" i="9"/>
  <c r="F72"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8" i="9"/>
  <c r="F149" i="9"/>
  <c r="F150" i="9"/>
  <c r="F151" i="9"/>
  <c r="F152" i="9"/>
  <c r="F153" i="9"/>
  <c r="F154" i="9"/>
  <c r="F155" i="9"/>
  <c r="F156" i="9"/>
  <c r="F157" i="9"/>
  <c r="F158" i="9"/>
  <c r="F159" i="9"/>
  <c r="F160" i="9"/>
  <c r="F161" i="9"/>
  <c r="F162" i="9"/>
  <c r="F163" i="9"/>
  <c r="F164" i="9"/>
  <c r="F165" i="9"/>
  <c r="F166" i="9"/>
  <c r="F167" i="9"/>
  <c r="C15" i="38"/>
  <c r="D6" i="38" s="1"/>
  <c r="F15" i="38"/>
  <c r="G6" i="38" s="1"/>
  <c r="I15" i="38"/>
  <c r="J6" i="38" s="1"/>
  <c r="B46" i="6"/>
  <c r="F50" i="43"/>
  <c r="F171" i="43" s="1"/>
  <c r="K50" i="43"/>
  <c r="K171" i="43" s="1"/>
  <c r="H50" i="43"/>
  <c r="H171" i="43" s="1"/>
  <c r="E50" i="43"/>
  <c r="E171" i="43" s="1"/>
  <c r="O147" i="43"/>
  <c r="N147" i="43"/>
  <c r="M147" i="43"/>
  <c r="L147" i="43"/>
  <c r="K147" i="43"/>
  <c r="J147" i="43"/>
  <c r="I147" i="43"/>
  <c r="H147" i="43"/>
  <c r="G147" i="43"/>
  <c r="F147" i="43"/>
  <c r="E147" i="43"/>
  <c r="D147" i="43"/>
  <c r="N146" i="43"/>
  <c r="L146" i="43"/>
  <c r="F146" i="43"/>
  <c r="O112" i="43"/>
  <c r="N112" i="43"/>
  <c r="M112" i="43"/>
  <c r="L112" i="43"/>
  <c r="K112" i="43"/>
  <c r="J112" i="43"/>
  <c r="I112" i="43"/>
  <c r="H112" i="43"/>
  <c r="G112" i="43"/>
  <c r="F112" i="43"/>
  <c r="E112" i="43"/>
  <c r="D112" i="43"/>
  <c r="N111" i="43"/>
  <c r="L111" i="43"/>
  <c r="F111" i="43"/>
  <c r="O77" i="43"/>
  <c r="N77" i="43"/>
  <c r="M77" i="43"/>
  <c r="L77" i="43"/>
  <c r="K77" i="43"/>
  <c r="K169" i="43" s="1"/>
  <c r="J77" i="43"/>
  <c r="I77" i="43"/>
  <c r="H77" i="43"/>
  <c r="G77" i="43"/>
  <c r="F77" i="43"/>
  <c r="E77" i="43"/>
  <c r="D77" i="43"/>
  <c r="N76" i="43"/>
  <c r="L76" i="43"/>
  <c r="F76" i="43"/>
  <c r="O57" i="43"/>
  <c r="N57" i="43"/>
  <c r="M57" i="43"/>
  <c r="L57" i="43"/>
  <c r="K57" i="43"/>
  <c r="J57" i="43"/>
  <c r="I57" i="43"/>
  <c r="H57" i="43"/>
  <c r="G57" i="43"/>
  <c r="F57" i="43"/>
  <c r="E57" i="43"/>
  <c r="D57" i="43"/>
  <c r="N56" i="43"/>
  <c r="L56" i="43"/>
  <c r="F56" i="43"/>
  <c r="K40" i="43"/>
  <c r="H40" i="43"/>
  <c r="F39" i="43"/>
  <c r="L39" i="43"/>
  <c r="N39" i="43"/>
  <c r="F40" i="43"/>
  <c r="G40" i="43"/>
  <c r="I40" i="43"/>
  <c r="J40" i="43"/>
  <c r="L40" i="43"/>
  <c r="M40" i="43"/>
  <c r="N40" i="43"/>
  <c r="O40" i="43"/>
  <c r="B144" i="43"/>
  <c r="B109" i="43"/>
  <c r="B74" i="43"/>
  <c r="B54" i="43"/>
  <c r="O171" i="43"/>
  <c r="N171" i="43"/>
  <c r="M171" i="43"/>
  <c r="L171" i="43"/>
  <c r="J50" i="43"/>
  <c r="J171" i="43" s="1"/>
  <c r="I50" i="43"/>
  <c r="I171" i="43" s="1"/>
  <c r="G171" i="43"/>
  <c r="B37" i="43"/>
  <c r="B36" i="43"/>
  <c r="B143" i="43" s="1"/>
  <c r="T72" i="17"/>
  <c r="T70" i="17"/>
  <c r="P44" i="17"/>
  <c r="L41" i="17"/>
  <c r="T71" i="17" s="1"/>
  <c r="T74" i="17" l="1"/>
  <c r="H169" i="43"/>
  <c r="H173" i="43" s="1"/>
  <c r="E169" i="43"/>
  <c r="E173" i="43" s="1"/>
  <c r="J14" i="38"/>
  <c r="J11" i="38"/>
  <c r="J8" i="38"/>
  <c r="G14" i="38"/>
  <c r="G11" i="38"/>
  <c r="D14" i="38"/>
  <c r="D9" i="38"/>
  <c r="J13" i="38"/>
  <c r="D11" i="38"/>
  <c r="G8" i="38"/>
  <c r="G13" i="38"/>
  <c r="J10" i="38"/>
  <c r="D8" i="38"/>
  <c r="D13" i="38"/>
  <c r="G10" i="38"/>
  <c r="J7" i="38"/>
  <c r="J12" i="38"/>
  <c r="D10" i="38"/>
  <c r="G7" i="38"/>
  <c r="G12" i="38"/>
  <c r="J9" i="38"/>
  <c r="D7" i="38"/>
  <c r="D12" i="38"/>
  <c r="G9" i="38"/>
  <c r="K173" i="43"/>
  <c r="F169" i="43"/>
  <c r="F173" i="43" s="1"/>
  <c r="I169" i="43"/>
  <c r="I173" i="43" s="1"/>
  <c r="J169" i="43"/>
  <c r="J173" i="43" s="1"/>
  <c r="B108" i="43"/>
  <c r="B53" i="43"/>
  <c r="B73" i="43"/>
  <c r="H54" i="19"/>
  <c r="G54" i="19"/>
  <c r="F54" i="19"/>
  <c r="E54" i="19"/>
  <c r="D54" i="19"/>
  <c r="C54" i="19"/>
  <c r="J15" i="38" l="1"/>
  <c r="G15" i="38"/>
  <c r="D15" i="38"/>
  <c r="N41" i="4"/>
  <c r="L58" i="4"/>
  <c r="L41" i="4"/>
  <c r="L57" i="4" s="1"/>
  <c r="L38" i="42" l="1"/>
  <c r="L17" i="42"/>
  <c r="L16" i="42"/>
  <c r="L18" i="42" s="1"/>
  <c r="L13" i="42"/>
  <c r="L40" i="42" s="1"/>
  <c r="L8" i="42"/>
  <c r="B4" i="6" l="1"/>
  <c r="B5" i="6"/>
  <c r="N12" i="42" l="1"/>
  <c r="N17" i="42" s="1"/>
  <c r="M12" i="42"/>
  <c r="M17" i="42" s="1"/>
  <c r="K17" i="42"/>
  <c r="N11" i="42"/>
  <c r="N16" i="42" s="1"/>
  <c r="M11" i="42"/>
  <c r="M16" i="42" s="1"/>
  <c r="K16" i="42"/>
  <c r="N58" i="4"/>
  <c r="M58" i="4"/>
  <c r="K58" i="4"/>
  <c r="N57" i="4"/>
  <c r="M41" i="4"/>
  <c r="P41" i="4" s="1"/>
  <c r="K41" i="4"/>
  <c r="K57" i="4" s="1"/>
  <c r="J41" i="4"/>
  <c r="P39" i="4"/>
  <c r="H39" i="4"/>
  <c r="G39" i="4"/>
  <c r="G41" i="4" s="1"/>
  <c r="G57" i="4" s="1"/>
  <c r="F39" i="4"/>
  <c r="F41" i="4" s="1"/>
  <c r="F57" i="4" s="1"/>
  <c r="E39" i="4"/>
  <c r="E41" i="4" s="1"/>
  <c r="E57" i="4" s="1"/>
  <c r="D39" i="4"/>
  <c r="D41" i="4" s="1"/>
  <c r="D57" i="4" s="1"/>
  <c r="C39" i="4"/>
  <c r="C41" i="4" s="1"/>
  <c r="C57" i="4" s="1"/>
  <c r="P37" i="4"/>
  <c r="P36" i="4"/>
  <c r="I36" i="4"/>
  <c r="P35" i="4"/>
  <c r="I35" i="4"/>
  <c r="P34" i="4"/>
  <c r="I34" i="4"/>
  <c r="P33" i="4"/>
  <c r="I33" i="4"/>
  <c r="P32" i="4"/>
  <c r="I32" i="4"/>
  <c r="P31" i="4"/>
  <c r="I31" i="4"/>
  <c r="P30" i="4"/>
  <c r="I30" i="4"/>
  <c r="P29" i="4"/>
  <c r="I29" i="4"/>
  <c r="P28" i="4"/>
  <c r="P27" i="4"/>
  <c r="I27" i="4"/>
  <c r="P26" i="4"/>
  <c r="I26" i="4"/>
  <c r="P25" i="4"/>
  <c r="I25" i="4"/>
  <c r="P24" i="4"/>
  <c r="I24" i="4"/>
  <c r="P23" i="4"/>
  <c r="I23" i="4"/>
  <c r="P22" i="4"/>
  <c r="I22" i="4"/>
  <c r="P21" i="4"/>
  <c r="I21" i="4"/>
  <c r="P18" i="4"/>
  <c r="H18" i="4"/>
  <c r="P16" i="4"/>
  <c r="I16" i="4"/>
  <c r="P15" i="4"/>
  <c r="I15" i="4"/>
  <c r="P14" i="4"/>
  <c r="I14" i="4"/>
  <c r="P13" i="4"/>
  <c r="I13" i="4"/>
  <c r="P12" i="4"/>
  <c r="I12" i="4"/>
  <c r="P11" i="4"/>
  <c r="I11" i="4"/>
  <c r="P10" i="4"/>
  <c r="I10" i="4"/>
  <c r="P9" i="4"/>
  <c r="J9" i="4"/>
  <c r="J57" i="4" s="1"/>
  <c r="I9" i="4"/>
  <c r="P8" i="4"/>
  <c r="I8" i="4"/>
  <c r="P7" i="4"/>
  <c r="P3" i="4"/>
  <c r="N38" i="42"/>
  <c r="M38" i="42"/>
  <c r="K38" i="42"/>
  <c r="J38" i="42"/>
  <c r="I38" i="42"/>
  <c r="G38" i="42"/>
  <c r="F38" i="42"/>
  <c r="E38" i="42"/>
  <c r="D38" i="42"/>
  <c r="C38" i="42"/>
  <c r="G33" i="42"/>
  <c r="F33" i="42"/>
  <c r="E33" i="42"/>
  <c r="D33" i="42"/>
  <c r="C33" i="42"/>
  <c r="J17" i="42"/>
  <c r="I17" i="42"/>
  <c r="H17" i="42"/>
  <c r="G17" i="42"/>
  <c r="F17" i="42"/>
  <c r="E17" i="42"/>
  <c r="D17" i="42"/>
  <c r="C17" i="42"/>
  <c r="J16" i="42"/>
  <c r="J18" i="42" s="1"/>
  <c r="I16" i="42"/>
  <c r="I18" i="42" s="1"/>
  <c r="H16" i="42"/>
  <c r="H18" i="42" s="1"/>
  <c r="G16" i="42"/>
  <c r="G18" i="42" s="1"/>
  <c r="F16" i="42"/>
  <c r="F18" i="42" s="1"/>
  <c r="E16" i="42"/>
  <c r="E18" i="42" s="1"/>
  <c r="D16" i="42"/>
  <c r="D18" i="42" s="1"/>
  <c r="C16" i="42"/>
  <c r="C18" i="42" s="1"/>
  <c r="J13" i="42"/>
  <c r="I13" i="42"/>
  <c r="H13" i="42"/>
  <c r="G13" i="42"/>
  <c r="F13" i="42"/>
  <c r="E13" i="42"/>
  <c r="D13" i="42"/>
  <c r="C13" i="42"/>
  <c r="N8" i="42"/>
  <c r="M8" i="42"/>
  <c r="K8" i="42"/>
  <c r="J8" i="42"/>
  <c r="I8" i="42"/>
  <c r="H8" i="42"/>
  <c r="G8" i="42"/>
  <c r="F8" i="42"/>
  <c r="E8" i="42"/>
  <c r="D8" i="42"/>
  <c r="C8" i="42"/>
  <c r="P7" i="42"/>
  <c r="P6" i="42"/>
  <c r="P2" i="42"/>
  <c r="P8" i="42" l="1"/>
  <c r="E40" i="42"/>
  <c r="F40" i="42"/>
  <c r="H41" i="4"/>
  <c r="H57" i="4" s="1"/>
  <c r="Q9" i="4"/>
  <c r="G40" i="42"/>
  <c r="I40" i="42"/>
  <c r="J40" i="42"/>
  <c r="R16" i="42"/>
  <c r="C40" i="42"/>
  <c r="D40" i="42"/>
  <c r="R17" i="42"/>
  <c r="I18" i="4"/>
  <c r="Q13" i="4"/>
  <c r="M57" i="4"/>
  <c r="Q58" i="4" s="1"/>
  <c r="Q8" i="4"/>
  <c r="I39" i="4"/>
  <c r="I41" i="4" s="1"/>
  <c r="I57" i="4" s="1"/>
  <c r="R12" i="42"/>
  <c r="P12" i="42"/>
  <c r="M18" i="42"/>
  <c r="K18" i="42"/>
  <c r="R11" i="42"/>
  <c r="P16" i="42"/>
  <c r="N18" i="42"/>
  <c r="P17" i="42"/>
  <c r="K13" i="42"/>
  <c r="K40" i="42" s="1"/>
  <c r="M13" i="42"/>
  <c r="M40" i="42" s="1"/>
  <c r="N13" i="42"/>
  <c r="N40" i="42" s="1"/>
  <c r="P11" i="42"/>
  <c r="P18" i="42" l="1"/>
  <c r="P13" i="42"/>
  <c r="B16" i="6" l="1"/>
  <c r="B17" i="6"/>
  <c r="B15" i="6"/>
  <c r="N17" i="41"/>
  <c r="M17" i="41"/>
  <c r="K17" i="41"/>
  <c r="J17" i="41"/>
  <c r="H17" i="41"/>
  <c r="G17" i="41"/>
  <c r="E17" i="41"/>
  <c r="D17" i="41"/>
  <c r="O36" i="41"/>
  <c r="M43" i="40"/>
  <c r="L43" i="40"/>
  <c r="J43" i="40"/>
  <c r="I43" i="40"/>
  <c r="G43" i="40"/>
  <c r="F43" i="40"/>
  <c r="D43" i="40"/>
  <c r="C43" i="40"/>
  <c r="B22" i="6" l="1"/>
  <c r="B21" i="6"/>
  <c r="B20" i="6"/>
  <c r="I17" i="38"/>
  <c r="F17" i="38"/>
  <c r="G17" i="38" l="1"/>
  <c r="G16" i="38"/>
  <c r="J17" i="38"/>
  <c r="J16" i="38"/>
  <c r="G10" i="37" l="1"/>
  <c r="B25" i="6" l="1"/>
  <c r="B39" i="6"/>
  <c r="C18" i="34"/>
  <c r="J16" i="34"/>
  <c r="J18" i="34" s="1"/>
  <c r="I16" i="34"/>
  <c r="I18" i="34" s="1"/>
  <c r="H16" i="34"/>
  <c r="H18" i="34" s="1"/>
  <c r="E16" i="34"/>
  <c r="E18" i="34" s="1"/>
  <c r="F17" i="34" s="1"/>
  <c r="D16" i="34"/>
  <c r="D18" i="34" s="1"/>
  <c r="C16" i="34"/>
  <c r="B34" i="6"/>
  <c r="B33" i="6"/>
  <c r="K10" i="34" l="1"/>
  <c r="K15" i="34"/>
  <c r="K11" i="34"/>
  <c r="K14" i="34"/>
  <c r="K17" i="34"/>
  <c r="K8" i="34"/>
  <c r="K13" i="34"/>
  <c r="K9" i="34"/>
  <c r="K12" i="34"/>
  <c r="F9" i="34"/>
  <c r="F13" i="34"/>
  <c r="F10" i="34"/>
  <c r="F14" i="34"/>
  <c r="F11" i="34"/>
  <c r="F15" i="34"/>
  <c r="F8" i="34"/>
  <c r="F16" i="34" s="1"/>
  <c r="F18" i="34" s="1"/>
  <c r="F12" i="34"/>
  <c r="K16" i="34" l="1"/>
  <c r="K18" i="34" s="1"/>
  <c r="B8" i="6"/>
  <c r="B9" i="6"/>
  <c r="B10" i="6"/>
  <c r="B11" i="6"/>
  <c r="G15" i="31"/>
  <c r="K31" i="30"/>
  <c r="J31" i="30"/>
  <c r="I31" i="30"/>
  <c r="H31" i="30"/>
  <c r="G31" i="30"/>
  <c r="F31" i="30"/>
  <c r="E31" i="30"/>
  <c r="L30" i="30"/>
  <c r="L29" i="30"/>
  <c r="L28" i="30"/>
  <c r="L27" i="30"/>
  <c r="L26" i="30"/>
  <c r="L25" i="30"/>
  <c r="L24" i="30"/>
  <c r="L23" i="30"/>
  <c r="L22" i="30"/>
  <c r="L21" i="30"/>
  <c r="L20" i="30"/>
  <c r="L19" i="30"/>
  <c r="L18" i="30"/>
  <c r="L17" i="30"/>
  <c r="L16" i="30"/>
  <c r="L15" i="30"/>
  <c r="L14" i="30"/>
  <c r="L13" i="30"/>
  <c r="L12" i="30"/>
  <c r="L11" i="30"/>
  <c r="L10" i="30"/>
  <c r="L9" i="30"/>
  <c r="L8" i="30"/>
  <c r="L7" i="30"/>
  <c r="L6" i="30"/>
  <c r="H31" i="29"/>
  <c r="G31" i="29"/>
  <c r="F31" i="29"/>
  <c r="E31" i="29"/>
  <c r="J31" i="28"/>
  <c r="I31" i="28"/>
  <c r="H31" i="28"/>
  <c r="G31" i="28"/>
  <c r="F31" i="28"/>
  <c r="E31" i="28"/>
  <c r="L31" i="30" l="1"/>
  <c r="B14" i="6"/>
  <c r="B13" i="6"/>
  <c r="B12" i="6"/>
  <c r="N163" i="27"/>
  <c r="E48" i="27"/>
  <c r="E165" i="27" s="1"/>
  <c r="F48" i="27"/>
  <c r="F165" i="27" s="1"/>
  <c r="G48" i="27"/>
  <c r="G165" i="27" s="1"/>
  <c r="H48" i="27"/>
  <c r="H165" i="27" s="1"/>
  <c r="I48" i="27"/>
  <c r="I165" i="27" s="1"/>
  <c r="J48" i="27"/>
  <c r="J165" i="27" s="1"/>
  <c r="K48" i="27"/>
  <c r="K165" i="27" s="1"/>
  <c r="L48" i="27"/>
  <c r="L165" i="27" s="1"/>
  <c r="M48" i="27"/>
  <c r="M165" i="27" s="1"/>
  <c r="N48" i="27"/>
  <c r="N165" i="27" s="1"/>
  <c r="O141" i="27"/>
  <c r="N141" i="27"/>
  <c r="M141" i="27"/>
  <c r="L141" i="27"/>
  <c r="K141" i="27"/>
  <c r="J141" i="27"/>
  <c r="I141" i="27"/>
  <c r="H141" i="27"/>
  <c r="G141" i="27"/>
  <c r="F141" i="27"/>
  <c r="E141" i="27"/>
  <c r="D141" i="27"/>
  <c r="C141" i="27"/>
  <c r="O107" i="27"/>
  <c r="N107" i="27"/>
  <c r="M107" i="27"/>
  <c r="L107" i="27"/>
  <c r="K107" i="27"/>
  <c r="J107" i="27"/>
  <c r="I107" i="27"/>
  <c r="H107" i="27"/>
  <c r="G107" i="27"/>
  <c r="F107" i="27"/>
  <c r="F163" i="27" s="1"/>
  <c r="E107" i="27"/>
  <c r="D107" i="27"/>
  <c r="C107" i="27"/>
  <c r="O73" i="27"/>
  <c r="N73" i="27"/>
  <c r="M73" i="27"/>
  <c r="M163" i="27" s="1"/>
  <c r="L73" i="27"/>
  <c r="L163" i="27" s="1"/>
  <c r="K73" i="27"/>
  <c r="K163" i="27" s="1"/>
  <c r="J73" i="27"/>
  <c r="I73" i="27"/>
  <c r="H73" i="27"/>
  <c r="G73" i="27"/>
  <c r="F73" i="27"/>
  <c r="E73" i="27"/>
  <c r="E163" i="27" s="1"/>
  <c r="D73" i="27"/>
  <c r="C73" i="27"/>
  <c r="O54" i="27"/>
  <c r="N54" i="27"/>
  <c r="M54" i="27"/>
  <c r="L54" i="27"/>
  <c r="K54" i="27"/>
  <c r="J54" i="27"/>
  <c r="I54" i="27"/>
  <c r="H54" i="27"/>
  <c r="G54" i="27"/>
  <c r="F54" i="27"/>
  <c r="E54" i="27"/>
  <c r="D54" i="27"/>
  <c r="C54" i="27"/>
  <c r="C38" i="27"/>
  <c r="I38" i="27"/>
  <c r="J38" i="27"/>
  <c r="K38" i="27"/>
  <c r="L38" i="27"/>
  <c r="M38" i="27"/>
  <c r="N38" i="27"/>
  <c r="B139" i="27"/>
  <c r="B105" i="27"/>
  <c r="B71" i="27"/>
  <c r="B52" i="27"/>
  <c r="O48" i="27"/>
  <c r="O165" i="27" s="1"/>
  <c r="D48" i="27"/>
  <c r="D165" i="27" s="1"/>
  <c r="O38" i="27"/>
  <c r="H38" i="27"/>
  <c r="G38" i="27"/>
  <c r="F38" i="27"/>
  <c r="E38" i="27"/>
  <c r="D38" i="27"/>
  <c r="B36" i="27"/>
  <c r="B35" i="27"/>
  <c r="B138" i="27" s="1"/>
  <c r="M50" i="26"/>
  <c r="M171" i="26" s="1"/>
  <c r="H50" i="26"/>
  <c r="H171" i="26" s="1"/>
  <c r="I50" i="26"/>
  <c r="I171" i="26" s="1"/>
  <c r="I147" i="26"/>
  <c r="I112" i="26"/>
  <c r="I77" i="26"/>
  <c r="I169" i="26" s="1"/>
  <c r="I57" i="26"/>
  <c r="I40" i="26"/>
  <c r="N147" i="26"/>
  <c r="M147" i="26"/>
  <c r="L147" i="26"/>
  <c r="J147" i="26"/>
  <c r="H147" i="26"/>
  <c r="G147" i="26"/>
  <c r="E147" i="26"/>
  <c r="D147" i="26"/>
  <c r="C147" i="26"/>
  <c r="L146" i="26"/>
  <c r="G146" i="26"/>
  <c r="D146" i="26"/>
  <c r="N112" i="26"/>
  <c r="M112" i="26"/>
  <c r="L112" i="26"/>
  <c r="J112" i="26"/>
  <c r="H112" i="26"/>
  <c r="G112" i="26"/>
  <c r="E112" i="26"/>
  <c r="D112" i="26"/>
  <c r="C112" i="26"/>
  <c r="L111" i="26"/>
  <c r="G111" i="26"/>
  <c r="D111" i="26"/>
  <c r="N77" i="26"/>
  <c r="M77" i="26"/>
  <c r="M169" i="26" s="1"/>
  <c r="L77" i="26"/>
  <c r="J77" i="26"/>
  <c r="H77" i="26"/>
  <c r="G77" i="26"/>
  <c r="E77" i="26"/>
  <c r="D77" i="26"/>
  <c r="C77" i="26"/>
  <c r="L76" i="26"/>
  <c r="G76" i="26"/>
  <c r="D76" i="26"/>
  <c r="N57" i="26"/>
  <c r="M57" i="26"/>
  <c r="L57" i="26"/>
  <c r="J57" i="26"/>
  <c r="H57" i="26"/>
  <c r="G57" i="26"/>
  <c r="E57" i="26"/>
  <c r="D57" i="26"/>
  <c r="C57" i="26"/>
  <c r="L56" i="26"/>
  <c r="G56" i="26"/>
  <c r="D56" i="26"/>
  <c r="M40" i="26"/>
  <c r="H40" i="26"/>
  <c r="C40" i="26"/>
  <c r="B144" i="26"/>
  <c r="B109" i="26"/>
  <c r="B74" i="26"/>
  <c r="B54" i="26"/>
  <c r="N50" i="26"/>
  <c r="N171" i="26" s="1"/>
  <c r="L50" i="26"/>
  <c r="L171" i="26" s="1"/>
  <c r="J50" i="26"/>
  <c r="J171" i="26" s="1"/>
  <c r="G50" i="26"/>
  <c r="G171" i="26" s="1"/>
  <c r="E50" i="26"/>
  <c r="E171" i="26" s="1"/>
  <c r="D50" i="26"/>
  <c r="D171" i="26" s="1"/>
  <c r="N40" i="26"/>
  <c r="L40" i="26"/>
  <c r="J40" i="26"/>
  <c r="G40" i="26"/>
  <c r="E40" i="26"/>
  <c r="D40" i="26"/>
  <c r="L39" i="26"/>
  <c r="G39" i="26"/>
  <c r="D39" i="26"/>
  <c r="B37" i="26"/>
  <c r="B36" i="26"/>
  <c r="B73" i="26" s="1"/>
  <c r="D107" i="25"/>
  <c r="I141" i="25"/>
  <c r="H141" i="25"/>
  <c r="G141" i="25"/>
  <c r="F141" i="25"/>
  <c r="E141" i="25"/>
  <c r="D141" i="25"/>
  <c r="B139" i="25"/>
  <c r="I107" i="25"/>
  <c r="H107" i="25"/>
  <c r="G107" i="25"/>
  <c r="F107" i="25"/>
  <c r="E107" i="25"/>
  <c r="B105" i="25"/>
  <c r="I73" i="25"/>
  <c r="H73" i="25"/>
  <c r="G73" i="25"/>
  <c r="F73" i="25"/>
  <c r="E73" i="25"/>
  <c r="D73" i="25"/>
  <c r="B71" i="25"/>
  <c r="I54" i="25"/>
  <c r="H54" i="25"/>
  <c r="G54" i="25"/>
  <c r="F54" i="25"/>
  <c r="E54" i="25"/>
  <c r="D54" i="25"/>
  <c r="B52" i="25"/>
  <c r="I48" i="25"/>
  <c r="I165" i="25" s="1"/>
  <c r="H48" i="25"/>
  <c r="H165" i="25" s="1"/>
  <c r="G48" i="25"/>
  <c r="G165" i="25" s="1"/>
  <c r="F48" i="25"/>
  <c r="F165" i="25" s="1"/>
  <c r="E48" i="25"/>
  <c r="E165" i="25" s="1"/>
  <c r="D48" i="25"/>
  <c r="D165" i="25" s="1"/>
  <c r="I38" i="25"/>
  <c r="H38" i="25"/>
  <c r="G38" i="25"/>
  <c r="F38" i="25"/>
  <c r="E38" i="25"/>
  <c r="D38" i="25"/>
  <c r="B36" i="25"/>
  <c r="B35" i="25"/>
  <c r="B138" i="25" s="1"/>
  <c r="M147" i="10"/>
  <c r="L147" i="10"/>
  <c r="J147" i="10"/>
  <c r="I147" i="10"/>
  <c r="G147" i="10"/>
  <c r="F147" i="10"/>
  <c r="D147" i="10"/>
  <c r="C147" i="10"/>
  <c r="L146" i="10"/>
  <c r="I146" i="10"/>
  <c r="F146" i="10"/>
  <c r="C146" i="10"/>
  <c r="M112" i="10"/>
  <c r="L112" i="10"/>
  <c r="J112" i="10"/>
  <c r="I112" i="10"/>
  <c r="G112" i="10"/>
  <c r="F112" i="10"/>
  <c r="D112" i="10"/>
  <c r="C112" i="10"/>
  <c r="L111" i="10"/>
  <c r="I111" i="10"/>
  <c r="F111" i="10"/>
  <c r="C111" i="10"/>
  <c r="M77" i="10"/>
  <c r="L77" i="10"/>
  <c r="J77" i="10"/>
  <c r="I77" i="10"/>
  <c r="G77" i="10"/>
  <c r="F77" i="10"/>
  <c r="D77" i="10"/>
  <c r="C77" i="10"/>
  <c r="L76" i="10"/>
  <c r="I76" i="10"/>
  <c r="F76" i="10"/>
  <c r="C76" i="10"/>
  <c r="M57" i="10"/>
  <c r="L57" i="10"/>
  <c r="J57" i="10"/>
  <c r="I57" i="10"/>
  <c r="G57" i="10"/>
  <c r="F57" i="10"/>
  <c r="D57" i="10"/>
  <c r="C57" i="10"/>
  <c r="L56" i="10"/>
  <c r="I56" i="10"/>
  <c r="F56" i="10"/>
  <c r="C56" i="10"/>
  <c r="M40" i="10"/>
  <c r="L40" i="10"/>
  <c r="L39" i="10"/>
  <c r="J40" i="10"/>
  <c r="I40" i="10"/>
  <c r="I39" i="10"/>
  <c r="G40" i="10"/>
  <c r="F40" i="10"/>
  <c r="F39" i="10"/>
  <c r="C39" i="10"/>
  <c r="D40" i="10"/>
  <c r="C40" i="10"/>
  <c r="D146" i="9"/>
  <c r="D111" i="9"/>
  <c r="D76" i="9"/>
  <c r="D56" i="9"/>
  <c r="D39" i="9"/>
  <c r="I147" i="9"/>
  <c r="H147" i="9"/>
  <c r="G147" i="9"/>
  <c r="F147" i="9"/>
  <c r="E147" i="9"/>
  <c r="D147" i="9"/>
  <c r="C147" i="9"/>
  <c r="I112" i="9"/>
  <c r="H112" i="9"/>
  <c r="G112" i="9"/>
  <c r="F112" i="9"/>
  <c r="E112" i="9"/>
  <c r="D112" i="9"/>
  <c r="C112" i="9"/>
  <c r="I77" i="9"/>
  <c r="H77" i="9"/>
  <c r="G77" i="9"/>
  <c r="F77" i="9"/>
  <c r="E77" i="9"/>
  <c r="D77" i="9"/>
  <c r="C77" i="9"/>
  <c r="I57" i="9"/>
  <c r="H57" i="9"/>
  <c r="G57" i="9"/>
  <c r="F57" i="9"/>
  <c r="E57" i="9"/>
  <c r="D57" i="9"/>
  <c r="C57" i="9"/>
  <c r="I40" i="9"/>
  <c r="H40" i="9"/>
  <c r="G40" i="9"/>
  <c r="F40" i="9"/>
  <c r="E40" i="9"/>
  <c r="D40" i="9"/>
  <c r="C40" i="9"/>
  <c r="I147" i="8"/>
  <c r="H147" i="8"/>
  <c r="G147" i="8"/>
  <c r="F147" i="8"/>
  <c r="E147" i="8"/>
  <c r="D147" i="8"/>
  <c r="C147" i="8"/>
  <c r="I112" i="8"/>
  <c r="H112" i="8"/>
  <c r="G112" i="8"/>
  <c r="F112" i="8"/>
  <c r="E112" i="8"/>
  <c r="D112" i="8"/>
  <c r="C112" i="8"/>
  <c r="I77" i="8"/>
  <c r="H77" i="8"/>
  <c r="G77" i="8"/>
  <c r="F77" i="8"/>
  <c r="E77" i="8"/>
  <c r="D77" i="8"/>
  <c r="C77" i="8"/>
  <c r="I57" i="8"/>
  <c r="H57" i="8"/>
  <c r="G57" i="8"/>
  <c r="F57" i="8"/>
  <c r="E57" i="8"/>
  <c r="D57" i="8"/>
  <c r="C57" i="8"/>
  <c r="I40" i="8"/>
  <c r="H40" i="8"/>
  <c r="G40" i="8"/>
  <c r="F40" i="8"/>
  <c r="E40" i="8"/>
  <c r="D40" i="8"/>
  <c r="C40" i="8"/>
  <c r="H38" i="19"/>
  <c r="G38" i="19"/>
  <c r="F38" i="19"/>
  <c r="E38" i="19"/>
  <c r="D38" i="19"/>
  <c r="C38" i="19"/>
  <c r="H73" i="19"/>
  <c r="G73" i="19"/>
  <c r="F73" i="19"/>
  <c r="E73" i="19"/>
  <c r="D73" i="19"/>
  <c r="C73" i="19"/>
  <c r="H107" i="19"/>
  <c r="G107" i="19"/>
  <c r="F107" i="19"/>
  <c r="E107" i="19"/>
  <c r="D107" i="19"/>
  <c r="C107" i="19"/>
  <c r="D141" i="19"/>
  <c r="E141" i="19"/>
  <c r="F141" i="19"/>
  <c r="G141" i="19"/>
  <c r="H141" i="19"/>
  <c r="C141" i="19"/>
  <c r="B36" i="10"/>
  <c r="B36" i="9"/>
  <c r="B36" i="8"/>
  <c r="B26" i="22"/>
  <c r="B45" i="17"/>
  <c r="B35" i="19"/>
  <c r="B28" i="6"/>
  <c r="B30" i="6"/>
  <c r="B49" i="6"/>
  <c r="B35" i="6"/>
  <c r="B36" i="6"/>
  <c r="B37" i="6"/>
  <c r="B38" i="6"/>
  <c r="B42" i="6"/>
  <c r="B29" i="6"/>
  <c r="B43" i="6"/>
  <c r="B44" i="6"/>
  <c r="B45" i="6"/>
  <c r="G163" i="27" l="1"/>
  <c r="H163" i="27"/>
  <c r="I163" i="27"/>
  <c r="J163" i="27"/>
  <c r="J169" i="27" s="1"/>
  <c r="I169" i="27"/>
  <c r="H169" i="26"/>
  <c r="M175" i="26"/>
  <c r="K169" i="27"/>
  <c r="L169" i="27"/>
  <c r="M169" i="27"/>
  <c r="N169" i="27"/>
  <c r="H169" i="27"/>
  <c r="D163" i="27"/>
  <c r="D169" i="27" s="1"/>
  <c r="F169" i="27"/>
  <c r="G169" i="27"/>
  <c r="E169" i="27"/>
  <c r="O163" i="27"/>
  <c r="O169" i="27" s="1"/>
  <c r="B51" i="27"/>
  <c r="B70" i="27"/>
  <c r="B104" i="27"/>
  <c r="I175" i="26"/>
  <c r="H175" i="26"/>
  <c r="J169" i="26"/>
  <c r="J175" i="26" s="1"/>
  <c r="D169" i="26"/>
  <c r="D175" i="26" s="1"/>
  <c r="G169" i="26"/>
  <c r="G175" i="26" s="1"/>
  <c r="L169" i="26"/>
  <c r="L175" i="26" s="1"/>
  <c r="N169" i="26"/>
  <c r="N175" i="26" s="1"/>
  <c r="E169" i="26"/>
  <c r="E175" i="26" s="1"/>
  <c r="B53" i="26"/>
  <c r="B143" i="26"/>
  <c r="B108" i="26"/>
  <c r="E163" i="25"/>
  <c r="E169" i="25" s="1"/>
  <c r="F163" i="25"/>
  <c r="F169" i="25" s="1"/>
  <c r="G163" i="25"/>
  <c r="G169" i="25" s="1"/>
  <c r="H163" i="25"/>
  <c r="H169" i="25" s="1"/>
  <c r="I163" i="25"/>
  <c r="I169" i="25" s="1"/>
  <c r="D163" i="25"/>
  <c r="D169" i="25" s="1"/>
  <c r="B51" i="25"/>
  <c r="B70" i="25"/>
  <c r="B104" i="25"/>
  <c r="H35" i="16"/>
  <c r="G35" i="16"/>
  <c r="F35" i="16"/>
  <c r="E35" i="16"/>
  <c r="D35" i="16"/>
  <c r="B27" i="22" l="1"/>
  <c r="I24" i="22" l="1"/>
  <c r="N59" i="22" s="1"/>
  <c r="H24" i="22"/>
  <c r="M59" i="22" s="1"/>
  <c r="J22" i="22"/>
  <c r="J21" i="22"/>
  <c r="J20" i="22"/>
  <c r="J19" i="22"/>
  <c r="J18" i="22"/>
  <c r="J17" i="22"/>
  <c r="J16" i="22"/>
  <c r="J15" i="22"/>
  <c r="J14" i="22"/>
  <c r="J13" i="22"/>
  <c r="J12" i="22"/>
  <c r="J11" i="22"/>
  <c r="J10" i="22"/>
  <c r="J9" i="22"/>
  <c r="J8" i="22"/>
  <c r="J7" i="22"/>
  <c r="J6" i="22"/>
  <c r="J5" i="22"/>
  <c r="E24" i="22"/>
  <c r="E23" i="22"/>
  <c r="E22" i="22"/>
  <c r="E21" i="22"/>
  <c r="E20" i="22"/>
  <c r="E19" i="22"/>
  <c r="E18" i="22"/>
  <c r="E17" i="22"/>
  <c r="E16" i="22"/>
  <c r="E15" i="22"/>
  <c r="E14" i="22"/>
  <c r="E13" i="22"/>
  <c r="E12" i="22"/>
  <c r="E11" i="22"/>
  <c r="E10" i="22"/>
  <c r="E9" i="22"/>
  <c r="E8" i="22"/>
  <c r="E7" i="22"/>
  <c r="E6" i="22"/>
  <c r="E5" i="22"/>
  <c r="J64" i="22"/>
  <c r="E64" i="22"/>
  <c r="J63" i="22"/>
  <c r="E63" i="22"/>
  <c r="J62" i="22"/>
  <c r="E62" i="22"/>
  <c r="J61" i="22"/>
  <c r="E61" i="22"/>
  <c r="J60" i="22"/>
  <c r="E60" i="22"/>
  <c r="J59" i="22"/>
  <c r="E59" i="22"/>
  <c r="J58" i="22"/>
  <c r="E58" i="22"/>
  <c r="J57" i="22"/>
  <c r="E57" i="22"/>
  <c r="N57" i="22"/>
  <c r="M57" i="22"/>
  <c r="J56" i="22"/>
  <c r="E56" i="22"/>
  <c r="J55" i="22"/>
  <c r="E55" i="22"/>
  <c r="O54" i="22"/>
  <c r="J54" i="22"/>
  <c r="E54" i="22"/>
  <c r="O53" i="22"/>
  <c r="J53" i="22"/>
  <c r="E53" i="22"/>
  <c r="O52" i="22"/>
  <c r="J52" i="22"/>
  <c r="E52" i="22"/>
  <c r="O51" i="22"/>
  <c r="J51" i="22"/>
  <c r="E51" i="22"/>
  <c r="O50" i="22"/>
  <c r="J50" i="22"/>
  <c r="E50" i="22"/>
  <c r="O49" i="22"/>
  <c r="J49" i="22"/>
  <c r="E49" i="22"/>
  <c r="O48" i="22"/>
  <c r="J48" i="22"/>
  <c r="E48" i="22"/>
  <c r="O47" i="22"/>
  <c r="J47" i="22"/>
  <c r="E47" i="22"/>
  <c r="O46" i="22"/>
  <c r="J46" i="22"/>
  <c r="E46" i="22"/>
  <c r="O45" i="22"/>
  <c r="J45" i="22"/>
  <c r="E45" i="22"/>
  <c r="O44" i="22"/>
  <c r="J44" i="22"/>
  <c r="E44" i="22"/>
  <c r="O43" i="22"/>
  <c r="J43" i="22"/>
  <c r="E43" i="22"/>
  <c r="O42" i="22"/>
  <c r="J42" i="22"/>
  <c r="E42" i="22"/>
  <c r="O41" i="22"/>
  <c r="J41" i="22"/>
  <c r="E41" i="22"/>
  <c r="O40" i="22"/>
  <c r="J40" i="22"/>
  <c r="E40" i="22"/>
  <c r="O39" i="22"/>
  <c r="J39" i="22"/>
  <c r="E39" i="22"/>
  <c r="O38" i="22"/>
  <c r="J38" i="22"/>
  <c r="E38" i="22"/>
  <c r="O37" i="22"/>
  <c r="J37" i="22"/>
  <c r="E37" i="22"/>
  <c r="O36" i="22"/>
  <c r="J36" i="22"/>
  <c r="E36" i="22"/>
  <c r="O35" i="22"/>
  <c r="J35" i="22"/>
  <c r="E35" i="22"/>
  <c r="O34" i="22"/>
  <c r="J34" i="22"/>
  <c r="E34" i="22"/>
  <c r="O33" i="22"/>
  <c r="J33" i="22"/>
  <c r="E33" i="22"/>
  <c r="O32" i="22"/>
  <c r="J32" i="22"/>
  <c r="E32" i="22"/>
  <c r="O31" i="22"/>
  <c r="J31" i="22"/>
  <c r="E31" i="22"/>
  <c r="O30" i="22"/>
  <c r="J30" i="22"/>
  <c r="E30" i="22"/>
  <c r="M61" i="22" l="1"/>
  <c r="N61" i="22"/>
  <c r="J24" i="22"/>
  <c r="O59" i="22"/>
  <c r="O57" i="22"/>
  <c r="F28" i="20"/>
  <c r="E28" i="20"/>
  <c r="G27" i="20"/>
  <c r="G26" i="20"/>
  <c r="G25" i="20"/>
  <c r="G24" i="20"/>
  <c r="G23" i="20"/>
  <c r="G22" i="20"/>
  <c r="G20" i="20"/>
  <c r="G19" i="20"/>
  <c r="F16" i="20"/>
  <c r="E16" i="20"/>
  <c r="G15" i="20"/>
  <c r="G14" i="20"/>
  <c r="G13" i="20"/>
  <c r="F12" i="20"/>
  <c r="E12" i="20"/>
  <c r="G11" i="20"/>
  <c r="G10" i="20"/>
  <c r="G9" i="20"/>
  <c r="G8" i="20"/>
  <c r="G7" i="20"/>
  <c r="G6" i="20"/>
  <c r="G5" i="20"/>
  <c r="B143" i="10"/>
  <c r="B108" i="10"/>
  <c r="B73" i="10"/>
  <c r="B53" i="10"/>
  <c r="B143" i="9"/>
  <c r="B108" i="9"/>
  <c r="B73" i="9"/>
  <c r="B53" i="9"/>
  <c r="B143" i="8"/>
  <c r="B108" i="8"/>
  <c r="B73" i="8"/>
  <c r="B53" i="8"/>
  <c r="B70" i="19"/>
  <c r="B138" i="19"/>
  <c r="B104" i="19"/>
  <c r="B51" i="19"/>
  <c r="B52" i="19"/>
  <c r="H163" i="19"/>
  <c r="E163" i="19"/>
  <c r="D163" i="19"/>
  <c r="C163" i="19"/>
  <c r="B139" i="19"/>
  <c r="B105" i="19"/>
  <c r="B71" i="19"/>
  <c r="H48" i="19"/>
  <c r="H165" i="19" s="1"/>
  <c r="E48" i="19"/>
  <c r="E165" i="19" s="1"/>
  <c r="D48" i="19"/>
  <c r="D165" i="19" s="1"/>
  <c r="C48" i="19"/>
  <c r="C165" i="19" s="1"/>
  <c r="B36" i="19"/>
  <c r="O61" i="22" l="1"/>
  <c r="G12" i="20"/>
  <c r="G28" i="20"/>
  <c r="G16" i="20"/>
  <c r="G163" i="19"/>
  <c r="F48" i="19"/>
  <c r="F165" i="19" s="1"/>
  <c r="G48" i="19"/>
  <c r="G165" i="19" s="1"/>
  <c r="F163" i="19"/>
  <c r="C167" i="19"/>
  <c r="D167" i="19"/>
  <c r="E167" i="19"/>
  <c r="H167" i="19"/>
  <c r="F167" i="19" l="1"/>
  <c r="G167" i="19"/>
  <c r="H50" i="8" l="1"/>
  <c r="E50" i="8"/>
  <c r="D50" i="8"/>
  <c r="C50" i="8"/>
  <c r="F48" i="9" l="1"/>
  <c r="F47" i="9"/>
  <c r="F46" i="9"/>
  <c r="F45" i="9"/>
  <c r="F44" i="9"/>
  <c r="F43" i="9"/>
  <c r="F42" i="9"/>
  <c r="F41"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I50" i="9"/>
  <c r="I171" i="9" s="1"/>
  <c r="D50" i="9"/>
  <c r="D171" i="9" s="1"/>
  <c r="E50" i="9"/>
  <c r="E171" i="9" s="1"/>
  <c r="I169" i="9"/>
  <c r="M169" i="10"/>
  <c r="L169" i="10"/>
  <c r="M50" i="10"/>
  <c r="M171" i="10" s="1"/>
  <c r="L50" i="10"/>
  <c r="L171" i="10" s="1"/>
  <c r="J50" i="10"/>
  <c r="J171" i="10" s="1"/>
  <c r="I50" i="10"/>
  <c r="G50" i="10"/>
  <c r="F50" i="10"/>
  <c r="F171" i="10" s="1"/>
  <c r="D50" i="10"/>
  <c r="D171" i="10" s="1"/>
  <c r="C50" i="10"/>
  <c r="C171" i="10" s="1"/>
  <c r="J169" i="10"/>
  <c r="F169" i="10"/>
  <c r="D169" i="10"/>
  <c r="C169" i="10"/>
  <c r="B144" i="10"/>
  <c r="B109" i="10"/>
  <c r="B74" i="10"/>
  <c r="B54" i="10"/>
  <c r="B37" i="10"/>
  <c r="E169" i="9"/>
  <c r="D169" i="9"/>
  <c r="B144" i="9"/>
  <c r="B109" i="9"/>
  <c r="B74" i="9"/>
  <c r="B54" i="9"/>
  <c r="B37" i="9"/>
  <c r="F50" i="9" l="1"/>
  <c r="F171" i="9" s="1"/>
  <c r="F169" i="9"/>
  <c r="I173" i="9"/>
  <c r="D173" i="9"/>
  <c r="L173" i="10"/>
  <c r="M173" i="10"/>
  <c r="J173" i="10"/>
  <c r="D173" i="10"/>
  <c r="I171" i="10"/>
  <c r="G169" i="10"/>
  <c r="F173" i="10"/>
  <c r="G171" i="10"/>
  <c r="I169" i="10"/>
  <c r="C173" i="10"/>
  <c r="E173" i="9"/>
  <c r="F173" i="9" l="1"/>
  <c r="G173" i="10"/>
  <c r="I173" i="10"/>
  <c r="B144" i="8" l="1"/>
  <c r="B37" i="8"/>
  <c r="B54" i="8"/>
  <c r="F93" i="8"/>
  <c r="C93" i="9" s="1"/>
  <c r="G93" i="9" s="1"/>
  <c r="H93" i="9" s="1"/>
  <c r="F94" i="8"/>
  <c r="C94" i="9" s="1"/>
  <c r="G94" i="9" s="1"/>
  <c r="H94" i="9" s="1"/>
  <c r="F95" i="8"/>
  <c r="C95" i="9" s="1"/>
  <c r="G95" i="9" s="1"/>
  <c r="H95" i="9" s="1"/>
  <c r="F58" i="8"/>
  <c r="C58" i="9" s="1"/>
  <c r="G58" i="8"/>
  <c r="F59" i="8"/>
  <c r="C59" i="9" s="1"/>
  <c r="G59" i="9" s="1"/>
  <c r="H59" i="9" s="1"/>
  <c r="G59" i="8"/>
  <c r="F60" i="8"/>
  <c r="C60" i="9" s="1"/>
  <c r="G60" i="9" s="1"/>
  <c r="H60" i="9" s="1"/>
  <c r="G60" i="8"/>
  <c r="F61" i="8"/>
  <c r="C61" i="9" s="1"/>
  <c r="G61" i="9" s="1"/>
  <c r="H61" i="9" s="1"/>
  <c r="G61" i="8"/>
  <c r="F62" i="8"/>
  <c r="C62" i="9" s="1"/>
  <c r="G62" i="9" s="1"/>
  <c r="H62" i="9" s="1"/>
  <c r="G62" i="8"/>
  <c r="F63" i="8"/>
  <c r="C63" i="9" s="1"/>
  <c r="G63" i="9" s="1"/>
  <c r="H63" i="9" s="1"/>
  <c r="G63" i="8"/>
  <c r="F64" i="8"/>
  <c r="C64" i="9" s="1"/>
  <c r="G64" i="9" s="1"/>
  <c r="H64" i="9" s="1"/>
  <c r="G64" i="8"/>
  <c r="H171" i="8"/>
  <c r="E171" i="8"/>
  <c r="D171" i="8"/>
  <c r="C171" i="8"/>
  <c r="G48" i="8"/>
  <c r="F48" i="8"/>
  <c r="C48" i="9" s="1"/>
  <c r="G48" i="9" s="1"/>
  <c r="H48" i="9" s="1"/>
  <c r="G47" i="8"/>
  <c r="F47" i="8"/>
  <c r="C47" i="9" s="1"/>
  <c r="G47" i="9" s="1"/>
  <c r="H47" i="9" s="1"/>
  <c r="G46" i="8"/>
  <c r="F46" i="8"/>
  <c r="C46" i="9" s="1"/>
  <c r="G46" i="9" s="1"/>
  <c r="H46" i="9" s="1"/>
  <c r="G45" i="8"/>
  <c r="F45" i="8"/>
  <c r="C45" i="9" s="1"/>
  <c r="G45" i="9" s="1"/>
  <c r="H45" i="9" s="1"/>
  <c r="G44" i="8"/>
  <c r="F44" i="8"/>
  <c r="C44" i="9" s="1"/>
  <c r="G44" i="9" s="1"/>
  <c r="H44" i="9" s="1"/>
  <c r="G43" i="8"/>
  <c r="F43" i="8"/>
  <c r="C43" i="9" s="1"/>
  <c r="G43" i="9" s="1"/>
  <c r="H43" i="9" s="1"/>
  <c r="G42" i="8"/>
  <c r="F42" i="8"/>
  <c r="C42" i="9" s="1"/>
  <c r="G42" i="9" s="1"/>
  <c r="H42" i="9" s="1"/>
  <c r="G41" i="8"/>
  <c r="F41" i="8"/>
  <c r="C41" i="9" s="1"/>
  <c r="G41" i="9" s="1"/>
  <c r="H41" i="9" s="1"/>
  <c r="G35" i="8"/>
  <c r="F35" i="8"/>
  <c r="C35" i="9" s="1"/>
  <c r="G35" i="9" s="1"/>
  <c r="H35" i="9" s="1"/>
  <c r="G34" i="8"/>
  <c r="F34" i="8"/>
  <c r="C34" i="9" s="1"/>
  <c r="G34" i="9" s="1"/>
  <c r="H34" i="9" s="1"/>
  <c r="G33" i="8"/>
  <c r="F33" i="8"/>
  <c r="C33" i="9" s="1"/>
  <c r="G33" i="9" s="1"/>
  <c r="H33" i="9" s="1"/>
  <c r="G32" i="8"/>
  <c r="F32" i="8"/>
  <c r="C32" i="9" s="1"/>
  <c r="G32" i="9" s="1"/>
  <c r="H32" i="9" s="1"/>
  <c r="G31" i="8"/>
  <c r="F31" i="8"/>
  <c r="C31" i="9" s="1"/>
  <c r="G31" i="9" s="1"/>
  <c r="H31" i="9" s="1"/>
  <c r="G30" i="8"/>
  <c r="F30" i="8"/>
  <c r="C30" i="9" s="1"/>
  <c r="G30" i="9" s="1"/>
  <c r="H30" i="9" s="1"/>
  <c r="G29" i="8"/>
  <c r="F29" i="8"/>
  <c r="C29" i="9" s="1"/>
  <c r="G29" i="9" s="1"/>
  <c r="H29" i="9" s="1"/>
  <c r="G28" i="8"/>
  <c r="F28" i="8"/>
  <c r="C28" i="9" s="1"/>
  <c r="G28" i="9" s="1"/>
  <c r="H28" i="9" s="1"/>
  <c r="G27" i="8"/>
  <c r="F27" i="8"/>
  <c r="C27" i="9" s="1"/>
  <c r="G27" i="9" s="1"/>
  <c r="H27" i="9" s="1"/>
  <c r="G26" i="8"/>
  <c r="F26" i="8"/>
  <c r="C26" i="9" s="1"/>
  <c r="G26" i="9" s="1"/>
  <c r="H26" i="9" s="1"/>
  <c r="G25" i="8"/>
  <c r="F25" i="8"/>
  <c r="C25" i="9" s="1"/>
  <c r="G25" i="9" s="1"/>
  <c r="H25" i="9" s="1"/>
  <c r="G24" i="8"/>
  <c r="F24" i="8"/>
  <c r="C24" i="9" s="1"/>
  <c r="G24" i="9" s="1"/>
  <c r="H24" i="9" s="1"/>
  <c r="G23" i="8"/>
  <c r="F23" i="8"/>
  <c r="C23" i="9" s="1"/>
  <c r="G23" i="9" s="1"/>
  <c r="H23" i="9" s="1"/>
  <c r="G22" i="8"/>
  <c r="F22" i="8"/>
  <c r="C22" i="9" s="1"/>
  <c r="G22" i="9" s="1"/>
  <c r="H22" i="9" s="1"/>
  <c r="G21" i="8"/>
  <c r="F21" i="8"/>
  <c r="C21" i="9" s="1"/>
  <c r="G21" i="9" s="1"/>
  <c r="H21" i="9" s="1"/>
  <c r="G20" i="8"/>
  <c r="F20" i="8"/>
  <c r="C20" i="9" s="1"/>
  <c r="G20" i="9" s="1"/>
  <c r="H20" i="9" s="1"/>
  <c r="G19" i="8"/>
  <c r="F19" i="8"/>
  <c r="C19" i="9" s="1"/>
  <c r="G19" i="9" s="1"/>
  <c r="H19" i="9" s="1"/>
  <c r="G18" i="8"/>
  <c r="F18" i="8"/>
  <c r="C18" i="9" s="1"/>
  <c r="G18" i="9" s="1"/>
  <c r="H18" i="9" s="1"/>
  <c r="G17" i="8"/>
  <c r="F17" i="8"/>
  <c r="C17" i="9" s="1"/>
  <c r="G17" i="9" s="1"/>
  <c r="H17" i="9" s="1"/>
  <c r="G16" i="8"/>
  <c r="F16" i="8"/>
  <c r="C16" i="9" s="1"/>
  <c r="G16" i="9" s="1"/>
  <c r="H16" i="9" s="1"/>
  <c r="G15" i="8"/>
  <c r="F15" i="8"/>
  <c r="C15" i="9" s="1"/>
  <c r="G15" i="9" s="1"/>
  <c r="H15" i="9" s="1"/>
  <c r="G14" i="8"/>
  <c r="F14" i="8"/>
  <c r="C14" i="9" s="1"/>
  <c r="G14" i="9" s="1"/>
  <c r="H14" i="9" s="1"/>
  <c r="G13" i="8"/>
  <c r="F13" i="8"/>
  <c r="C13" i="9" s="1"/>
  <c r="G13" i="9" s="1"/>
  <c r="H13" i="9" s="1"/>
  <c r="G12" i="8"/>
  <c r="F12" i="8"/>
  <c r="C12" i="9" s="1"/>
  <c r="G12" i="9" s="1"/>
  <c r="H12" i="9" s="1"/>
  <c r="G11" i="8"/>
  <c r="F11" i="8"/>
  <c r="C11" i="9" s="1"/>
  <c r="G11" i="9" s="1"/>
  <c r="H11" i="9" s="1"/>
  <c r="G10" i="8"/>
  <c r="F10" i="8"/>
  <c r="C10" i="9" s="1"/>
  <c r="G10" i="9" s="1"/>
  <c r="H10" i="9" s="1"/>
  <c r="G9" i="8"/>
  <c r="F9" i="8"/>
  <c r="C9" i="9" s="1"/>
  <c r="G9" i="9" s="1"/>
  <c r="H9" i="9" s="1"/>
  <c r="G8" i="8"/>
  <c r="F8" i="8"/>
  <c r="C8" i="9" s="1"/>
  <c r="G8" i="9" s="1"/>
  <c r="H8" i="9" s="1"/>
  <c r="G7" i="8"/>
  <c r="F7" i="8"/>
  <c r="C7" i="9" s="1"/>
  <c r="G7" i="9" s="1"/>
  <c r="G6" i="8"/>
  <c r="F6" i="8"/>
  <c r="H169" i="8"/>
  <c r="E169" i="8"/>
  <c r="D169" i="8"/>
  <c r="C169" i="8"/>
  <c r="G167" i="8"/>
  <c r="F167" i="8"/>
  <c r="C167" i="9" s="1"/>
  <c r="G167" i="9" s="1"/>
  <c r="H167" i="9" s="1"/>
  <c r="G166" i="8"/>
  <c r="F166" i="8"/>
  <c r="C166" i="9" s="1"/>
  <c r="G166" i="9" s="1"/>
  <c r="H166" i="9" s="1"/>
  <c r="G165" i="8"/>
  <c r="F165" i="8"/>
  <c r="C165" i="9" s="1"/>
  <c r="G165" i="9" s="1"/>
  <c r="H165" i="9" s="1"/>
  <c r="G164" i="8"/>
  <c r="F164" i="8"/>
  <c r="C164" i="9" s="1"/>
  <c r="G164" i="9" s="1"/>
  <c r="H164" i="9" s="1"/>
  <c r="G163" i="8"/>
  <c r="F163" i="8"/>
  <c r="C163" i="9" s="1"/>
  <c r="G163" i="9" s="1"/>
  <c r="H163" i="9" s="1"/>
  <c r="G162" i="8"/>
  <c r="F162" i="8"/>
  <c r="C162" i="9" s="1"/>
  <c r="G162" i="9" s="1"/>
  <c r="H162" i="9" s="1"/>
  <c r="G161" i="8"/>
  <c r="F161" i="8"/>
  <c r="C161" i="9" s="1"/>
  <c r="G161" i="9" s="1"/>
  <c r="H161" i="9" s="1"/>
  <c r="G160" i="8"/>
  <c r="F160" i="8"/>
  <c r="C160" i="9" s="1"/>
  <c r="G160" i="9" s="1"/>
  <c r="H160" i="9" s="1"/>
  <c r="G159" i="8"/>
  <c r="F159" i="8"/>
  <c r="C159" i="9" s="1"/>
  <c r="G159" i="9" s="1"/>
  <c r="H159" i="9" s="1"/>
  <c r="G158" i="8"/>
  <c r="F158" i="8"/>
  <c r="C158" i="9" s="1"/>
  <c r="G158" i="9" s="1"/>
  <c r="H158" i="9" s="1"/>
  <c r="G157" i="8"/>
  <c r="F157" i="8"/>
  <c r="C157" i="9" s="1"/>
  <c r="G157" i="9" s="1"/>
  <c r="H157" i="9" s="1"/>
  <c r="G156" i="8"/>
  <c r="F156" i="8"/>
  <c r="C156" i="9" s="1"/>
  <c r="G156" i="9" s="1"/>
  <c r="H156" i="9" s="1"/>
  <c r="G155" i="8"/>
  <c r="F155" i="8"/>
  <c r="C155" i="9" s="1"/>
  <c r="G155" i="9" s="1"/>
  <c r="H155" i="9" s="1"/>
  <c r="G154" i="8"/>
  <c r="F154" i="8"/>
  <c r="C154" i="9" s="1"/>
  <c r="G154" i="9" s="1"/>
  <c r="H154" i="9" s="1"/>
  <c r="G153" i="8"/>
  <c r="F153" i="8"/>
  <c r="C153" i="9" s="1"/>
  <c r="G153" i="9" s="1"/>
  <c r="H153" i="9" s="1"/>
  <c r="G152" i="8"/>
  <c r="F152" i="8"/>
  <c r="C152" i="9" s="1"/>
  <c r="G152" i="9" s="1"/>
  <c r="H152" i="9" s="1"/>
  <c r="G151" i="8"/>
  <c r="F151" i="8"/>
  <c r="C151" i="9" s="1"/>
  <c r="G151" i="9" s="1"/>
  <c r="H151" i="9" s="1"/>
  <c r="G150" i="8"/>
  <c r="F150" i="8"/>
  <c r="C150" i="9" s="1"/>
  <c r="G150" i="9" s="1"/>
  <c r="H150" i="9" s="1"/>
  <c r="G149" i="8"/>
  <c r="F149" i="8"/>
  <c r="C149" i="9" s="1"/>
  <c r="G149" i="9" s="1"/>
  <c r="H149" i="9" s="1"/>
  <c r="G148" i="8"/>
  <c r="F148" i="8"/>
  <c r="C148" i="9" s="1"/>
  <c r="G148" i="9" s="1"/>
  <c r="H148" i="9" s="1"/>
  <c r="G142" i="8"/>
  <c r="F142" i="8"/>
  <c r="C142" i="9" s="1"/>
  <c r="G142" i="9" s="1"/>
  <c r="H142" i="9" s="1"/>
  <c r="G141" i="8"/>
  <c r="F141" i="8"/>
  <c r="C141" i="9" s="1"/>
  <c r="G141" i="9" s="1"/>
  <c r="H141" i="9" s="1"/>
  <c r="G140" i="8"/>
  <c r="F140" i="8"/>
  <c r="C140" i="9" s="1"/>
  <c r="G140" i="9" s="1"/>
  <c r="H140" i="9" s="1"/>
  <c r="G139" i="8"/>
  <c r="F139" i="8"/>
  <c r="C139" i="9" s="1"/>
  <c r="G139" i="9" s="1"/>
  <c r="H139" i="9" s="1"/>
  <c r="G138" i="8"/>
  <c r="F138" i="8"/>
  <c r="C138" i="9" s="1"/>
  <c r="G138" i="9" s="1"/>
  <c r="H138" i="9" s="1"/>
  <c r="G137" i="8"/>
  <c r="F137" i="8"/>
  <c r="C137" i="9" s="1"/>
  <c r="G137" i="9" s="1"/>
  <c r="H137" i="9" s="1"/>
  <c r="G136" i="8"/>
  <c r="F136" i="8"/>
  <c r="C136" i="9" s="1"/>
  <c r="G136" i="9" s="1"/>
  <c r="H136" i="9" s="1"/>
  <c r="G135" i="8"/>
  <c r="F135" i="8"/>
  <c r="C135" i="9" s="1"/>
  <c r="G135" i="9" s="1"/>
  <c r="H135" i="9" s="1"/>
  <c r="G134" i="8"/>
  <c r="F134" i="8"/>
  <c r="C134" i="9" s="1"/>
  <c r="G134" i="9" s="1"/>
  <c r="H134" i="9" s="1"/>
  <c r="G133" i="8"/>
  <c r="F133" i="8"/>
  <c r="C133" i="9" s="1"/>
  <c r="G133" i="9" s="1"/>
  <c r="H133" i="9" s="1"/>
  <c r="G132" i="8"/>
  <c r="F132" i="8"/>
  <c r="C132" i="9" s="1"/>
  <c r="G132" i="9" s="1"/>
  <c r="H132" i="9" s="1"/>
  <c r="G131" i="8"/>
  <c r="F131" i="8"/>
  <c r="C131" i="9" s="1"/>
  <c r="G131" i="9" s="1"/>
  <c r="H131" i="9" s="1"/>
  <c r="G130" i="8"/>
  <c r="F130" i="8"/>
  <c r="C130" i="9" s="1"/>
  <c r="G130" i="9" s="1"/>
  <c r="H130" i="9" s="1"/>
  <c r="G129" i="8"/>
  <c r="F129" i="8"/>
  <c r="C129" i="9" s="1"/>
  <c r="G129" i="9" s="1"/>
  <c r="H129" i="9" s="1"/>
  <c r="G128" i="8"/>
  <c r="F128" i="8"/>
  <c r="C128" i="9" s="1"/>
  <c r="G128" i="9" s="1"/>
  <c r="H128" i="9" s="1"/>
  <c r="G127" i="8"/>
  <c r="F127" i="8"/>
  <c r="C127" i="9" s="1"/>
  <c r="G127" i="9" s="1"/>
  <c r="H127" i="9" s="1"/>
  <c r="G126" i="8"/>
  <c r="F126" i="8"/>
  <c r="C126" i="9" s="1"/>
  <c r="G126" i="9" s="1"/>
  <c r="H126" i="9" s="1"/>
  <c r="G125" i="8"/>
  <c r="F125" i="8"/>
  <c r="C125" i="9" s="1"/>
  <c r="G125" i="9" s="1"/>
  <c r="H125" i="9" s="1"/>
  <c r="G124" i="8"/>
  <c r="F124" i="8"/>
  <c r="C124" i="9" s="1"/>
  <c r="G124" i="9" s="1"/>
  <c r="H124" i="9" s="1"/>
  <c r="G123" i="8"/>
  <c r="F123" i="8"/>
  <c r="C123" i="9" s="1"/>
  <c r="G123" i="9" s="1"/>
  <c r="H123" i="9" s="1"/>
  <c r="G122" i="8"/>
  <c r="F122" i="8"/>
  <c r="C122" i="9" s="1"/>
  <c r="G122" i="9" s="1"/>
  <c r="H122" i="9" s="1"/>
  <c r="G121" i="8"/>
  <c r="F121" i="8"/>
  <c r="C121" i="9" s="1"/>
  <c r="G121" i="9" s="1"/>
  <c r="H121" i="9" s="1"/>
  <c r="G120" i="8"/>
  <c r="F120" i="8"/>
  <c r="C120" i="9" s="1"/>
  <c r="G120" i="9" s="1"/>
  <c r="H120" i="9" s="1"/>
  <c r="G119" i="8"/>
  <c r="F119" i="8"/>
  <c r="C119" i="9" s="1"/>
  <c r="G119" i="9" s="1"/>
  <c r="H119" i="9" s="1"/>
  <c r="G118" i="8"/>
  <c r="F118" i="8"/>
  <c r="C118" i="9" s="1"/>
  <c r="G118" i="9" s="1"/>
  <c r="H118" i="9" s="1"/>
  <c r="G117" i="8"/>
  <c r="F117" i="8"/>
  <c r="C117" i="9" s="1"/>
  <c r="G117" i="9" s="1"/>
  <c r="H117" i="9" s="1"/>
  <c r="G116" i="8"/>
  <c r="F116" i="8"/>
  <c r="C116" i="9" s="1"/>
  <c r="G116" i="9" s="1"/>
  <c r="H116" i="9" s="1"/>
  <c r="G115" i="8"/>
  <c r="F115" i="8"/>
  <c r="C115" i="9" s="1"/>
  <c r="G115" i="9" s="1"/>
  <c r="H115" i="9" s="1"/>
  <c r="G114" i="8"/>
  <c r="F114" i="8"/>
  <c r="C114" i="9" s="1"/>
  <c r="G114" i="9" s="1"/>
  <c r="H114" i="9" s="1"/>
  <c r="G113" i="8"/>
  <c r="F113" i="8"/>
  <c r="C113" i="9" s="1"/>
  <c r="G113" i="9" s="1"/>
  <c r="H113" i="9" s="1"/>
  <c r="G107" i="8"/>
  <c r="F107" i="8"/>
  <c r="C107" i="9" s="1"/>
  <c r="G107" i="9" s="1"/>
  <c r="H107" i="9" s="1"/>
  <c r="G106" i="8"/>
  <c r="F106" i="8"/>
  <c r="C106" i="9" s="1"/>
  <c r="G106" i="9" s="1"/>
  <c r="H106" i="9" s="1"/>
  <c r="G105" i="8"/>
  <c r="F105" i="8"/>
  <c r="C105" i="9" s="1"/>
  <c r="G105" i="9" s="1"/>
  <c r="H105" i="9" s="1"/>
  <c r="G104" i="8"/>
  <c r="F104" i="8"/>
  <c r="C104" i="9" s="1"/>
  <c r="G104" i="9" s="1"/>
  <c r="H104" i="9" s="1"/>
  <c r="G103" i="8"/>
  <c r="F103" i="8"/>
  <c r="C103" i="9" s="1"/>
  <c r="G103" i="9" s="1"/>
  <c r="H103" i="9" s="1"/>
  <c r="G102" i="8"/>
  <c r="F102" i="8"/>
  <c r="C102" i="9" s="1"/>
  <c r="G102" i="9" s="1"/>
  <c r="H102" i="9" s="1"/>
  <c r="G101" i="8"/>
  <c r="F101" i="8"/>
  <c r="C101" i="9" s="1"/>
  <c r="G101" i="9" s="1"/>
  <c r="H101" i="9" s="1"/>
  <c r="G100" i="8"/>
  <c r="F100" i="8"/>
  <c r="C100" i="9" s="1"/>
  <c r="G100" i="9" s="1"/>
  <c r="H100" i="9" s="1"/>
  <c r="G99" i="8"/>
  <c r="F99" i="8"/>
  <c r="C99" i="9" s="1"/>
  <c r="G99" i="9" s="1"/>
  <c r="H99" i="9" s="1"/>
  <c r="G98" i="8"/>
  <c r="F98" i="8"/>
  <c r="C98" i="9" s="1"/>
  <c r="G98" i="9" s="1"/>
  <c r="H98" i="9" s="1"/>
  <c r="G97" i="8"/>
  <c r="F97" i="8"/>
  <c r="C97" i="9" s="1"/>
  <c r="G97" i="9" s="1"/>
  <c r="H97" i="9" s="1"/>
  <c r="G96" i="8"/>
  <c r="F96" i="8"/>
  <c r="C96" i="9" s="1"/>
  <c r="G96" i="9" s="1"/>
  <c r="H96" i="9" s="1"/>
  <c r="G95" i="8"/>
  <c r="G94" i="8"/>
  <c r="G93" i="8"/>
  <c r="G92" i="8"/>
  <c r="F92" i="8"/>
  <c r="C92" i="9" s="1"/>
  <c r="G92" i="9" s="1"/>
  <c r="H92" i="9" s="1"/>
  <c r="G91" i="8"/>
  <c r="F91" i="8"/>
  <c r="C91" i="9" s="1"/>
  <c r="G91" i="9" s="1"/>
  <c r="H91" i="9" s="1"/>
  <c r="G90" i="8"/>
  <c r="F90" i="8"/>
  <c r="C90" i="9" s="1"/>
  <c r="G90" i="9" s="1"/>
  <c r="H90" i="9" s="1"/>
  <c r="G89" i="8"/>
  <c r="F89" i="8"/>
  <c r="C89" i="9" s="1"/>
  <c r="G89" i="9" s="1"/>
  <c r="H89" i="9" s="1"/>
  <c r="G88" i="8"/>
  <c r="F88" i="8"/>
  <c r="C88" i="9" s="1"/>
  <c r="G88" i="9" s="1"/>
  <c r="H88" i="9" s="1"/>
  <c r="G87" i="8"/>
  <c r="F87" i="8"/>
  <c r="C87" i="9" s="1"/>
  <c r="G87" i="9" s="1"/>
  <c r="H87" i="9" s="1"/>
  <c r="G86" i="8"/>
  <c r="F86" i="8"/>
  <c r="C86" i="9" s="1"/>
  <c r="G86" i="9" s="1"/>
  <c r="H86" i="9" s="1"/>
  <c r="G85" i="8"/>
  <c r="F85" i="8"/>
  <c r="C85" i="9" s="1"/>
  <c r="G85" i="9" s="1"/>
  <c r="H85" i="9" s="1"/>
  <c r="G84" i="8"/>
  <c r="F84" i="8"/>
  <c r="C84" i="9" s="1"/>
  <c r="G84" i="9" s="1"/>
  <c r="H84" i="9" s="1"/>
  <c r="G83" i="8"/>
  <c r="F83" i="8"/>
  <c r="C83" i="9" s="1"/>
  <c r="G83" i="9" s="1"/>
  <c r="H83" i="9" s="1"/>
  <c r="G82" i="8"/>
  <c r="F82" i="8"/>
  <c r="C82" i="9" s="1"/>
  <c r="G82" i="9" s="1"/>
  <c r="H82" i="9" s="1"/>
  <c r="G81" i="8"/>
  <c r="F81" i="8"/>
  <c r="C81" i="9" s="1"/>
  <c r="G81" i="9" s="1"/>
  <c r="H81" i="9" s="1"/>
  <c r="G80" i="8"/>
  <c r="F80" i="8"/>
  <c r="C80" i="9" s="1"/>
  <c r="G80" i="9" s="1"/>
  <c r="H80" i="9" s="1"/>
  <c r="G79" i="8"/>
  <c r="F79" i="8"/>
  <c r="C79" i="9" s="1"/>
  <c r="G79" i="9" s="1"/>
  <c r="H79" i="9" s="1"/>
  <c r="G78" i="8"/>
  <c r="F78" i="8"/>
  <c r="C78" i="9" s="1"/>
  <c r="G78" i="9" s="1"/>
  <c r="H78" i="9" s="1"/>
  <c r="G72" i="8"/>
  <c r="F72" i="8"/>
  <c r="C72" i="9" s="1"/>
  <c r="G72" i="9" s="1"/>
  <c r="H72" i="9" s="1"/>
  <c r="G71" i="8"/>
  <c r="F71" i="8"/>
  <c r="C71" i="9" s="1"/>
  <c r="G71" i="9" s="1"/>
  <c r="H71" i="9" s="1"/>
  <c r="G70" i="8"/>
  <c r="F70" i="8"/>
  <c r="C70" i="9" s="1"/>
  <c r="G70" i="9" s="1"/>
  <c r="H70" i="9" s="1"/>
  <c r="G69" i="8"/>
  <c r="F69" i="8"/>
  <c r="C69" i="9" s="1"/>
  <c r="G69" i="9" s="1"/>
  <c r="H69" i="9" s="1"/>
  <c r="G68" i="8"/>
  <c r="F68" i="8"/>
  <c r="C68" i="9" s="1"/>
  <c r="G68" i="9" s="1"/>
  <c r="H68" i="9" s="1"/>
  <c r="G67" i="8"/>
  <c r="F67" i="8"/>
  <c r="C67" i="9" s="1"/>
  <c r="G67" i="9" s="1"/>
  <c r="H67" i="9" s="1"/>
  <c r="G66" i="8"/>
  <c r="F66" i="8"/>
  <c r="C66" i="9" s="1"/>
  <c r="G66" i="9" s="1"/>
  <c r="H66" i="9" s="1"/>
  <c r="G65" i="8"/>
  <c r="F65" i="8"/>
  <c r="C65" i="9" s="1"/>
  <c r="G65" i="9" s="1"/>
  <c r="H65" i="9" s="1"/>
  <c r="G58" i="9" l="1"/>
  <c r="C169" i="9"/>
  <c r="H7" i="9"/>
  <c r="F50" i="8"/>
  <c r="F171" i="8" s="1"/>
  <c r="C6" i="9"/>
  <c r="G50" i="8"/>
  <c r="G171" i="8" s="1"/>
  <c r="H173" i="8"/>
  <c r="E173" i="8"/>
  <c r="D173" i="8"/>
  <c r="C173" i="8"/>
  <c r="F169" i="8"/>
  <c r="G169" i="8"/>
  <c r="H58" i="9" l="1"/>
  <c r="G169" i="9"/>
  <c r="H169" i="9" s="1"/>
  <c r="G6" i="9"/>
  <c r="C50" i="9"/>
  <c r="C171" i="9" s="1"/>
  <c r="C173" i="9" s="1"/>
  <c r="G173" i="8"/>
  <c r="F173" i="8"/>
  <c r="H6" i="9" l="1"/>
  <c r="G50" i="9"/>
  <c r="B74" i="8"/>
  <c r="G171" i="9" l="1"/>
  <c r="H50" i="9"/>
  <c r="B109" i="8"/>
  <c r="H171" i="9" l="1"/>
  <c r="G173" i="9"/>
  <c r="H173" i="9" s="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
    <s v="ThisWorkbookDataModel"/>
    <s v="{[TAR01_Data_All].[Year].&amp;[2021]}"/>
    <s v="{[TAR01_Data_All].[Year].&amp;[2022]}"/>
    <s v="{[TAR01_Data_All].[Year].&amp;[2023]}"/>
    <s v="{[TAR01_Data_All].[Year].&amp;[2024]}"/>
  </metadataStrings>
  <mdxMetadata count="4">
    <mdx n="0" f="s">
      <ms ns="1" c="0"/>
    </mdx>
    <mdx n="0" f="s">
      <ms ns="2" c="0"/>
    </mdx>
    <mdx n="0" f="s">
      <ms ns="3" c="0"/>
    </mdx>
    <mdx n="0" f="s">
      <ms ns="4" c="0"/>
    </mdx>
  </mdxMetadata>
  <valueMetadata count="4">
    <bk>
      <rc t="1" v="0"/>
    </bk>
    <bk>
      <rc t="1" v="1"/>
    </bk>
    <bk>
      <rc t="1" v="2"/>
    </bk>
    <bk>
      <rc t="1" v="3"/>
    </bk>
  </valueMetadata>
</metadata>
</file>

<file path=xl/sharedStrings.xml><?xml version="1.0" encoding="utf-8"?>
<sst xmlns="http://schemas.openxmlformats.org/spreadsheetml/2006/main" count="3866" uniqueCount="1480">
  <si>
    <t>Virginia Tax</t>
  </si>
  <si>
    <t>Annual Report</t>
  </si>
  <si>
    <t xml:space="preserve">to the Governor of the Commonwealth of Virginia </t>
  </si>
  <si>
    <t xml:space="preserve">Report of the Tax Commissioner </t>
  </si>
  <si>
    <t>Table 4.1</t>
  </si>
  <si>
    <t>State and Local Retail Sales and Use Tax Net Revenue Collections</t>
  </si>
  <si>
    <t>State Sales and Use Tax</t>
  </si>
  <si>
    <t>Local</t>
  </si>
  <si>
    <t>Fiscal 
Year</t>
  </si>
  <si>
    <t>General 
Fund</t>
  </si>
  <si>
    <t>Commonwealth Transportation Fund ¹⁴</t>
  </si>
  <si>
    <t>Transportation Trust Fund ¹⁴</t>
  </si>
  <si>
    <t>Highway  Maintenance Operating Fund ¹³ ¹⁴</t>
  </si>
  <si>
    <t>Intercity Passenger Rail Operating Fund ¹⁴</t>
  </si>
  <si>
    <t>Commonwealth Mass Transit Fund ¹⁴</t>
  </si>
  <si>
    <t xml:space="preserve">Northern Virginia Region </t>
  </si>
  <si>
    <t xml:space="preserve">Hampton Roads 
Region </t>
  </si>
  <si>
    <t>Historic Triangle</t>
  </si>
  <si>
    <t>Central VA Region</t>
  </si>
  <si>
    <t>Additional Tax Certain Localities¹⁵</t>
  </si>
  <si>
    <t>Subtotal 
State</t>
  </si>
  <si>
    <t>Local 
Option</t>
  </si>
  <si>
    <t>Public Education SOQ / Real Estate Property Tax Relief</t>
  </si>
  <si>
    <t>Total 
State and Local</t>
  </si>
  <si>
    <t>Notes:</t>
  </si>
  <si>
    <t xml:space="preserve"> 1. The sales and use tax on aircraft and on watercraft are reported separately in Tables 5.1 and 5.2, respectively.</t>
  </si>
  <si>
    <t xml:space="preserve"> 2. The sales and use tax on motor vehicles is administered by the Department of Motor Vehicles and is not reported here.</t>
  </si>
  <si>
    <t xml:space="preserve"> 3. Revenues of a 1% tax of the 4.3% state tax is returned to localities for education, based on each locality's school-age population.</t>
  </si>
  <si>
    <t xml:space="preserve"> 4. The local option tax of 1% is distributed to localities based on point of sale.  Local tax collections are net of all adjustments and costs of collection.</t>
  </si>
  <si>
    <t xml:space="preserve"> 5. Revenues of a 3/8% tax of the 4.3% state tax is allocated to the Public Education Standards of Quality/Local Real Estate Property Tax Relief Fund.</t>
  </si>
  <si>
    <t xml:space="preserve"> 6. The state tax on unprepared food for human consumption was reduced from 3.5 % to 3.0 % on January 1, 2000; reduced to 1.5 % on July 1, 2005; and eliminated effective January 1, 2023.</t>
  </si>
  <si>
    <t xml:space="preserve"> 7. Effective July 1, 2013, the state tax was increased from 4% to 4.3%. Of the 0.3% increase, 0.175% goes to Highway Maintenance Operating Fund, 0.05% goes to Intercity Passenger Rail and 0.075% goes to Commonwealth Mass Transit Fund. </t>
  </si>
  <si>
    <t xml:space="preserve"> 8. A new state tax of 0.7% was imposed on localities in Northern Virginia region and Hampton Roads region effective July 1, 2013, and in the Central Virginia region effective October 1, 2020.</t>
  </si>
  <si>
    <t xml:space="preserve"> 9. Effective July 1, 2018, a new state tax of 1.0% was imposed on sales made in the Historic Triangle Region in the City of  Williamsburg and the counties of James City and York, with the exception of food purchased for human consumption. </t>
  </si>
  <si>
    <t>10. Effective FY 2010, dealers with annual taxable sales above a $1 million threshold were required to make a June payment equal to 90% of their sales and use tax liability for the previous June. The threshold was raised to $10 million for the payment due June 2021.  This accelerated June payment was eliminated for the payment due June 2022.</t>
  </si>
  <si>
    <t>11. Prior to FY 2017, the Commonwealth Accounting and Reporting System (CARS) was the data source for net revenue collections. Effective with FY 2017, the Revenue Status Report from the Cardinal financial system is the data source for net revenue collections. The exception is Additional Tax Certain Localities, which requires a custom report.</t>
  </si>
  <si>
    <t>12. Effective July 1, 2019, the sales and use tax was extended to include remote sellers without a physical presence in the state. States were given the ability to do so by the U.S. Supreme Court's "Wayfair" decision of June 21, 2018.</t>
  </si>
  <si>
    <t>13. For FY 2020 and prior years, the HMO fund amounts have been adjusted to include all SUT revenue deposited in the HMO fund; for this reason, the HMOF numbers reported in prior years may differ.</t>
  </si>
  <si>
    <t>14. Starting in FY 2021, state transportation SUT revenues have been consolidated in the Commonwealth Transportation Fund per legislation.</t>
  </si>
  <si>
    <t>15. Certain localities have statutory authority to levy an additional sales and use tax of up to one percent. Halifax (effective July 1, 2020) and Henry (effective April 1, 2021) counties were the first to impose this tax followed by Charlotte, Gloucester, Northampton, and Patrick counties in FY 2022; Danville City in FY 2023; and Pittsylvania County in FY 2024.</t>
  </si>
  <si>
    <t>Data source: Revenue Status Report RGL008 from Cardinal financial reporting system, Commonwealth of Virginia</t>
  </si>
  <si>
    <t>Data source: Data pull from Virginia Tax system using SQL code provided by Rose Curtin for Additional Tax Certain Localities</t>
  </si>
  <si>
    <t>Back</t>
  </si>
  <si>
    <t>County</t>
  </si>
  <si>
    <t xml:space="preserve">Accomack </t>
  </si>
  <si>
    <t xml:space="preserve">Albemarle </t>
  </si>
  <si>
    <t xml:space="preserve">Alleghany </t>
  </si>
  <si>
    <t xml:space="preserve">Amelia </t>
  </si>
  <si>
    <t xml:space="preserve">Amherst </t>
  </si>
  <si>
    <t xml:space="preserve">Appomattox </t>
  </si>
  <si>
    <t xml:space="preserve">Augusta </t>
  </si>
  <si>
    <t xml:space="preserve">Bedford </t>
  </si>
  <si>
    <t xml:space="preserve">Bland </t>
  </si>
  <si>
    <t xml:space="preserve">Botetourt </t>
  </si>
  <si>
    <t xml:space="preserve">Brunswick </t>
  </si>
  <si>
    <t xml:space="preserve">Buchanan </t>
  </si>
  <si>
    <t xml:space="preserve">Buckingham </t>
  </si>
  <si>
    <t xml:space="preserve">Campbell </t>
  </si>
  <si>
    <t xml:space="preserve">Caroline </t>
  </si>
  <si>
    <t xml:space="preserve">Carroll </t>
  </si>
  <si>
    <t xml:space="preserve">Charlotte </t>
  </si>
  <si>
    <t xml:space="preserve">Chesterfield </t>
  </si>
  <si>
    <t xml:space="preserve">Clarke </t>
  </si>
  <si>
    <t xml:space="preserve">Craig </t>
  </si>
  <si>
    <t xml:space="preserve">Culpeper </t>
  </si>
  <si>
    <t xml:space="preserve">Cumberland </t>
  </si>
  <si>
    <t xml:space="preserve">Dickenson </t>
  </si>
  <si>
    <t xml:space="preserve">Essex </t>
  </si>
  <si>
    <t xml:space="preserve">Fauquier </t>
  </si>
  <si>
    <t xml:space="preserve">Floyd </t>
  </si>
  <si>
    <t xml:space="preserve">Fluvanna </t>
  </si>
  <si>
    <t xml:space="preserve">Franklin </t>
  </si>
  <si>
    <t xml:space="preserve">Giles </t>
  </si>
  <si>
    <t xml:space="preserve">Gloucester </t>
  </si>
  <si>
    <t xml:space="preserve">Goochland </t>
  </si>
  <si>
    <t xml:space="preserve">Grayson </t>
  </si>
  <si>
    <t xml:space="preserve">Greene </t>
  </si>
  <si>
    <t xml:space="preserve">Greensville </t>
  </si>
  <si>
    <t>Halifax</t>
  </si>
  <si>
    <t xml:space="preserve">Hanover </t>
  </si>
  <si>
    <t xml:space="preserve">Henrico </t>
  </si>
  <si>
    <t xml:space="preserve">Henry </t>
  </si>
  <si>
    <t xml:space="preserve">Isle of Wight </t>
  </si>
  <si>
    <t>James City</t>
  </si>
  <si>
    <t xml:space="preserve">King and Queen </t>
  </si>
  <si>
    <t xml:space="preserve">King George </t>
  </si>
  <si>
    <t>King William</t>
  </si>
  <si>
    <t xml:space="preserve">Lee </t>
  </si>
  <si>
    <t xml:space="preserve">Loudoun </t>
  </si>
  <si>
    <t xml:space="preserve">Louisa </t>
  </si>
  <si>
    <t xml:space="preserve">Lunenburg </t>
  </si>
  <si>
    <t xml:space="preserve">Madison </t>
  </si>
  <si>
    <t xml:space="preserve">Mathews </t>
  </si>
  <si>
    <t xml:space="preserve">Mecklenburg </t>
  </si>
  <si>
    <t xml:space="preserve">Middlesex </t>
  </si>
  <si>
    <t xml:space="preserve">Montgomery </t>
  </si>
  <si>
    <t xml:space="preserve">Nelson </t>
  </si>
  <si>
    <t xml:space="preserve">Northampton </t>
  </si>
  <si>
    <t xml:space="preserve">Nottoway </t>
  </si>
  <si>
    <t xml:space="preserve">Orange </t>
  </si>
  <si>
    <t xml:space="preserve">Page </t>
  </si>
  <si>
    <t xml:space="preserve">Patrick </t>
  </si>
  <si>
    <t xml:space="preserve">Pittsylvania </t>
  </si>
  <si>
    <t xml:space="preserve">Prince Edward </t>
  </si>
  <si>
    <t xml:space="preserve">Prince William </t>
  </si>
  <si>
    <t xml:space="preserve">Pulaski </t>
  </si>
  <si>
    <t xml:space="preserve">Rappahannock </t>
  </si>
  <si>
    <t xml:space="preserve">Rockbridge </t>
  </si>
  <si>
    <t xml:space="preserve">Rockingham </t>
  </si>
  <si>
    <t xml:space="preserve">Russell </t>
  </si>
  <si>
    <t xml:space="preserve">Scott </t>
  </si>
  <si>
    <t xml:space="preserve">Shenandoah </t>
  </si>
  <si>
    <t xml:space="preserve">Smyth </t>
  </si>
  <si>
    <t xml:space="preserve">Southampton </t>
  </si>
  <si>
    <t xml:space="preserve">Spotsylvania </t>
  </si>
  <si>
    <t xml:space="preserve">Stafford </t>
  </si>
  <si>
    <t xml:space="preserve">Surry </t>
  </si>
  <si>
    <t xml:space="preserve">Sussex </t>
  </si>
  <si>
    <t xml:space="preserve">Tazewell </t>
  </si>
  <si>
    <t xml:space="preserve">Warren </t>
  </si>
  <si>
    <t xml:space="preserve">Washington </t>
  </si>
  <si>
    <t xml:space="preserve">Wise </t>
  </si>
  <si>
    <t xml:space="preserve">Wythe </t>
  </si>
  <si>
    <t xml:space="preserve">York </t>
  </si>
  <si>
    <t>Total Counties</t>
  </si>
  <si>
    <t>City</t>
  </si>
  <si>
    <t xml:space="preserve">Buena Vista </t>
  </si>
  <si>
    <t xml:space="preserve">Charlottesville </t>
  </si>
  <si>
    <t xml:space="preserve">Colonial Heights </t>
  </si>
  <si>
    <t xml:space="preserve">Covington </t>
  </si>
  <si>
    <t xml:space="preserve">Danville </t>
  </si>
  <si>
    <t xml:space="preserve">Emporia </t>
  </si>
  <si>
    <t xml:space="preserve">Fairfax City </t>
  </si>
  <si>
    <t>Falls Church</t>
  </si>
  <si>
    <t xml:space="preserve">Fredericksburg </t>
  </si>
  <si>
    <t xml:space="preserve">Galax </t>
  </si>
  <si>
    <t>Hampton</t>
  </si>
  <si>
    <t xml:space="preserve">Hopewell </t>
  </si>
  <si>
    <t xml:space="preserve">Lexington  </t>
  </si>
  <si>
    <t xml:space="preserve">Lynchburg </t>
  </si>
  <si>
    <t xml:space="preserve">Newport News </t>
  </si>
  <si>
    <t xml:space="preserve">Norfolk </t>
  </si>
  <si>
    <t xml:space="preserve">Norton  </t>
  </si>
  <si>
    <t>Petersburg</t>
  </si>
  <si>
    <t>Portsmouth</t>
  </si>
  <si>
    <t xml:space="preserve">Radford </t>
  </si>
  <si>
    <t>Richmond</t>
  </si>
  <si>
    <t>Salem</t>
  </si>
  <si>
    <t xml:space="preserve">Virginia Beach </t>
  </si>
  <si>
    <t xml:space="preserve">Waynesboro </t>
  </si>
  <si>
    <t xml:space="preserve">Williamsburg  </t>
  </si>
  <si>
    <t xml:space="preserve">Winchester </t>
  </si>
  <si>
    <t>Total Cities</t>
  </si>
  <si>
    <t>Aggregate</t>
  </si>
  <si>
    <t>1. The data in this table are as reported by local Commissioners of the Revenue and Assessors to the Virginia Department of Taxation, Property Tax Unit.</t>
  </si>
  <si>
    <t>Table 6.2</t>
  </si>
  <si>
    <t>FMV Land</t>
  </si>
  <si>
    <t>FMV Taxable Land</t>
  </si>
  <si>
    <t>FMV Structures</t>
  </si>
  <si>
    <t>Total FMV</t>
  </si>
  <si>
    <t>Total Taxable FMV</t>
  </si>
  <si>
    <t>Local Levy</t>
  </si>
  <si>
    <t>Reporting Year</t>
  </si>
  <si>
    <t>2023</t>
  </si>
  <si>
    <t xml:space="preserve">Arlington </t>
  </si>
  <si>
    <t>Bath</t>
  </si>
  <si>
    <t>Charles City</t>
  </si>
  <si>
    <t xml:space="preserve">Dinwiddie </t>
  </si>
  <si>
    <t xml:space="preserve">Fairfax County </t>
  </si>
  <si>
    <t xml:space="preserve">Frederick </t>
  </si>
  <si>
    <t xml:space="preserve">Highland </t>
  </si>
  <si>
    <t>Lancaster</t>
  </si>
  <si>
    <t xml:space="preserve">New Kent </t>
  </si>
  <si>
    <t>Northumberland</t>
  </si>
  <si>
    <t>Powhatan</t>
  </si>
  <si>
    <t>Prince George</t>
  </si>
  <si>
    <t>Richmond County</t>
  </si>
  <si>
    <t>Roanoke</t>
  </si>
  <si>
    <t xml:space="preserve">Westmoreland </t>
  </si>
  <si>
    <t xml:space="preserve">Alexandria </t>
  </si>
  <si>
    <t xml:space="preserve">Bristol </t>
  </si>
  <si>
    <t>Chesapeake</t>
  </si>
  <si>
    <t>Harrisonburg</t>
  </si>
  <si>
    <t>Manassas</t>
  </si>
  <si>
    <t xml:space="preserve">Manassas Park  </t>
  </si>
  <si>
    <t>Martinsville</t>
  </si>
  <si>
    <t xml:space="preserve">Poquoson  </t>
  </si>
  <si>
    <t xml:space="preserve">Staunton </t>
  </si>
  <si>
    <t>Suffolk</t>
  </si>
  <si>
    <t>2. Levies do not include penalties and interest collected.</t>
  </si>
  <si>
    <t>3. Taxable fair market value is the total fair market of real estate minus the special assessment for land preservation (Code of Virginia, Section 58.1-3230).</t>
  </si>
  <si>
    <t>4. The taxable fair market value is equal to the total fair market value for localities which do not have a special assessment for land preservation.</t>
  </si>
  <si>
    <t>Data source: Property Tax Unit, Virginia Department of Taxation</t>
  </si>
  <si>
    <t>Tangible Personal Property</t>
  </si>
  <si>
    <t>Machinery and Tools</t>
  </si>
  <si>
    <t>Merchants' Capital</t>
  </si>
  <si>
    <t>Public Service Corporations</t>
  </si>
  <si>
    <t>Values</t>
  </si>
  <si>
    <t>Levies</t>
  </si>
  <si>
    <t>Table 6.4</t>
  </si>
  <si>
    <t>2. A local license tax may be imposed on gross receipts under the Code of Virginia, Section 58.1-3706.</t>
  </si>
  <si>
    <t>3. Tangible personal property includes motor vehicles, watercraft, aircraft, farm animals and machinery, business property, household goods, etc.</t>
  </si>
  <si>
    <t>4. Some localities exempt certain of these categories from taxation.</t>
  </si>
  <si>
    <t>5. Machinery and Tools includes machinery and equipment used in a manufacturing, mining, processing or reprocessing, radio and television broadcasting, etc.</t>
  </si>
  <si>
    <t>6. Merchants' Capital includes inventory of stock on hand, daily rental property, and all tangible personal property for sale.</t>
  </si>
  <si>
    <t>7. Property of Public Service Corporations (PSC's) includes merchants' capital, real estate taxed, and tangible personal property.</t>
  </si>
  <si>
    <t>Table 6.3</t>
  </si>
  <si>
    <t>Fair Market Value Tax Exempt Real Estate</t>
  </si>
  <si>
    <t>Fair Market Value 
Real Estate</t>
  </si>
  <si>
    <t>Government</t>
  </si>
  <si>
    <t>Non-Government</t>
  </si>
  <si>
    <t>Total Tax Exempt</t>
  </si>
  <si>
    <t>Total FMV 
(Real Estate &amp; Tax Exempt)</t>
  </si>
  <si>
    <t>Tax Exempt to Total FMV</t>
  </si>
  <si>
    <t>Taxes Lost 
Due to Exemptions</t>
  </si>
  <si>
    <t>2. Taxable fair market value is the total fair market of real estate minus the special assessment for land preservation (Code of Virginia, Section 58.1-3230).</t>
  </si>
  <si>
    <t>3. The taxable fair market value is equal to the total fair market value for localities which do not have a special assessment for land preservation.</t>
  </si>
  <si>
    <t>Table 7.1</t>
  </si>
  <si>
    <t xml:space="preserve">Nonprofit Organization Tax Exemption Annual Report By Fiscal Year </t>
  </si>
  <si>
    <t>State and Local Retail Sales &amp; Use  
Tax Expenditure Resulting From Purchases 
Made by Nonprofit Organizations</t>
  </si>
  <si>
    <t>Fiscal Year</t>
  </si>
  <si>
    <t>Amount ($)</t>
  </si>
  <si>
    <t>1. The Department’s estimate of annual revenue impact of the nonprofit entity exemption is based on the amounts of exempt purchases reported to the Department by nonprofit entities on their applications for a new or renewed exemption under Va. Code § 58.1-609.11.</t>
  </si>
  <si>
    <t>Data source: Nonprofit Organization Tax Exemption Annual Report from Nonprofit Exemption Unit, Virginia Department of Taxation</t>
  </si>
  <si>
    <t>Directory</t>
  </si>
  <si>
    <t>This report was prepared by:</t>
  </si>
  <si>
    <t>Virginia Department of Taxation</t>
  </si>
  <si>
    <t>General Mailing Address</t>
  </si>
  <si>
    <t>Office of Customer Services</t>
  </si>
  <si>
    <t>P.O. Box 1115</t>
  </si>
  <si>
    <t>Richmond, VA  23218-1115</t>
  </si>
  <si>
    <t>http://www.tax.virginia.gov</t>
  </si>
  <si>
    <t>Other economic and demographic data is available from the University of Virginia's Weldon Cooper Center for Public Service, which can be reached by telephone at (434) 243-5232 or online at:</t>
  </si>
  <si>
    <t>http://www.coopercenter.org</t>
  </si>
  <si>
    <t>Office of Tax Legislation &amp; Economic Analysis</t>
  </si>
  <si>
    <t>Table 6.1</t>
  </si>
  <si>
    <t>Assessed Values, Levies Assessed, and Average Tax Rates</t>
  </si>
  <si>
    <t>Tax Year</t>
  </si>
  <si>
    <t>Taxable 
Real Estate</t>
  </si>
  <si>
    <t>Tangible 
Personal Property</t>
  </si>
  <si>
    <t>Machinery 
and Tools</t>
  </si>
  <si>
    <t>Merchants' 
Capital</t>
  </si>
  <si>
    <t>Assessed Values</t>
  </si>
  <si>
    <t>2021*</t>
  </si>
  <si>
    <t>Levies Assessed</t>
  </si>
  <si>
    <t>Average Tax Rates per $100 of Assessed Value</t>
  </si>
  <si>
    <t>Note:</t>
  </si>
  <si>
    <t>* 2021 data includes corrections that surfaced during checks of data collection for 2022</t>
  </si>
  <si>
    <t>**Average tax rate is computed as the aggregate levy for all counties and cities divided by the aggregate assessed value for all counties and cities.</t>
  </si>
  <si>
    <t>Total 
Taxable Property</t>
  </si>
  <si>
    <t>Data source: 349.0 Communication Tax Annual Report from BI platform, Virginia Department of Taxation</t>
  </si>
  <si>
    <t>Table 5.6</t>
  </si>
  <si>
    <t>FIPS</t>
  </si>
  <si>
    <t>Distribution</t>
  </si>
  <si>
    <t>Accomack</t>
  </si>
  <si>
    <t>Alexandria</t>
  </si>
  <si>
    <t>Albemarle</t>
  </si>
  <si>
    <t>Lee</t>
  </si>
  <si>
    <t>Bristol</t>
  </si>
  <si>
    <t>Alleghany</t>
  </si>
  <si>
    <t>Loudoun</t>
  </si>
  <si>
    <t>Buena Vista</t>
  </si>
  <si>
    <t>Amelia</t>
  </si>
  <si>
    <t>Louisa</t>
  </si>
  <si>
    <t>Charlottesville</t>
  </si>
  <si>
    <t>Amherst</t>
  </si>
  <si>
    <t>Lunenburg</t>
  </si>
  <si>
    <t>Appomattox</t>
  </si>
  <si>
    <t>Madison</t>
  </si>
  <si>
    <t>Colonial Heights</t>
  </si>
  <si>
    <t>Arlington</t>
  </si>
  <si>
    <t>Mathews</t>
  </si>
  <si>
    <t>Covington</t>
  </si>
  <si>
    <t>Augusta</t>
  </si>
  <si>
    <t>Mecklenburg</t>
  </si>
  <si>
    <t>Danville</t>
  </si>
  <si>
    <t>Middlesex</t>
  </si>
  <si>
    <t>Emporia</t>
  </si>
  <si>
    <t>Bedford County</t>
  </si>
  <si>
    <t>Montgomery</t>
  </si>
  <si>
    <t>Fairfax City</t>
  </si>
  <si>
    <t>Bland</t>
  </si>
  <si>
    <t>Nelson</t>
  </si>
  <si>
    <t>Botetourt</t>
  </si>
  <si>
    <t>New Kent</t>
  </si>
  <si>
    <t>Franklin City</t>
  </si>
  <si>
    <t>Brunswick</t>
  </si>
  <si>
    <t>Northampton</t>
  </si>
  <si>
    <t>Fredericksburg</t>
  </si>
  <si>
    <t>Buchanan</t>
  </si>
  <si>
    <t>Galax</t>
  </si>
  <si>
    <t>Buckingham</t>
  </si>
  <si>
    <t>Nottoway</t>
  </si>
  <si>
    <t>Campbell</t>
  </si>
  <si>
    <t>Orange</t>
  </si>
  <si>
    <t>Caroline</t>
  </si>
  <si>
    <t>Page</t>
  </si>
  <si>
    <t>Hopewell</t>
  </si>
  <si>
    <t>Carroll</t>
  </si>
  <si>
    <t>Patrick</t>
  </si>
  <si>
    <t>Lexington</t>
  </si>
  <si>
    <t>Pittsylvania</t>
  </si>
  <si>
    <t>Lynchburg</t>
  </si>
  <si>
    <t>Charlotte</t>
  </si>
  <si>
    <t>Chesterfield</t>
  </si>
  <si>
    <t>Prince Edward</t>
  </si>
  <si>
    <t>Manassas Park</t>
  </si>
  <si>
    <t>Clarke</t>
  </si>
  <si>
    <t>Craig</t>
  </si>
  <si>
    <t>Prince William</t>
  </si>
  <si>
    <t>Newport News</t>
  </si>
  <si>
    <t>Culpeper</t>
  </si>
  <si>
    <t>Pulaski</t>
  </si>
  <si>
    <t>Norfolk</t>
  </si>
  <si>
    <t>Cumberland</t>
  </si>
  <si>
    <t>Rappahannock</t>
  </si>
  <si>
    <t>Norton</t>
  </si>
  <si>
    <t>Dickenson</t>
  </si>
  <si>
    <t>Dinwiddie</t>
  </si>
  <si>
    <t>Roanoke County</t>
  </si>
  <si>
    <t>Poquoson</t>
  </si>
  <si>
    <t>Essex</t>
  </si>
  <si>
    <t>Rockbridge</t>
  </si>
  <si>
    <t>Fairfax County</t>
  </si>
  <si>
    <t>Rockingham</t>
  </si>
  <si>
    <t>Radford</t>
  </si>
  <si>
    <t>Fauquier</t>
  </si>
  <si>
    <t>Russell</t>
  </si>
  <si>
    <t>Richmond City</t>
  </si>
  <si>
    <t>Floyd</t>
  </si>
  <si>
    <t>Scott</t>
  </si>
  <si>
    <t>Roanoke City</t>
  </si>
  <si>
    <t>Fluvanna</t>
  </si>
  <si>
    <t>Shenandoah</t>
  </si>
  <si>
    <t>Franklin County</t>
  </si>
  <si>
    <t>Smyth</t>
  </si>
  <si>
    <t>Staunton</t>
  </si>
  <si>
    <t>Frederick</t>
  </si>
  <si>
    <t>Southampton</t>
  </si>
  <si>
    <t>Giles</t>
  </si>
  <si>
    <t>Spotsylvania</t>
  </si>
  <si>
    <t>Virginia Beach</t>
  </si>
  <si>
    <t>Gloucester</t>
  </si>
  <si>
    <t>Stafford</t>
  </si>
  <si>
    <t>Waynesboro</t>
  </si>
  <si>
    <t>Goochland</t>
  </si>
  <si>
    <t>Surry</t>
  </si>
  <si>
    <t>Williamsburg</t>
  </si>
  <si>
    <t>Grayson</t>
  </si>
  <si>
    <t>Sussex</t>
  </si>
  <si>
    <t>Winchester</t>
  </si>
  <si>
    <t>Greene</t>
  </si>
  <si>
    <t>Tazewell</t>
  </si>
  <si>
    <t>Greensville</t>
  </si>
  <si>
    <t>Warren</t>
  </si>
  <si>
    <t>Washington</t>
  </si>
  <si>
    <t>Hanover</t>
  </si>
  <si>
    <t>Westmoreland</t>
  </si>
  <si>
    <t>Henrico</t>
  </si>
  <si>
    <t>Wise</t>
  </si>
  <si>
    <t>Henry</t>
  </si>
  <si>
    <t>Wythe</t>
  </si>
  <si>
    <t>Highland</t>
  </si>
  <si>
    <t>York</t>
  </si>
  <si>
    <t>Isle Of Wight</t>
  </si>
  <si>
    <t>King And Queen</t>
  </si>
  <si>
    <t>King George</t>
  </si>
  <si>
    <t>Town</t>
  </si>
  <si>
    <t>Abingdon</t>
  </si>
  <si>
    <t>Courtland</t>
  </si>
  <si>
    <t>La Crosse</t>
  </si>
  <si>
    <t>Round Hill</t>
  </si>
  <si>
    <t>Accomac</t>
  </si>
  <si>
    <t>Crewe</t>
  </si>
  <si>
    <t>Lawrenceville</t>
  </si>
  <si>
    <t>Rural Retreat</t>
  </si>
  <si>
    <t>Alberta</t>
  </si>
  <si>
    <t>Lebanon</t>
  </si>
  <si>
    <t>Saint Charles</t>
  </si>
  <si>
    <t>Altavista</t>
  </si>
  <si>
    <t>Damascus</t>
  </si>
  <si>
    <t>Leesburg</t>
  </si>
  <si>
    <t>Saint Paul</t>
  </si>
  <si>
    <t>Dayton</t>
  </si>
  <si>
    <t>Saltville</t>
  </si>
  <si>
    <t>Appalachia</t>
  </si>
  <si>
    <t>Dillwyn</t>
  </si>
  <si>
    <t>Lovettsville</t>
  </si>
  <si>
    <t>Scottsville</t>
  </si>
  <si>
    <t>Drakes Branch</t>
  </si>
  <si>
    <t>Luray</t>
  </si>
  <si>
    <t>Ashland</t>
  </si>
  <si>
    <t>Dublin</t>
  </si>
  <si>
    <t>Marion</t>
  </si>
  <si>
    <t>Smithfield</t>
  </si>
  <si>
    <t>Bedford</t>
  </si>
  <si>
    <t>Dumfries</t>
  </si>
  <si>
    <t>McKenney</t>
  </si>
  <si>
    <t>South Boston</t>
  </si>
  <si>
    <t>Berryville</t>
  </si>
  <si>
    <t>Edinburg</t>
  </si>
  <si>
    <t>Melfa</t>
  </si>
  <si>
    <t>South Hill</t>
  </si>
  <si>
    <t>Big Stone Gap</t>
  </si>
  <si>
    <t>Elkton</t>
  </si>
  <si>
    <t>Middleburg</t>
  </si>
  <si>
    <t>Stanardsville</t>
  </si>
  <si>
    <t>Blacksburg</t>
  </si>
  <si>
    <t>Farmville</t>
  </si>
  <si>
    <t>Middletown</t>
  </si>
  <si>
    <t>Stanley</t>
  </si>
  <si>
    <t>Blackstone</t>
  </si>
  <si>
    <t>Fincastle</t>
  </si>
  <si>
    <t>Mineral</t>
  </si>
  <si>
    <t>Stephens City</t>
  </si>
  <si>
    <t>Bloxom</t>
  </si>
  <si>
    <t>Monterey</t>
  </si>
  <si>
    <t>Strasburg</t>
  </si>
  <si>
    <t>Bluefield</t>
  </si>
  <si>
    <t>Fries</t>
  </si>
  <si>
    <t>Montross</t>
  </si>
  <si>
    <t>Stuart</t>
  </si>
  <si>
    <t>Boones Mill</t>
  </si>
  <si>
    <t>Front Royal</t>
  </si>
  <si>
    <t>Mount Jackson</t>
  </si>
  <si>
    <t>Tappahannock</t>
  </si>
  <si>
    <t>Bowling Green</t>
  </si>
  <si>
    <t>Gate City</t>
  </si>
  <si>
    <t>Narrows</t>
  </si>
  <si>
    <t>Boyce</t>
  </si>
  <si>
    <t>Glade Spring</t>
  </si>
  <si>
    <t>New Castle</t>
  </si>
  <si>
    <t>Timberville</t>
  </si>
  <si>
    <t>Boydton</t>
  </si>
  <si>
    <t>Glasgow</t>
  </si>
  <si>
    <t>New Market</t>
  </si>
  <si>
    <t>Troutville</t>
  </si>
  <si>
    <t>Boykins</t>
  </si>
  <si>
    <t>Gordonsville</t>
  </si>
  <si>
    <t>Newsoms</t>
  </si>
  <si>
    <t>Urbanna</t>
  </si>
  <si>
    <t>Bridgewater</t>
  </si>
  <si>
    <t>Goshen</t>
  </si>
  <si>
    <t>Nickelsville</t>
  </si>
  <si>
    <t>Victoria</t>
  </si>
  <si>
    <t>Broadnax</t>
  </si>
  <si>
    <t>Gretna</t>
  </si>
  <si>
    <t>Occoquan</t>
  </si>
  <si>
    <t>Vienna</t>
  </si>
  <si>
    <t>Broadway</t>
  </si>
  <si>
    <t>Grottoes</t>
  </si>
  <si>
    <t>Onancock</t>
  </si>
  <si>
    <t>Vinton</t>
  </si>
  <si>
    <t>Brookneal</t>
  </si>
  <si>
    <t>Grundy</t>
  </si>
  <si>
    <t>Onley</t>
  </si>
  <si>
    <t>Wachapreague</t>
  </si>
  <si>
    <t>Wakefield</t>
  </si>
  <si>
    <t>Burkeville</t>
  </si>
  <si>
    <t>Hamilton</t>
  </si>
  <si>
    <t>Painter</t>
  </si>
  <si>
    <t>Warrenton</t>
  </si>
  <si>
    <t>Cape Charles</t>
  </si>
  <si>
    <t>Haymarket</t>
  </si>
  <si>
    <t>Parksley</t>
  </si>
  <si>
    <t>Warsaw</t>
  </si>
  <si>
    <t>Cedar Bluff</t>
  </si>
  <si>
    <t>Haysi</t>
  </si>
  <si>
    <t>Pearisburg</t>
  </si>
  <si>
    <t>Charlotte Court House</t>
  </si>
  <si>
    <t>Herndon</t>
  </si>
  <si>
    <t>Pembroke</t>
  </si>
  <si>
    <t>Waverly</t>
  </si>
  <si>
    <t>Chase City</t>
  </si>
  <si>
    <t>Hillsville</t>
  </si>
  <si>
    <t>Pennington Gap</t>
  </si>
  <si>
    <t>Weber City</t>
  </si>
  <si>
    <t>Chatham</t>
  </si>
  <si>
    <t>Honaker</t>
  </si>
  <si>
    <t>Phenix</t>
  </si>
  <si>
    <t>West Point</t>
  </si>
  <si>
    <t>Chilhowie</t>
  </si>
  <si>
    <t>Hurt</t>
  </si>
  <si>
    <t>Pocahontas</t>
  </si>
  <si>
    <t>White Stone</t>
  </si>
  <si>
    <t>Chincoteague</t>
  </si>
  <si>
    <t>Independence</t>
  </si>
  <si>
    <t>Port Royal</t>
  </si>
  <si>
    <t>Windsor</t>
  </si>
  <si>
    <t>Christiansburg</t>
  </si>
  <si>
    <t>Iron Gate</t>
  </si>
  <si>
    <t>Pound</t>
  </si>
  <si>
    <t>Clarksville</t>
  </si>
  <si>
    <t>Irvington</t>
  </si>
  <si>
    <t>Woodstock</t>
  </si>
  <si>
    <t>Cleveland</t>
  </si>
  <si>
    <t>Ivor</t>
  </si>
  <si>
    <t>Purcellville</t>
  </si>
  <si>
    <t>Wytheville</t>
  </si>
  <si>
    <t>Clifton</t>
  </si>
  <si>
    <t>Jarratt</t>
  </si>
  <si>
    <t>Quantico</t>
  </si>
  <si>
    <t>Clifton Forge</t>
  </si>
  <si>
    <t>Jonesville</t>
  </si>
  <si>
    <t>Remington</t>
  </si>
  <si>
    <t>Total Towns</t>
  </si>
  <si>
    <t>Clintwood</t>
  </si>
  <si>
    <t>Kenbridge</t>
  </si>
  <si>
    <t>Rich Creek</t>
  </si>
  <si>
    <t>Coeburn</t>
  </si>
  <si>
    <t>Keysville</t>
  </si>
  <si>
    <t>Ridgeway</t>
  </si>
  <si>
    <t>Colonial Beach</t>
  </si>
  <si>
    <t>Kilmarnock</t>
  </si>
  <si>
    <t>Rocky Mount</t>
  </si>
  <si>
    <t>1. Communications taxes in Virginia include: 5% Communications Sales tax on telecommunications services, 75ȼ State E-911 tax for landline and Voice Over Internet Protocol (VoIP) phones, a wireless E-911 surcharge of $0.82 and a prepaid wireless E-911 charge of $0.55, and $1.20 Landline telephone and cable TV franchise right of way fees.</t>
  </si>
  <si>
    <t>2. This tax is collected from consumers by their service providers and remitted to the Department of Taxation on a monthly basis.  In cases where a consumer purchases taxable communications services and no tax is collected from the consumer on the purchase by the provider, the consumer is responsible for paying a communications use tax.</t>
  </si>
  <si>
    <t xml:space="preserve">Chesapeake </t>
  </si>
  <si>
    <t>Fairfax</t>
  </si>
  <si>
    <t>Franklin</t>
  </si>
  <si>
    <t xml:space="preserve">Hampton </t>
  </si>
  <si>
    <t xml:space="preserve">Martinsville </t>
  </si>
  <si>
    <t xml:space="preserve">Petersburg </t>
  </si>
  <si>
    <t xml:space="preserve">Portsmouth </t>
  </si>
  <si>
    <t xml:space="preserve">Richmond </t>
  </si>
  <si>
    <t xml:space="preserve">Roanoke </t>
  </si>
  <si>
    <t xml:space="preserve">Salem </t>
  </si>
  <si>
    <t xml:space="preserve">Suffolk </t>
  </si>
  <si>
    <t>Table 5.5</t>
  </si>
  <si>
    <t xml:space="preserve">Recordation Tax and Deeds of Conveyance Revenue Collections by Locality </t>
  </si>
  <si>
    <t>Fiscal Year 
2020</t>
  </si>
  <si>
    <t>Fiscal Year 
2021</t>
  </si>
  <si>
    <t>Fiscal Year 
2022</t>
  </si>
  <si>
    <t xml:space="preserve">Bath </t>
  </si>
  <si>
    <t xml:space="preserve">Charles City </t>
  </si>
  <si>
    <t xml:space="preserve">Fairfax </t>
  </si>
  <si>
    <t xml:space="preserve">Halifax   </t>
  </si>
  <si>
    <t xml:space="preserve">James City </t>
  </si>
  <si>
    <t xml:space="preserve">King William </t>
  </si>
  <si>
    <t xml:space="preserve">Lancaster </t>
  </si>
  <si>
    <t xml:space="preserve">Northumberland </t>
  </si>
  <si>
    <t xml:space="preserve">Powhatan </t>
  </si>
  <si>
    <t xml:space="preserve">Prince George </t>
  </si>
  <si>
    <t>Data source: Department of Accounts</t>
  </si>
  <si>
    <t>Table 5.3</t>
  </si>
  <si>
    <t>Counties</t>
  </si>
  <si>
    <t>Cities</t>
  </si>
  <si>
    <t>Total</t>
  </si>
  <si>
    <t>Total equity capital value based on capital, surplus, and undivided profits</t>
  </si>
  <si>
    <t xml:space="preserve">Addition for reserve for loan losses </t>
  </si>
  <si>
    <t>Other additions</t>
  </si>
  <si>
    <t>a. U.S. obligations</t>
  </si>
  <si>
    <t>b. Retained earnings and surplus of subsidiaries included in gross capital</t>
  </si>
  <si>
    <t>c. Goodwill</t>
  </si>
  <si>
    <t>d. Other deductions (total)</t>
  </si>
  <si>
    <t>Capital before Virginia modifications</t>
  </si>
  <si>
    <t>Capital attributable to Virginia</t>
  </si>
  <si>
    <t>Deductions of assessed value of real estate otherwise taxed in this state</t>
  </si>
  <si>
    <t>Deductions of book value of tangible personal property otherwise taxed in this state</t>
  </si>
  <si>
    <t>Net taxable capital</t>
  </si>
  <si>
    <t>Total Tax Assessment</t>
  </si>
  <si>
    <t>Local Tax Credit (local Tax Assessment)</t>
  </si>
  <si>
    <t>State Tax Credits:</t>
  </si>
  <si>
    <t>Neighborhood Assistance Act Tax Credit</t>
  </si>
  <si>
    <t>Major Business Facility Job Tax Credit</t>
  </si>
  <si>
    <t>Historic Rehabilitation Tax Credit</t>
  </si>
  <si>
    <t>Low Income Housing Tax Credit</t>
  </si>
  <si>
    <t>Education Improvement Scholarships Tax Credit</t>
  </si>
  <si>
    <t>Major Research and Development Tax Credit</t>
  </si>
  <si>
    <t>Total State Tax Assessment</t>
  </si>
  <si>
    <t>Table 5.4</t>
  </si>
  <si>
    <t>Bank Franchise Tax Net Revenue Collections</t>
  </si>
  <si>
    <t>Collections</t>
  </si>
  <si>
    <t>Data source: Bank Franchise Tax Unit, Virginia Department of Taxation</t>
  </si>
  <si>
    <t>Table 4.3</t>
  </si>
  <si>
    <t xml:space="preserve"> Share of 
State Tax</t>
  </si>
  <si>
    <t>Total 
Amount</t>
  </si>
  <si>
    <t xml:space="preserve">Halifax </t>
  </si>
  <si>
    <t xml:space="preserve">Harrisonburg </t>
  </si>
  <si>
    <t xml:space="preserve">Lexington </t>
  </si>
  <si>
    <t xml:space="preserve">Manassas </t>
  </si>
  <si>
    <t xml:space="preserve">Manassas Park </t>
  </si>
  <si>
    <t xml:space="preserve">Williamsburg </t>
  </si>
  <si>
    <t xml:space="preserve">Norton </t>
  </si>
  <si>
    <t xml:space="preserve">Falls Church </t>
  </si>
  <si>
    <t xml:space="preserve">Poquoson </t>
  </si>
  <si>
    <t>Data source: Department of Accounts and data pull from ARPRD database, Virginia Department of Taxation</t>
  </si>
  <si>
    <t>Table 4.2</t>
  </si>
  <si>
    <t>Annual Taxable Sales by Industry for the Commonwealth of Virginia by Calendar Year *</t>
  </si>
  <si>
    <t>Category</t>
  </si>
  <si>
    <t>2020</t>
  </si>
  <si>
    <t>2021</t>
  </si>
  <si>
    <t>2022</t>
  </si>
  <si>
    <t>11  Agriculture</t>
  </si>
  <si>
    <t>21-22  Mining and Utilities</t>
  </si>
  <si>
    <t>23  Construction</t>
  </si>
  <si>
    <t>31-33  Manufacturing</t>
  </si>
  <si>
    <t>42  Wholesale Trade</t>
  </si>
  <si>
    <t>44-45  Retail Trade</t>
  </si>
  <si>
    <t>442  Furniture and Home Furnishings Stores ³</t>
  </si>
  <si>
    <t>449  Furniture, Home Furnishings, Electronics, and Appliance Retailers</t>
  </si>
  <si>
    <t>444  Building Material and Garden Equipment and Supplies Dealers</t>
  </si>
  <si>
    <t>445  Food and Beverage Stores</t>
  </si>
  <si>
    <t>448  Clothing and Clothing Accessories Stores ³</t>
  </si>
  <si>
    <t>458  Clothing, Clothing Accessories, Shoe, and Jewelry Retailers</t>
  </si>
  <si>
    <t>452  General Merchandise Stores ³</t>
  </si>
  <si>
    <t>455  General Merchandise Retailers</t>
  </si>
  <si>
    <t>48-49  Transportation and Warehousing</t>
  </si>
  <si>
    <t>51  Information</t>
  </si>
  <si>
    <t>52  Finance and Insurance</t>
  </si>
  <si>
    <t>53  Real Estate, Rental, and Leasing</t>
  </si>
  <si>
    <t>54  Professional, Scientific, and Technical Services</t>
  </si>
  <si>
    <t>55  Management of Companies and Enterprises</t>
  </si>
  <si>
    <t>56  Administrative, Support, Waste Management, &amp; Remediation Services</t>
  </si>
  <si>
    <t>61  Educational Services</t>
  </si>
  <si>
    <t>62  Health Care and Social Assistance</t>
  </si>
  <si>
    <t>71  Arts, Entertainment, and Recreation</t>
  </si>
  <si>
    <t>72  Accommodation And Food Services</t>
  </si>
  <si>
    <t>722  Food Services and Drinking Places</t>
  </si>
  <si>
    <t>81  Other Services</t>
  </si>
  <si>
    <t>92  Public Administration</t>
  </si>
  <si>
    <t>Not Categorized</t>
  </si>
  <si>
    <t>1. The current industry classifications are based on the North American Industry Classification System (NAICS). Prior to 2005, different business classification codes were used.</t>
  </si>
  <si>
    <t>2. NAICS are self-assigned by taxpayers based on their primary business activity. The U.S. Census Bureau's 2017 NAICS classifications have been the primary codes used by taxpayers, however the 2022 NAICS classification are starting to be used.</t>
  </si>
  <si>
    <t>3. NAICS 442, 448, and 452 are old codes that should disappear over time as companies begin using the new NAICS 449, 458, and 455 codes from the 2022 NAICS classifications.</t>
  </si>
  <si>
    <t>5. Not all sales are subject to the Retail Sales and Use Tax. Numerous sales are excluded or exempted.</t>
  </si>
  <si>
    <t>Data source: 018C.0 Annual Taxable Sales Report from Virginia Tax BI platform</t>
  </si>
  <si>
    <t>Table of Contents</t>
  </si>
  <si>
    <t xml:space="preserve">Net Revenue Collections and Expenditures                                                                </t>
  </si>
  <si>
    <t>Individual Income Tax</t>
  </si>
  <si>
    <t>1.10</t>
  </si>
  <si>
    <t>Corporate Income Tax &amp; Pass-Through Entity Tax</t>
  </si>
  <si>
    <t>Individual and Corporate Income Tax Credits</t>
  </si>
  <si>
    <t>Sales and Use Tax</t>
  </si>
  <si>
    <t>4.2</t>
  </si>
  <si>
    <t>4.3</t>
  </si>
  <si>
    <t>Other State Taxes</t>
  </si>
  <si>
    <t>5.3</t>
  </si>
  <si>
    <t>5.4</t>
  </si>
  <si>
    <t>5.5</t>
  </si>
  <si>
    <t>5.6</t>
  </si>
  <si>
    <t>5.7</t>
  </si>
  <si>
    <t>Local Property Taxes</t>
  </si>
  <si>
    <t>Nonprofit Exemption Annual Report</t>
  </si>
  <si>
    <r>
      <t>Directory</t>
    </r>
    <r>
      <rPr>
        <sz val="10"/>
        <rFont val="Calibri"/>
        <family val="2"/>
      </rPr>
      <t xml:space="preserve"> ….................................................................................................................................................................................................................................................................................................................................</t>
    </r>
  </si>
  <si>
    <t>Table 1.7</t>
  </si>
  <si>
    <t>Unassigned*</t>
  </si>
  <si>
    <t>1. Totals in Table 1.7 may not match totals in previous tables due to minor variations in rounding.</t>
  </si>
  <si>
    <t>2. Tax liability is before any tax credits but after the spouse tax adjustment.</t>
  </si>
  <si>
    <t>* Returns not assigned to a locality are generally nonresident returns.  In these cases, the taxpayer did not report a locality in which the Virginia portion of income was earned.</t>
  </si>
  <si>
    <t>Data source: Report 138.A from Office of Technology, Virginia Department of Taxation</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</si>
  <si>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</si>
  <si>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</si>
  <si>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</si>
  <si>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</si>
  <si>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</si>
  <si>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</si>
  <si>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</si>
  <si>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</si>
  <si>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</si>
  <si>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</si>
  <si>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</si>
  <si>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</si>
  <si>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</si>
  <si>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</si>
  <si>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</si>
  <si>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</si>
  <si>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</si>
  <si>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</si>
  <si>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</si>
  <si>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</si>
  <si>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</si>
  <si>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</si>
  <si>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</si>
  <si>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</si>
  <si>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</si>
  <si>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</si>
  <si>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</si>
  <si>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</si>
  <si>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</si>
  <si>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</si>
  <si>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Total Net 
Taxable Income</t>
  </si>
  <si>
    <t>Taxed at 2% Rate</t>
  </si>
  <si>
    <t>Taxed at 3% Rate</t>
  </si>
  <si>
    <t>Taxed at 5% Rate</t>
  </si>
  <si>
    <t>Taxed at 5.75% Rate</t>
  </si>
  <si>
    <t>51770</t>
  </si>
  <si>
    <t>51775</t>
  </si>
  <si>
    <t>51790</t>
  </si>
  <si>
    <t>51800</t>
  </si>
  <si>
    <t>51810</t>
  </si>
  <si>
    <t>51820</t>
  </si>
  <si>
    <t>51830</t>
  </si>
  <si>
    <t>51840</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</si>
  <si>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</si>
  <si>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</si>
  <si>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</si>
  <si>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</si>
  <si>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</si>
  <si>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</si>
  <si>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</si>
  <si>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</si>
  <si>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</si>
  <si>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</si>
  <si>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</si>
  <si>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</si>
  <si>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</si>
  <si>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</si>
  <si>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</si>
  <si>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</si>
  <si>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</si>
  <si>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</si>
  <si>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</si>
  <si>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</si>
  <si>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</si>
  <si>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</si>
  <si>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</si>
  <si>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</si>
  <si>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</si>
  <si>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</si>
  <si>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</si>
  <si>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</si>
  <si>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</si>
  <si>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</si>
  <si>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</si>
  <si>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</si>
  <si>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</si>
  <si>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</si>
  <si>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</si>
  <si>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</si>
  <si>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</si>
  <si>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</si>
  <si>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</si>
  <si>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</si>
  <si>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</si>
  <si>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</si>
  <si>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</si>
  <si>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</si>
  <si>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</si>
  <si>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</si>
  <si>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</si>
  <si>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</si>
  <si>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</si>
  <si>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</si>
  <si>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</si>
  <si>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</si>
  <si>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</si>
  <si>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</si>
  <si>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</si>
  <si>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</si>
  <si>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</si>
  <si>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</si>
  <si>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</si>
  <si>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</si>
  <si>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</si>
  <si>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</si>
  <si>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</si>
  <si>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</si>
  <si>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</si>
  <si>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</si>
  <si>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</si>
  <si>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</si>
  <si>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</si>
  <si>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</si>
  <si>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</si>
  <si>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</si>
  <si>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</si>
  <si>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</si>
  <si>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</si>
  <si>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</si>
  <si>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</si>
  <si>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</si>
  <si>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</si>
  <si>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</si>
  <si>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</si>
  <si>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</si>
  <si>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</si>
  <si>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</si>
  <si>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</si>
  <si>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</si>
  <si>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</si>
  <si>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</si>
  <si>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</si>
  <si>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</si>
  <si>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</si>
  <si>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</si>
  <si>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</si>
  <si>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</si>
  <si>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</si>
  <si>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00300</t>
  </si>
  <si>
    <t>Total Income
Tax Liability</t>
  </si>
  <si>
    <t>Table 1.6</t>
  </si>
  <si>
    <t>Exemptions</t>
  </si>
  <si>
    <t>Deductions</t>
  </si>
  <si>
    <t>Filing Status</t>
  </si>
  <si>
    <t>Number</t>
  </si>
  <si>
    <t>Amount</t>
  </si>
  <si>
    <t>Standard</t>
  </si>
  <si>
    <t>Itemized</t>
  </si>
  <si>
    <t>Total 
Returns</t>
  </si>
  <si>
    <t>Individual</t>
  </si>
  <si>
    <t>Married 
Filing Joint</t>
  </si>
  <si>
    <t>Married 
Filing Separately</t>
  </si>
  <si>
    <t>Table 1.5</t>
  </si>
  <si>
    <t>$0 to $4,999</t>
  </si>
  <si>
    <t>$5,000 to $9,999</t>
  </si>
  <si>
    <t>$10,000 to $14,999</t>
  </si>
  <si>
    <t>$15,000 to $19,999</t>
  </si>
  <si>
    <t>$20,000 to $24,999</t>
  </si>
  <si>
    <t>$25,000 to $29,999</t>
  </si>
  <si>
    <t>$30,000 to $39,999</t>
  </si>
  <si>
    <t>$40,000 to $49,999</t>
  </si>
  <si>
    <t>$50,000 to $74,999</t>
  </si>
  <si>
    <t>$75,000 to $99,999</t>
  </si>
  <si>
    <t>$100,000 and Over</t>
  </si>
  <si>
    <t>Total Adjusted Gross Income</t>
  </si>
  <si>
    <t>Table 1.4</t>
  </si>
  <si>
    <t>Number and Class of Exemptions by Virginia Adjusted Gross Income Class</t>
  </si>
  <si>
    <t>Adjusted Gross 
Income Classes</t>
  </si>
  <si>
    <t>Total Number 
of Returns</t>
  </si>
  <si>
    <t>Personal</t>
  </si>
  <si>
    <t>Dependent</t>
  </si>
  <si>
    <t>Age</t>
  </si>
  <si>
    <t>Blindness</t>
  </si>
  <si>
    <t>Total Number 
of Exemptions</t>
  </si>
  <si>
    <t>and</t>
  </si>
  <si>
    <t>Below</t>
  </si>
  <si>
    <t>to</t>
  </si>
  <si>
    <t>Over</t>
  </si>
  <si>
    <t>Total:</t>
  </si>
  <si>
    <t>Data source: Report 138.0 from Office of Technology, Virginia Department of Taxation</t>
  </si>
  <si>
    <t>Table 1.3</t>
  </si>
  <si>
    <t>Number and Class of Returns by Virginia Adjusted Gross Income Class</t>
  </si>
  <si>
    <t>Adjusted Gross
Income Classes</t>
  </si>
  <si>
    <t>Single 
Returns</t>
  </si>
  <si>
    <t xml:space="preserve">Married 
Filing Joint </t>
  </si>
  <si>
    <t xml:space="preserve">Married 
Filing Separately </t>
  </si>
  <si>
    <t>Total Number of Returns</t>
  </si>
  <si>
    <t>Table 1.2</t>
  </si>
  <si>
    <t>Virginia Adjusted Gross Income, Exemptions, Itemized and Standard Deductions, Total Taxable Income, Total Tax Liability, and Average Tax Rates</t>
  </si>
  <si>
    <t>Adjusted Gross Income Classes</t>
  </si>
  <si>
    <t>Exemptions Claimed ($)</t>
  </si>
  <si>
    <t>Itemized Deductions Claimed ($)</t>
  </si>
  <si>
    <t>Standard Deductions  Claimed ($)</t>
  </si>
  <si>
    <t>Total Deductions Claimed ($)</t>
  </si>
  <si>
    <t>Total Taxable Income</t>
  </si>
  <si>
    <t>Total Tax Liability</t>
  </si>
  <si>
    <t>1. The tax rate is 2% for taxable income of $3,000 or less; 3% for taxable income $3,001 to $5,000; 5% for taxable income $5,001 to $17,000; and 5.75% for taxable income over $17,000.</t>
  </si>
  <si>
    <t>2. Exemption and deduction amounts for nonresidents include the full amount before the Virginia allocable portion is computed.</t>
  </si>
  <si>
    <t>3. Tax liability is before any tax credits but after the spouse tax adjustment.</t>
  </si>
  <si>
    <t>4. Average tax rate is computed by dividing total tax liability by the total taxable income.</t>
  </si>
  <si>
    <t>5. All revenue generated by the Individual Income Tax is deposited to the General Fund.</t>
  </si>
  <si>
    <t xml:space="preserve">6. Exemptions claimed includes personal, age, blind and dependent exemptions. </t>
  </si>
  <si>
    <r>
      <t xml:space="preserve">7. Total deductions represents standard and itemized deduction and does not include other deductions in </t>
    </r>
    <r>
      <rPr>
        <i/>
        <sz val="9"/>
        <color theme="1" tint="0.14999847407452621"/>
        <rFont val="Calibri"/>
        <family val="2"/>
      </rPr>
      <t xml:space="preserve">Va. Code § </t>
    </r>
    <r>
      <rPr>
        <sz val="9"/>
        <color theme="1" tint="0.14999847407452621"/>
        <rFont val="Calibri"/>
        <family val="2"/>
      </rPr>
      <t xml:space="preserve"> 58.1-322.03.</t>
    </r>
  </si>
  <si>
    <t>Average 
Tax Rate</t>
  </si>
  <si>
    <t>Table 1.1</t>
  </si>
  <si>
    <t>Individual Income Tax Liability</t>
  </si>
  <si>
    <t>Taxable Year</t>
  </si>
  <si>
    <t>1. Tax liability is before any tax credits but after the spouse tax adjustment.</t>
  </si>
  <si>
    <t>Table 5.1</t>
  </si>
  <si>
    <t>Other Taxes Net Revenue Collections - General Fund</t>
  </si>
  <si>
    <t xml:space="preserve">*check if footnotes have changed </t>
  </si>
  <si>
    <t>Recordation</t>
  </si>
  <si>
    <t>Suits &amp;</t>
  </si>
  <si>
    <t>Estate</t>
  </si>
  <si>
    <t>Watercraft</t>
  </si>
  <si>
    <t>Rolling</t>
  </si>
  <si>
    <t>Insurance Premiums</t>
  </si>
  <si>
    <t>&amp; Deeds</t>
  </si>
  <si>
    <t>Wills</t>
  </si>
  <si>
    <t>Tax</t>
  </si>
  <si>
    <t>Stock Tax</t>
  </si>
  <si>
    <t>License Tax</t>
  </si>
  <si>
    <t>-</t>
  </si>
  <si>
    <t xml:space="preserve">1. The figures stated above are net of refunds.  </t>
  </si>
  <si>
    <t>2. One-half of the (Recordation &amp; Deeds) revenues from the additional grantor's tax imposed at a rate of 50 cents on every $500 of value are deposited into the General Fund and one-half are deposited into the treasury of the locality. Effective July 1, 2013, a regional congestion fee is imposed at the rate of $0.15 per $100 in the Northern Virginia Region.  Effective July 1, 2020, the regional congestion fee was replaced with a regional WMATA capital fee of $0.10 per $100 in any county or city that is a member of the Northern Virginia Transportation Authority  and a regional congestion relief fee of $0.10 per $100 in any county or city that is a member of Planning District 8.</t>
  </si>
  <si>
    <t>3. The tax on suits is $5 for debts under $50,000, $15 for debts $50,000 and greater but not exceeding $100,000, and $25 for debts $100,000 and greater.  Prior to July 1, 2007, Virginia had an estate tax that was equal to the federal credit for state death taxes. With the elimination of the federal credit, the Virginia estate tax was effectively repealed.</t>
  </si>
  <si>
    <t>4. The watercraft sales and use tax is imposed at a rate of 2 percent of the purchase price, up to a maximum of $2,000.</t>
  </si>
  <si>
    <t>5. The rolling stock tax on railroads, freight car companies, and certified motor vehicle carriers is $1 on each $100 of assessed value.</t>
  </si>
  <si>
    <r>
      <t xml:space="preserve">6. The administration and collection of Insurance Premiums License Tax was transferred from SCC's Bureau of Insurance to the Department of Taxation, effective for taxable years beginning on or after January, 2013. Prior to Taxable Year 2015, depending on the line(s) of insurance from which the premiums were derived, the tax rates were 2.25%, 1.00%, and 0.75% for insurance companies. After Taxable Year 2015, depending on the line(s) of insurance from which the premiums were derived, the tax rates are 2.25% and 1.00% for insurance companies. Surplus lines brokers are subject to a rate of 2.25%. The figures above represent the General Fund share after the required transfer to the Transportation Trust Fund per Chapter 896, 2007 </t>
    </r>
    <r>
      <rPr>
        <i/>
        <sz val="9"/>
        <color theme="1" tint="0.14999847407452621"/>
        <rFont val="Calibri"/>
        <family val="2"/>
      </rPr>
      <t>Acts of Assembly</t>
    </r>
    <r>
      <rPr>
        <sz val="9"/>
        <color theme="1" tint="0.14999847407452621"/>
        <rFont val="Calibri"/>
        <family val="2"/>
      </rPr>
      <t xml:space="preserve">. </t>
    </r>
  </si>
  <si>
    <t>Table 5.2</t>
  </si>
  <si>
    <t>Other Taxes Net Revenue Collections - Non-General Fund</t>
  </si>
  <si>
    <t>Tire Recycling</t>
  </si>
  <si>
    <t>Egg Excise</t>
  </si>
  <si>
    <t>Peanut Excise</t>
  </si>
  <si>
    <t>Cigarette Tax</t>
  </si>
  <si>
    <t>Aircraft Tax</t>
  </si>
  <si>
    <t>Cattle Tax</t>
  </si>
  <si>
    <t/>
  </si>
  <si>
    <t xml:space="preserve">Notes: </t>
  </si>
  <si>
    <t>1. The Tire Recycling Fee is imposed at a rate of 50 cents per tire. All revenues from the fee are deposited into the Waste Tire Trust Fund.</t>
  </si>
  <si>
    <t>2. The egg excise tax is imposed at the rate of 5 cents per 30-dozen case or 11 cents per 100 pounds of liquid eggs.  All revenue from this tax are deposited into the Virginia Egg Fund.</t>
  </si>
  <si>
    <t>3. Prior to July 1, 2010, the peanut excise tax was imposed at the rate of 15 cents per 100 pounds.  Effective July 1, 2010, the peanut excise tax was imposed at the rate of 30 cents per 100 pounds. Effective July 1, 2021, the peanut excise tax was reduced to the rate of 25 cents per 100 pounds. All revenues are deposited into the Peanut Fund.</t>
  </si>
  <si>
    <t>4. The soybean excise tax is imposed at a rate of one-half of one percent (0.005) of the net market value of assessed bushels.  All revenues are deposited into the Virginia Soybean Fund.</t>
  </si>
  <si>
    <t>5. Effective September 1, 2004, the tax on cigarettes was imposed at a rate of 20 cents per pack of 20 cigarettes. Effective July 1, 2005, the tax on cigarette was imposed at a rate of 30 cents per pack of 20 cigarettes.   Effective July 1, 2020, the tax on cigarettes was imposed at a rate of 60 cents per pack of 20 cigarettes.  All revenue from the Cigarette Tax is deposited into the Virginia Health Care Fund.</t>
  </si>
  <si>
    <t>6. Prior to July 1, 2020, other tobacco products were taxed at 10 percent of the sales price charged by the wholesale dealer.  Beginning July 1, 2020, other tobacco products are taxed at 20 percent of the sales price charged by the wholesale dealer.  Also, effective July 1, 2020 liquid nicotine products are taxed at a rate of $0.066 per milliliter.  Beginning January 1, 2021, the tax is imposed on heated tobacco products at the rate of 2.25 cents per stick.  All revenues from this tax are deposited into the Virginia Health Care Fund.</t>
  </si>
  <si>
    <t>7. The Aircraft Sales and Use Tax is imposed at a rate of 2 percent of the sales price.  All revenues from this tax are deposited in a special fund within the Commonwealth Transportation Fund for the administration of the aviation laws of the Commonwealth.</t>
  </si>
  <si>
    <t>8. The Virginia Department of Taxation began collecting the Cattle Tax Assessment in FY 2019 pursuant to 2018 Senate Bill 374 (Chapter 469, 2018 Acts of Assembly).</t>
  </si>
  <si>
    <t>Table 5.2, continued</t>
  </si>
  <si>
    <t>Corn Tax</t>
  </si>
  <si>
    <t>Cotton Tax</t>
  </si>
  <si>
    <t>Small Grains</t>
  </si>
  <si>
    <t>Forest Products</t>
  </si>
  <si>
    <t>Soft Drink 
Excise Tax</t>
  </si>
  <si>
    <t>Litter Tax</t>
  </si>
  <si>
    <t>Sheep Tax</t>
  </si>
  <si>
    <t>Apple Tax</t>
  </si>
  <si>
    <t>9. The corn assessment is imposed at the rate of 1 cent per bushel.  All revenues from the tax are deposited into the Virginia Corn Fund.</t>
  </si>
  <si>
    <t>10. The cotton assessment is imposed at the rate of 95 cents per bale.  All revenues from the tax are deposited into the Virginia Cotton Fund.</t>
  </si>
  <si>
    <t>11. The small grains assessment is imposed at the rate of one-half of one percent (.005) of the net selling price per bushel.  All revenues from the tax are deposited into the Virginia Small Grains Fund.</t>
  </si>
  <si>
    <t>12. The forest products tax is imposed at different rates based on the type of product.  Revenues from the tax are deposited into the Reforestation of Timberlands State Fund and the Protection and Development of Forest Resources State Fund.</t>
  </si>
  <si>
    <t>13. The soft drink excise tax is imposed on wholesalers or distributors of carbonated soft drinks on a sliding scale based on gross receipts.  The tax revenues is deposited into the Litter Control and Recycling Fund.</t>
  </si>
  <si>
    <t>14. Legislation effective July 1, 2020 changed the litter tax to $20 per establishment operated by a manufacturer, wholesaler or retailer. An additional annual tax of $30 per establishment is to be paid by businesses making or distributing certain product categories (i.e., groceries, soft drinks/carbonated beverages, and beer). A penalty of $100 plus an amount equal to the tax due is imposed on all delinquent taxes.</t>
  </si>
  <si>
    <t>15. The sheep assessment is imposed at the rate of 50 cents per head.  All revenues from the tax are deposited into the Virginia Sheep Industry Promotion and Development Fund.</t>
  </si>
  <si>
    <t>16. The apple excise tax is 2.5 cents per tree run bushel of ungraded apples grown in the Commonwealth. Revenues from the tax are deposited into the Apple Fund.</t>
  </si>
  <si>
    <r>
      <t>Soybean Excise</t>
    </r>
    <r>
      <rPr>
        <b/>
        <sz val="10"/>
        <color theme="0"/>
        <rFont val="Calibri"/>
        <family val="2"/>
      </rPr>
      <t>_</t>
    </r>
  </si>
  <si>
    <r>
      <t>Other Tobacco 
Products</t>
    </r>
    <r>
      <rPr>
        <b/>
        <sz val="10"/>
        <color theme="0"/>
        <rFont val="Calibri"/>
        <family val="2"/>
      </rPr>
      <t>__</t>
    </r>
  </si>
  <si>
    <t>Table 5.7</t>
  </si>
  <si>
    <t xml:space="preserve">Taxable Premium Income Reported for Virginia </t>
  </si>
  <si>
    <t>Number of Returns</t>
  </si>
  <si>
    <t>Taxable 
Premium Income</t>
  </si>
  <si>
    <t>Tax 
Assessed</t>
  </si>
  <si>
    <t>Percent of Total (Tax)</t>
  </si>
  <si>
    <t>Up to $24,999</t>
  </si>
  <si>
    <t>$25,000 to $49,999</t>
  </si>
  <si>
    <t>$50,000 to $99,999</t>
  </si>
  <si>
    <t>$100,000 to $499,999</t>
  </si>
  <si>
    <t>$500,000 to $999,999</t>
  </si>
  <si>
    <t>$1,000,000 to $1,999,999</t>
  </si>
  <si>
    <t>$2,000,000 to $9,999,999</t>
  </si>
  <si>
    <t>$10,000,000 and Over</t>
  </si>
  <si>
    <t>Total before adjustments</t>
  </si>
  <si>
    <t xml:space="preserve">    Departmental adjustments</t>
  </si>
  <si>
    <t xml:space="preserve">Total After Adjustments </t>
  </si>
  <si>
    <t xml:space="preserve">Credit </t>
  </si>
  <si>
    <t xml:space="preserve">Amount </t>
  </si>
  <si>
    <t>Guaranty Fund Assessment Tax Credit</t>
  </si>
  <si>
    <t>Refundable Retaliatory Costs Tax Credit</t>
  </si>
  <si>
    <t>Education Improvement Scholarships Tax Credits</t>
  </si>
  <si>
    <t xml:space="preserve">1. The administration and collection of Insurance Premiums License Tax was transferred from SCC's Bureau of Insurance to the Department of Taxation effective for taxable years beginning on or after January 1, 2013. </t>
  </si>
  <si>
    <t xml:space="preserve">2. For insurance companies, taxable premium income means direct premium income allocated to Virginia after taking into account any adjustments. For surplus lines brokers, taxable premium income is premium income from policies for insureds whose home state is Virginia after taking into account any additional or returned premiums. </t>
  </si>
  <si>
    <t xml:space="preserve">3. Insurance companies are subject to tax on their gross premium income. Depending on the line(s) of insurance from which the premiums were derived, the tax rates for taxable year 2021 were 2.25% and 1.00%. Surplus lines brokers are required to pay the tax on each policy of insurance they produce during the preceding calendar year with an insurer that is not licensed to conduct business in Virginia. Surplus lines brokers are subject to a rate of 2.25%. </t>
  </si>
  <si>
    <t xml:space="preserve">4. Tax assessed shown is before any credits claimed. </t>
  </si>
  <si>
    <t>5. If a company reports negative taxable premium income, its taxable premium income is treated as zero in this table.</t>
  </si>
  <si>
    <t>6. Some columns may not match totals due to rounding.</t>
  </si>
  <si>
    <r>
      <t xml:space="preserve">Insurance Premiums License Tax: </t>
    </r>
    <r>
      <rPr>
        <sz val="10"/>
        <rFont val="Calibri"/>
        <family val="2"/>
      </rPr>
      <t>Number of Returns, Taxable Premium Income, and Tax Liability</t>
    </r>
  </si>
  <si>
    <r>
      <t xml:space="preserve">Insurance Companies </t>
    </r>
    <r>
      <rPr>
        <sz val="11"/>
        <rFont val="Calibri"/>
        <family val="2"/>
      </rPr>
      <t xml:space="preserve">(Form 800) </t>
    </r>
  </si>
  <si>
    <r>
      <t>Surplus Lines Brokers</t>
    </r>
    <r>
      <rPr>
        <sz val="11"/>
        <rFont val="Calibri"/>
        <family val="2"/>
      </rPr>
      <t xml:space="preserve"> (Form 802) </t>
    </r>
  </si>
  <si>
    <t>Table 3.1</t>
  </si>
  <si>
    <t>Tax Credits:  Individual and Corporate Income Tax, Insurance Premium License Tax, and Bank Franchise Tax</t>
  </si>
  <si>
    <t>Code Section(s)</t>
  </si>
  <si>
    <t>Credit</t>
  </si>
  <si>
    <t>Year Enacted</t>
  </si>
  <si>
    <t>Credit Claimed Against</t>
  </si>
  <si>
    <t>§§ 58.1-439.18 et seq.</t>
  </si>
  <si>
    <t>1981 (effective July 1, 1981)</t>
  </si>
  <si>
    <t>§§ 58.1-334 &amp; 58.1-432</t>
  </si>
  <si>
    <t>Conservation Tillage Equipment Tax Credit ⁵</t>
  </si>
  <si>
    <t>1985 (effective 1985)</t>
  </si>
  <si>
    <t>§§ 58.1-337 &amp; 58.1-436</t>
  </si>
  <si>
    <t>Conservation Tillage and Precision Agriculture Equipment Tax Credit</t>
  </si>
  <si>
    <t>1990 (effective 1990)</t>
  </si>
  <si>
    <t>§ 58.1-438.1</t>
  </si>
  <si>
    <t>Tax Credit for Vehicle Emissions Testing Equipment and Clean-Fuel Vehicles and Certain Refueling Property</t>
  </si>
  <si>
    <t>1993 (effective 1993)</t>
  </si>
  <si>
    <t>§ 58.1-439</t>
  </si>
  <si>
    <t>1994 (effective 1995)</t>
  </si>
  <si>
    <t>§ 58.1-439.2</t>
  </si>
  <si>
    <t>Coalfield Employment Enhancement Tax Credit (Refundable) ⁶</t>
  </si>
  <si>
    <t>1995 (effective 1996)</t>
  </si>
  <si>
    <t>§ 58.1-339.2</t>
  </si>
  <si>
    <t>1996 (effective 1997)</t>
  </si>
  <si>
    <t>§§ 58.1-339.3 &amp; 58.1-439.5</t>
  </si>
  <si>
    <t>Agricultural Best Management Practices Tax Credit</t>
  </si>
  <si>
    <t>1996 (effective 1998)</t>
  </si>
  <si>
    <t>§ 38.2-1611.1(B)</t>
  </si>
  <si>
    <t>1997 (effective 1998)</t>
  </si>
  <si>
    <t>§ 58.1-2510</t>
  </si>
  <si>
    <t>1998 (effective 1998)</t>
  </si>
  <si>
    <t>§ 58.1-332.1</t>
  </si>
  <si>
    <t>Foreign Tax Credit</t>
  </si>
  <si>
    <t>§ 58.1-339.4</t>
  </si>
  <si>
    <t>Qualified Equity and Subordinated Debt Investments Tax Credit</t>
  </si>
  <si>
    <t>1998 (effective 1999)</t>
  </si>
  <si>
    <t>§ 58.1-439.10</t>
  </si>
  <si>
    <t>Waste Motor Oil Burning Equipment Tax Credit</t>
  </si>
  <si>
    <t>§ 58.1-439.7</t>
  </si>
  <si>
    <t>Recyclable Materials Processing Equipment Tax Credit</t>
  </si>
  <si>
    <t>§ 58.1-339.6</t>
  </si>
  <si>
    <t>Political Candidates Contribution Tax Credit ⁷</t>
  </si>
  <si>
    <t>1999 (effective 2000)</t>
  </si>
  <si>
    <t>*</t>
  </si>
  <si>
    <t>§ 58.1-339.7</t>
  </si>
  <si>
    <t>Livable Home Tax Credit</t>
  </si>
  <si>
    <t>§ 58.1-512</t>
  </si>
  <si>
    <t>Land Preservation Tax Credit</t>
  </si>
  <si>
    <t>§ 58.1-339.8</t>
  </si>
  <si>
    <t>Low-Income Taxpayer Credit</t>
  </si>
  <si>
    <t>2000 (effective 2000)</t>
  </si>
  <si>
    <t>§§ 58.1-339.10 &amp; 58.1-439.12</t>
  </si>
  <si>
    <t>Riparian Forest Buffer Protection for Waterways Tax Credit</t>
  </si>
  <si>
    <t>§ 58.1-339.11</t>
  </si>
  <si>
    <t>2006 (effective 2006)</t>
  </si>
  <si>
    <t>§ 58.1-439.12:02</t>
  </si>
  <si>
    <t>Biodiesel and Green Diesel Fuels Producers Tax Credit</t>
  </si>
  <si>
    <t>2008 (effective 2008)</t>
  </si>
  <si>
    <t>§ 58.1-439.12:04</t>
  </si>
  <si>
    <t>Tax Credit for Participating Landlords (Community of Opportunity)</t>
  </si>
  <si>
    <t>2010 (effective 2010)</t>
  </si>
  <si>
    <t>§ 58.1-439.12:05</t>
  </si>
  <si>
    <t>Green Job Creation Tax Credit</t>
  </si>
  <si>
    <t>§ 58.1-439.12:03</t>
  </si>
  <si>
    <t>Motion Picture Production Tax Credit (refundable)</t>
  </si>
  <si>
    <t>2010 (effective 2011)</t>
  </si>
  <si>
    <t>§ 58.1-339.12</t>
  </si>
  <si>
    <t>Farm Wineries and Vineyards Tax Credit</t>
  </si>
  <si>
    <t>2011 (effective 2011)</t>
  </si>
  <si>
    <t>§ 58.1-439.12:06</t>
  </si>
  <si>
    <t>International Trade Facility Tax Credit</t>
  </si>
  <si>
    <t>§ 58.1-439.12:08</t>
  </si>
  <si>
    <t>§ 58.1-439.12:09</t>
  </si>
  <si>
    <t>§ 58.1-439.12:10</t>
  </si>
  <si>
    <t>Virginia Port Volume Increase Tax Credit</t>
  </si>
  <si>
    <t>§ 58.1-439.26</t>
  </si>
  <si>
    <t>2012 (effective 2013)</t>
  </si>
  <si>
    <t>§ 58.1-439.12:11</t>
  </si>
  <si>
    <t>Major Research and Development Expenses Tax Credit</t>
  </si>
  <si>
    <t>2016 (effective 2016)</t>
  </si>
  <si>
    <t>§ 58.1-439.12:12</t>
  </si>
  <si>
    <t>Food Donation Tax Credit</t>
  </si>
  <si>
    <t>§ 58.1-439.6:1</t>
  </si>
  <si>
    <t>Worker Training Tax Credit</t>
  </si>
  <si>
    <t>2019 (effective 2019)</t>
  </si>
  <si>
    <t>§ 58.1-390.3(E)</t>
  </si>
  <si>
    <t>Pass-Through Entity Elective Tax Credit</t>
  </si>
  <si>
    <t>2022 (effective 2021)</t>
  </si>
  <si>
    <t>Retroactive Pass-Through Entity Elective Tax Credit</t>
  </si>
  <si>
    <t>§ 58.1-339.13</t>
  </si>
  <si>
    <t>Hardwood Initiative Tax Credit</t>
  </si>
  <si>
    <t>2022 (effective 2022)</t>
  </si>
  <si>
    <t>§ 58.1-339.14</t>
  </si>
  <si>
    <t>Firearm Safety Device Tax Credit</t>
  </si>
  <si>
    <t>2024 (effective 2024)</t>
  </si>
  <si>
    <t>2. If a return was amended or audited during the fiscal year, only the additional credit amount (or reduction) is included.</t>
  </si>
  <si>
    <t>3. The amount shown for the Coalfields Employment Enhancement Tax credit includes the amount refunded to taxpayers, as well as that deposited with the Coalfields Economic Development Authority.</t>
  </si>
  <si>
    <t>4. A refundable tax credit is one which is not limited by the amount of the taxpayer's tax liability.</t>
  </si>
  <si>
    <t xml:space="preserve">5. Sunset in 2021. However, these credits are still being claimed because certain provisions of the credits delay when they may be claimed. </t>
  </si>
  <si>
    <t xml:space="preserve">6. Repealed in 2021. However, these credits are still being claimed because certain provisions of the credits delay when they may be claimed. </t>
  </si>
  <si>
    <t xml:space="preserve">7. Repealed in 2017. However, these credits are still being claimed because certain provisions of the credits delay when they may be claimed. </t>
  </si>
  <si>
    <t xml:space="preserve">8. Repealed in 2013. However, these credits are still being claimed because certain provisions of the credits delay when they may be claimed. </t>
  </si>
  <si>
    <t>Data source: Fiscal Year Credit Report by Policy Development, Virginia Department of Taxation</t>
  </si>
  <si>
    <t>Data source: Report 146.0 Premium License Tax Preference Credit and Report 138.F Insurance Premium License Tax from Office of Technology, Virginia Department of Taxation</t>
  </si>
  <si>
    <t>Table 2.1</t>
  </si>
  <si>
    <t>Corporate Income Tax Revenue</t>
  </si>
  <si>
    <t>1. Revenue represents net tax collections by fiscal year.</t>
  </si>
  <si>
    <t>2. Prior to FY 2017, the Commonwealth Accounting and Reporting System was the data source for Corporate Income Tax revenue. Effective with FY 2017, the data source is the Revenue Status Report from the Cardinal financial system.</t>
  </si>
  <si>
    <t>Table 2.3</t>
  </si>
  <si>
    <t>Pass-Through Entity Tax:  Number of Returns, Taxable Income, and Tax Liability</t>
  </si>
  <si>
    <t>Reported Taxable Income From Virginia Sources</t>
  </si>
  <si>
    <t>Number of  PTET Returns ¹ ²</t>
  </si>
  <si>
    <t>Percent 
of Total</t>
  </si>
  <si>
    <t>Tax 
Assessed ⁴</t>
  </si>
  <si>
    <t>$0 or less</t>
  </si>
  <si>
    <t>$1 to $24,999</t>
  </si>
  <si>
    <t>1. Includes pass-through entities such as S corporations, partnerships and limited liability companies that file Form 502PTET.</t>
  </si>
  <si>
    <t>2. Taxable Year 2022 is the first year after legislation was passed in 2022 that PTEs can choose to make the election in the new Form 502PTET.</t>
  </si>
  <si>
    <t>3. Eligible PTEs are taxed at a rate of 5.75%</t>
  </si>
  <si>
    <t>4. Tax assessed shown is before any credits.</t>
  </si>
  <si>
    <t>Taxable Income³</t>
  </si>
  <si>
    <t>Data source: Reports 138.G from Office of Technology, Virginia Department of Taxation</t>
  </si>
  <si>
    <t>Taxable 
Income³</t>
  </si>
  <si>
    <t>Table 2.2</t>
  </si>
  <si>
    <t>Corporate Income Tax:  Number of Returns, Taxable Income, and Tax Liability</t>
  </si>
  <si>
    <t>Number of  Corporate Returns⁴</t>
  </si>
  <si>
    <t>Tax 
Assessed ¹ ²</t>
  </si>
  <si>
    <t xml:space="preserve">1. The tax rate is 6% of the corporation's Virginia taxable income, except in the case of certain energy suppliers and telecommunication companies that are subject to a Minimum Tax. </t>
  </si>
  <si>
    <t>2. Tax assessed shown is before any credits.</t>
  </si>
  <si>
    <t>3. If a corporation reports a negative taxable income, its taxable income is treated as zero in this table.</t>
  </si>
  <si>
    <t xml:space="preserve">4. Excludes pass-through entities such as S corporations, partnerships and limited liability companies generally file Form 502. Any income flows through to owners of each pass-through entity and they report all taxable income on their tax returns. </t>
  </si>
  <si>
    <t>Data source: Reports 138.D from Office of Technology, Virginia Department of Taxation</t>
  </si>
  <si>
    <t>Table 1.10</t>
  </si>
  <si>
    <t>Voluntary Contributions by Taxable Year</t>
  </si>
  <si>
    <t>Program/ Fund</t>
  </si>
  <si>
    <t xml:space="preserve">Number </t>
  </si>
  <si>
    <t>Virginia College Saving Plan (Virginia 529)</t>
  </si>
  <si>
    <t>Virginia Nongame Wildlife Program</t>
  </si>
  <si>
    <t>Chesapeake Bay Restoration</t>
  </si>
  <si>
    <t>Public Libraries Foundations</t>
  </si>
  <si>
    <t>Virginia Elderly and Disabled Transportation Fund</t>
  </si>
  <si>
    <t>Virginia Housing Program</t>
  </si>
  <si>
    <t>State Forests Fund</t>
  </si>
  <si>
    <t>Virginia Military Family Relief Fund</t>
  </si>
  <si>
    <t>Cancer Centers</t>
  </si>
  <si>
    <t>Spay and Neuter Fund</t>
  </si>
  <si>
    <t>Public School Foundations</t>
  </si>
  <si>
    <t>Virginia Open Space Recreation and Conservation Fund</t>
  </si>
  <si>
    <t>Virginia Democratic Party*</t>
  </si>
  <si>
    <t>Virginia Arts Foundation</t>
  </si>
  <si>
    <t>Virginia Federation of Humane Societies</t>
  </si>
  <si>
    <t>Virginia Family and Children's Trust Fund (FACT)</t>
  </si>
  <si>
    <t>Virginia Republican Party*</t>
  </si>
  <si>
    <t>Breast and Cervical Cancer Prevention Treatment Fund^</t>
  </si>
  <si>
    <t>Community Foundations^</t>
  </si>
  <si>
    <t>Virginia Aquarium and Marine Science Center^</t>
  </si>
  <si>
    <t>Office of the Secretary of Veteran Affairs and Homeland Security^</t>
  </si>
  <si>
    <t>Virginia Foundation of Community College Education^</t>
  </si>
  <si>
    <t>VDA Medicare Part D Counseling Fund^</t>
  </si>
  <si>
    <t>Middle Peninsula Chesapeake Bay Public Access Authority^</t>
  </si>
  <si>
    <t>Virginia Capitol Preservation Foundation^</t>
  </si>
  <si>
    <t>1. Taxpayers may make voluntary contributions to qualifying organizations from their tax refunds or, for some organizations, tax payments.  If the contribution exceeds an expected refund, it increases the amount of the tax payment.</t>
  </si>
  <si>
    <t xml:space="preserve">3. Effective January 1, 2014, the General Assembly enacted legislation that allowed an individual to designate their individual income tax refund, or a portion thereof, to be deposited into one or more Virginia College Savings Plan accounts.  </t>
  </si>
  <si>
    <t xml:space="preserve">* Contributions to political parties are limited to $25 ($50 for each spouse on a joint return), see Va. Code §  58.1-344.3 (B) (3).  </t>
  </si>
  <si>
    <t>Data source: January "checkoffs" report using VA 529 Report and Report 138.E from Office of Technology, Virginia Department of Taxation</t>
  </si>
  <si>
    <t>Table 1.9</t>
  </si>
  <si>
    <t>Refund Match Totals</t>
  </si>
  <si>
    <t>Data source: Reports 138.B and 138.C from Office of Technology, Virginia Department of Taxation</t>
  </si>
  <si>
    <t>Table 1.8</t>
  </si>
  <si>
    <t>Set-Off Debt Transferred to Agencies by Taxable Year</t>
  </si>
  <si>
    <t>Type of Participants</t>
  </si>
  <si>
    <t>Number of Payments</t>
  </si>
  <si>
    <t>State Agencies</t>
  </si>
  <si>
    <t>Circuit Courts</t>
  </si>
  <si>
    <t>District Courts</t>
  </si>
  <si>
    <t>Juvenile and Domestic Courts</t>
  </si>
  <si>
    <t>Combined Courts</t>
  </si>
  <si>
    <t>IRS</t>
  </si>
  <si>
    <t>Towns</t>
  </si>
  <si>
    <t>Social Services</t>
  </si>
  <si>
    <t>US Treasury</t>
  </si>
  <si>
    <t>TOTAL</t>
  </si>
  <si>
    <t>1. The Set-Off Debt program applies an overpayment amount on a taxpayer's return against accounts receivable due to an agency of the Commonwealth.</t>
  </si>
  <si>
    <t>2. Effective beginning with Taxable Year 2017, Virginia entered into an agreement with U.S. Treasury to offset tax payments to collect nontax debts owed to the United States.</t>
  </si>
  <si>
    <t>1. The Refund Match program automatically matches an overpayment on a taxpayer's return to any outstanding tax due to the Department of Taxation, except for fiduciary and estate tax accounts.</t>
  </si>
  <si>
    <t>FY 2015</t>
  </si>
  <si>
    <t>FY 2016</t>
  </si>
  <si>
    <t>FY 2017</t>
  </si>
  <si>
    <t>FY 2018</t>
  </si>
  <si>
    <t>FY 2019</t>
  </si>
  <si>
    <t>FY 2020</t>
  </si>
  <si>
    <t>FY 2021</t>
  </si>
  <si>
    <t>FY 2022</t>
  </si>
  <si>
    <t>FY 2023</t>
  </si>
  <si>
    <t>FY 2024</t>
  </si>
  <si>
    <t>% Chg</t>
  </si>
  <si>
    <t xml:space="preserve"> </t>
  </si>
  <si>
    <t>Ck Shares</t>
  </si>
  <si>
    <t>By the Commonwealth of Virginia²</t>
  </si>
  <si>
    <t>General Fund ³</t>
  </si>
  <si>
    <t>Non-General Fund</t>
  </si>
  <si>
    <t>Total Commonwealth Collections</t>
  </si>
  <si>
    <t>By the Department of Taxation⁴</t>
  </si>
  <si>
    <t>General Fund</t>
  </si>
  <si>
    <t>General Fund (TAX)</t>
  </si>
  <si>
    <t>Non-General Fund (TAX)</t>
  </si>
  <si>
    <t>Total Department Collections</t>
  </si>
  <si>
    <t>By Other Agencies⁵</t>
  </si>
  <si>
    <t>General Fund (Other Agencies)</t>
  </si>
  <si>
    <t>Non-General Fund (Other Agencies)</t>
  </si>
  <si>
    <t>Total from Other Agencies</t>
  </si>
  <si>
    <t>1. Collections are for the Fiscal Year from July 1 through June 30 based on data from the Cardinal financial system Revenue Status Report (RGL008) and the final General Fund report for the fiscal year by Department of Accounts (DOA).</t>
  </si>
  <si>
    <t>2. General Fund  and Non-General Fund revenue for FY 2023 were revised from the prior-year TAX Annual Report to align with the final DOA General Fund report, which includes a transfer of Non-General Fund revenue to the General Fund from the State Corporation Commission and excludes certain other Transfers (e.g., ABC profits).</t>
  </si>
  <si>
    <t>3. General Fund total revenues align to year-end totals reported by the Department of Accounts (DOA) in its final General Fund report for the fiscal year.</t>
  </si>
  <si>
    <t>4. Includes all taxes administered by the Department of Taxation.  The detailed table on the next page notes adjustments to collections, notably for the Bank Franchise Tax.</t>
  </si>
  <si>
    <t>5. Note that collections By Other Agencies is the net difference of total Commonwealth collections minus collections by the Department of Taxation.  Therefore, this calculation of collections By Other Agencies is an estimate affected by adjustments, primarily for Bank Franchise Tax.</t>
  </si>
  <si>
    <t>Department of Taxation General Fund Expenditures</t>
  </si>
  <si>
    <t>Budget Programs</t>
  </si>
  <si>
    <t>Revenue Administrative Services</t>
  </si>
  <si>
    <t>Research Services</t>
  </si>
  <si>
    <t>Administrative and Support Services</t>
  </si>
  <si>
    <t>Cost per $100 of collections</t>
  </si>
  <si>
    <t>Council (SLEAC) and makes expenditures on behalf of SLEAC. These expenditures are not included above.</t>
  </si>
  <si>
    <t xml:space="preserve">2.The primary source for these expenditures is report RGL008 (Statement of Appropriations, Allotments, and Expenditures) from </t>
  </si>
  <si>
    <t>the Cardinal financial system. The expenditures on behalf of SLEAC are provided by the Fiscal Office, Virginia Department of Taxation</t>
  </si>
  <si>
    <t>Net Revenue Collections After Refunds by Tax Type</t>
  </si>
  <si>
    <t>Taxes Administered by the Department of Taxation</t>
  </si>
  <si>
    <t>Revenues</t>
  </si>
  <si>
    <t>General Fund (GF) Revenues</t>
  </si>
  <si>
    <t xml:space="preserve">Corporate Income Tax </t>
  </si>
  <si>
    <t>Individual Income</t>
  </si>
  <si>
    <t xml:space="preserve">Estate Tax </t>
  </si>
  <si>
    <t>Recordation and deeds of conveyance</t>
  </si>
  <si>
    <t>Suits, wills and administration</t>
  </si>
  <si>
    <t>State sales, use, and vending (GF part)</t>
  </si>
  <si>
    <t>Watercraft sales and use</t>
  </si>
  <si>
    <t>Rolling Stock Tax²</t>
  </si>
  <si>
    <t>Insurance Premiums License Tax</t>
  </si>
  <si>
    <t>Total Department GF Revenues</t>
  </si>
  <si>
    <t>Non-General Fund (Non-GF) Revenues</t>
  </si>
  <si>
    <t>Aircraft sales and use</t>
  </si>
  <si>
    <t>Other Tobacco Products</t>
  </si>
  <si>
    <t>Egg excise</t>
  </si>
  <si>
    <t>Forest products</t>
  </si>
  <si>
    <t>Peanut excise</t>
  </si>
  <si>
    <t>Soybeans</t>
  </si>
  <si>
    <t>State Sales &amp; Use Tax (transportation funds)³ ⁴</t>
  </si>
  <si>
    <t>Tire tax</t>
  </si>
  <si>
    <t>Corn excise</t>
  </si>
  <si>
    <t>Small grains tax</t>
  </si>
  <si>
    <t>Sheep</t>
  </si>
  <si>
    <t>Litter tax</t>
  </si>
  <si>
    <t>Soft drink excise</t>
  </si>
  <si>
    <t>Cotton</t>
  </si>
  <si>
    <t>Apple</t>
  </si>
  <si>
    <t>Cattle Tax⁵</t>
  </si>
  <si>
    <t>Total Department Non-GF Revenues</t>
  </si>
  <si>
    <t>Aggregate (All Funds)</t>
  </si>
  <si>
    <t>1. Bank Franchise revenue is the total as reported in Table 5.3; it is not taken from the Revenue Status Report in the Cardinal financial system.</t>
  </si>
  <si>
    <t>2. Rolling Stock Tax includes Railroad and Car line company taxes.</t>
  </si>
  <si>
    <t>3. As reported in these tables, revenues do not include the local sales tax or interest and penalties collected.</t>
  </si>
  <si>
    <t>4. Starting in FY 2021, state transportation SUT revenues have been consolidated in the Commonwealth Transportation Fund per legislation.</t>
  </si>
  <si>
    <t>The Transportation SUT revenues are as compiled in Table 4.1</t>
  </si>
  <si>
    <t>5. The Virginia Department of Taxation began collecting the Cattle Tax Assessment in FY 2019 pursuant to 2018 Senate Bill 374 (Chapter 469, 2018 Acts of Assembly).</t>
  </si>
  <si>
    <t>6. Figures may not sum to totals because of rounding.</t>
  </si>
  <si>
    <t>Bank Franchise (less credits)¹</t>
  </si>
  <si>
    <t>Other</t>
  </si>
  <si>
    <t>Sales Tax total  GF + Non-GF</t>
  </si>
  <si>
    <t>Ck shares</t>
  </si>
  <si>
    <r>
      <t>#</t>
    </r>
    <r>
      <rPr>
        <sz val="9"/>
        <color theme="1" tint="0.14999847407452621"/>
        <rFont val="Calibri"/>
        <family val="2"/>
      </rPr>
      <t>The Department of Taxation is custodian of the funds appropriated to the State Land Evaluation Advisory</t>
    </r>
  </si>
  <si>
    <r>
      <t>Tax Value Assistance to Localities</t>
    </r>
    <r>
      <rPr>
        <vertAlign val="superscript"/>
        <sz val="10"/>
        <color indexed="8"/>
        <rFont val="Calibri"/>
        <family val="2"/>
      </rPr>
      <t>#</t>
    </r>
  </si>
  <si>
    <r>
      <t>Net Revenue Collections</t>
    </r>
    <r>
      <rPr>
        <sz val="12"/>
        <rFont val="Calibri"/>
        <family val="2"/>
      </rPr>
      <t>¹</t>
    </r>
  </si>
  <si>
    <t>RevExp</t>
  </si>
  <si>
    <t>ByAcct</t>
  </si>
  <si>
    <t>Fiscal Year 2025</t>
  </si>
  <si>
    <t>FY 2025</t>
  </si>
  <si>
    <t>Expenditures on behalf of SLEAC were $243,192 in FY 2024 and $288,977 in FY 2025</t>
  </si>
  <si>
    <t xml:space="preserve">Data source: Net Revenue Collections are from Revenue Status Report RGL008 from Cardinal financial reporting system, Commonwealth of Virginia; </t>
  </si>
  <si>
    <t xml:space="preserve">Data source: Tax Department GF expenditures are from Revenue Status Report RGL006 from Cardinal financial reporting system, Commonwealth of Virginia; </t>
  </si>
  <si>
    <t>Data source: SLEAC expenditures excluded from Tax expenditures are provided by request from Revenue Accounting, Department of Taxation</t>
  </si>
  <si>
    <t>Taxable Year 2023</t>
  </si>
  <si>
    <t>Virginia Adjusted Gross Income by Locality/Income Level, Taxable Year 2023</t>
  </si>
  <si>
    <t>Exemptions, Standard and Itemized Deductions, and Number of Returns by Filing Status/Locality, Taxable Year 2023</t>
  </si>
  <si>
    <t>Total Net Taxable Income, Amount Taxed at Each Tax Rate, Total Income Tax Liability by Locality, Taxable Year 2023</t>
  </si>
  <si>
    <t>Local Sales Tax Distribution - Fiscal Year 2025</t>
  </si>
  <si>
    <t>Communications Sales Tax Distributions, Fiscal Year 2025</t>
  </si>
  <si>
    <t>51300</t>
  </si>
  <si>
    <t>51339</t>
  </si>
  <si>
    <t>51386</t>
  </si>
  <si>
    <t>51425</t>
  </si>
  <si>
    <t>51467</t>
  </si>
  <si>
    <t>51301</t>
  </si>
  <si>
    <t>51340</t>
  </si>
  <si>
    <t>51387</t>
  </si>
  <si>
    <t>51426</t>
  </si>
  <si>
    <t>51470</t>
  </si>
  <si>
    <t>51302</t>
  </si>
  <si>
    <t>51493</t>
  </si>
  <si>
    <t>51388</t>
  </si>
  <si>
    <t>51427</t>
  </si>
  <si>
    <t>51471</t>
  </si>
  <si>
    <t>51303</t>
  </si>
  <si>
    <t>51342</t>
  </si>
  <si>
    <t>51389</t>
  </si>
  <si>
    <t>51429</t>
  </si>
  <si>
    <t>51472</t>
  </si>
  <si>
    <t>51304</t>
  </si>
  <si>
    <t>51344</t>
  </si>
  <si>
    <t>51390</t>
  </si>
  <si>
    <t>51430</t>
  </si>
  <si>
    <t>51473</t>
  </si>
  <si>
    <t>51305</t>
  </si>
  <si>
    <t>51345</t>
  </si>
  <si>
    <t>51391</t>
  </si>
  <si>
    <t>51431</t>
  </si>
  <si>
    <t>51474</t>
  </si>
  <si>
    <t>51306</t>
  </si>
  <si>
    <t>51347</t>
  </si>
  <si>
    <t>51392</t>
  </si>
  <si>
    <t>51432</t>
  </si>
  <si>
    <t>51476</t>
  </si>
  <si>
    <t>51307</t>
  </si>
  <si>
    <t>51349</t>
  </si>
  <si>
    <t>51393</t>
  </si>
  <si>
    <t>51433</t>
  </si>
  <si>
    <t>51477</t>
  </si>
  <si>
    <t>51494</t>
  </si>
  <si>
    <t>51350</t>
  </si>
  <si>
    <t>51394</t>
  </si>
  <si>
    <t>51434</t>
  </si>
  <si>
    <t>51478</t>
  </si>
  <si>
    <t>51309</t>
  </si>
  <si>
    <t>51351</t>
  </si>
  <si>
    <t>51396</t>
  </si>
  <si>
    <t>51435</t>
  </si>
  <si>
    <t>51479</t>
  </si>
  <si>
    <t>51310</t>
  </si>
  <si>
    <t>51352</t>
  </si>
  <si>
    <t>51397</t>
  </si>
  <si>
    <t>51436</t>
  </si>
  <si>
    <t>51480</t>
  </si>
  <si>
    <t>51311</t>
  </si>
  <si>
    <t>51354</t>
  </si>
  <si>
    <t>51398</t>
  </si>
  <si>
    <t>51437</t>
  </si>
  <si>
    <t>51481</t>
  </si>
  <si>
    <t>51312</t>
  </si>
  <si>
    <t>51355</t>
  </si>
  <si>
    <t>51399</t>
  </si>
  <si>
    <t>51438</t>
  </si>
  <si>
    <t>51482</t>
  </si>
  <si>
    <t>51313</t>
  </si>
  <si>
    <t>51357</t>
  </si>
  <si>
    <t>51400</t>
  </si>
  <si>
    <t>51439</t>
  </si>
  <si>
    <t>51483</t>
  </si>
  <si>
    <t>51314</t>
  </si>
  <si>
    <t>51359</t>
  </si>
  <si>
    <t>51401</t>
  </si>
  <si>
    <t>51440</t>
  </si>
  <si>
    <t>51484</t>
  </si>
  <si>
    <t>51315</t>
  </si>
  <si>
    <t>51362</t>
  </si>
  <si>
    <t>51402</t>
  </si>
  <si>
    <t>51441</t>
  </si>
  <si>
    <t>51485</t>
  </si>
  <si>
    <t>51316</t>
  </si>
  <si>
    <t>51363</t>
  </si>
  <si>
    <t>51403</t>
  </si>
  <si>
    <t>51443</t>
  </si>
  <si>
    <t>51486</t>
  </si>
  <si>
    <t>51317</t>
  </si>
  <si>
    <t>51365</t>
  </si>
  <si>
    <t>51404</t>
  </si>
  <si>
    <t>51444</t>
  </si>
  <si>
    <t>51487</t>
  </si>
  <si>
    <t>51318</t>
  </si>
  <si>
    <t>51366</t>
  </si>
  <si>
    <t>51405</t>
  </si>
  <si>
    <t>51445</t>
  </si>
  <si>
    <t>51488</t>
  </si>
  <si>
    <t>51319</t>
  </si>
  <si>
    <t>51367</t>
  </si>
  <si>
    <t>51407</t>
  </si>
  <si>
    <t>51446</t>
  </si>
  <si>
    <t>51321</t>
  </si>
  <si>
    <t>51368</t>
  </si>
  <si>
    <t>51408</t>
  </si>
  <si>
    <t>51447</t>
  </si>
  <si>
    <t>51323</t>
  </si>
  <si>
    <t>51369</t>
  </si>
  <si>
    <t>51409</t>
  </si>
  <si>
    <t>51448</t>
  </si>
  <si>
    <t>51322</t>
  </si>
  <si>
    <t>51370</t>
  </si>
  <si>
    <t>51410</t>
  </si>
  <si>
    <t>51449</t>
  </si>
  <si>
    <t>51324</t>
  </si>
  <si>
    <t>51371</t>
  </si>
  <si>
    <t>51411</t>
  </si>
  <si>
    <t>51452</t>
  </si>
  <si>
    <t>51325</t>
  </si>
  <si>
    <t>51372</t>
  </si>
  <si>
    <t>51412</t>
  </si>
  <si>
    <t>51453</t>
  </si>
  <si>
    <t>51326</t>
  </si>
  <si>
    <t>51374</t>
  </si>
  <si>
    <t>51413</t>
  </si>
  <si>
    <t>51454</t>
  </si>
  <si>
    <t>51327</t>
  </si>
  <si>
    <t>51375</t>
  </si>
  <si>
    <t>51414</t>
  </si>
  <si>
    <t>51492</t>
  </si>
  <si>
    <t>51329</t>
  </si>
  <si>
    <t>51376</t>
  </si>
  <si>
    <t>51416</t>
  </si>
  <si>
    <t>51455</t>
  </si>
  <si>
    <t>51330</t>
  </si>
  <si>
    <t>51377</t>
  </si>
  <si>
    <t>51417</t>
  </si>
  <si>
    <t>51456</t>
  </si>
  <si>
    <t>51331</t>
  </si>
  <si>
    <t>51378</t>
  </si>
  <si>
    <t>51419</t>
  </si>
  <si>
    <t>51457</t>
  </si>
  <si>
    <t>51332</t>
  </si>
  <si>
    <t>51379</t>
  </si>
  <si>
    <t>51420</t>
  </si>
  <si>
    <t>51458</t>
  </si>
  <si>
    <t>51334</t>
  </si>
  <si>
    <t>51381</t>
  </si>
  <si>
    <t>51421</t>
  </si>
  <si>
    <t>51460</t>
  </si>
  <si>
    <t>51335</t>
  </si>
  <si>
    <t>51382</t>
  </si>
  <si>
    <t>51422</t>
  </si>
  <si>
    <t>51461</t>
  </si>
  <si>
    <t>51336</t>
  </si>
  <si>
    <t>51383</t>
  </si>
  <si>
    <t>51423</t>
  </si>
  <si>
    <t>51464</t>
  </si>
  <si>
    <t>51338</t>
  </si>
  <si>
    <t>51384</t>
  </si>
  <si>
    <t>51424</t>
  </si>
  <si>
    <t>51465</t>
  </si>
  <si>
    <t>3. The distributions for FY 2025 were based on collections for May 2024 through April 2025.</t>
  </si>
  <si>
    <t xml:space="preserve">2. Each Fiscal Year, the State's blended Retail Sales and Use Tax rate is used to calculate the tax expenditure resulting from purchases made by Non-profit organizations. From Fiscal Year 2007 to Fiscal year 2013, the blended Retail Sales and Use Tax rate used to calculate the non-profit tax exemption was 5%. From Fiscal Year 2014 to Fiscal year 2019, the blended Retail Sales and Use Tax rate used to calculate the non-profit tax exemption was 5.67%. The blended rate was: 5.69% in FY 2020; 5.737% in FY 2021; 5.783% in FY 2022; 5.787% in FY 2023; 5.781% in FY 2024; 5.784% in FY 2025; </t>
  </si>
  <si>
    <t>Fiscal Year 
2023</t>
  </si>
  <si>
    <t>Fiscal Year 
2024</t>
  </si>
  <si>
    <t>Fiscal Year 
2025</t>
  </si>
  <si>
    <t>Bank, Corporate, Individual</t>
  </si>
  <si>
    <t>Corporate, Individual</t>
  </si>
  <si>
    <t>Bank, Corporate</t>
  </si>
  <si>
    <t>Bank, Corporate, Individual, Insurance</t>
  </si>
  <si>
    <t>Insurance</t>
  </si>
  <si>
    <t>Corporate</t>
  </si>
  <si>
    <t>For Returns Processed During Fiscal Year 2025, Sorted by Year Enacted</t>
  </si>
  <si>
    <t xml:space="preserve">1. Number of returns and amounts are for returns processed during FY 2025, regardless of taxable year.  For most credits, returns for multiple taxable years were processed during the fiscal year.  The total for each return may include carryovers from prior years.   </t>
  </si>
  <si>
    <t>*  Number of income tax returns for this credit is not available for release because fewer than four returns claiming the credit were processed in FY 2025.</t>
  </si>
  <si>
    <t>Table 6.5</t>
  </si>
  <si>
    <t>Personal-Use Vehicles</t>
  </si>
  <si>
    <t>Tax Per Vehicle</t>
  </si>
  <si>
    <t>Effective Tax Rate</t>
  </si>
  <si>
    <t>Population</t>
  </si>
  <si>
    <t>Assessed 
Value</t>
  </si>
  <si>
    <t>Reimbursed Tax (PPTRA)</t>
  </si>
  <si>
    <t>Net Tax 
After PPTRA</t>
  </si>
  <si>
    <t>Tax Before PPTRA</t>
  </si>
  <si>
    <t>Tax After PPTRA</t>
  </si>
  <si>
    <t>Per $100 Value, Before PPTRA</t>
  </si>
  <si>
    <t>Per $100 Value, After PPTRA</t>
  </si>
  <si>
    <t>Vehicles per capita⁵</t>
  </si>
  <si>
    <t>Tax 
Before PPTRA⁶</t>
  </si>
  <si>
    <t>Personal-Use Vehicles:  Personal Property Tax by Locality - Tax Year 2024</t>
  </si>
  <si>
    <t>5.  Vehicles per Capita is calculated based on U.S. Census population data compiled by the Weldon Cooper Center at the University of Virginia.</t>
  </si>
  <si>
    <t>6.  PPTRA is tax relief on personal-use vehicles provided by the Personal Property Tax Relief Act (PPTRA) passed by the General Assembly in 1998 and amended in 2005.</t>
  </si>
  <si>
    <t xml:space="preserve">¹ </t>
  </si>
  <si>
    <t xml:space="preserve">⁴ </t>
  </si>
  <si>
    <t>Vehicle 
Count</t>
  </si>
  <si>
    <t>§ 58.1-433.1</t>
  </si>
  <si>
    <t>Virginia Coal Employment and Production Incentive Tax Credit</t>
  </si>
  <si>
    <t>Long-term Care Insurance Tax Credit ⁸</t>
  </si>
  <si>
    <t>1999 (effective 2001)</t>
  </si>
  <si>
    <t>Based on returns filed for Taxable Year 2023*</t>
  </si>
  <si>
    <t>* This table is not comparable to equivalent tables in annual reports prior to FY 2006.  Returns are selected for inclusion in this table if the tax reporting period on the return began in 2023.  Reports prior to FY 2006 selected returns based on the state fiscal year in which they were received.</t>
  </si>
  <si>
    <t>Number of pass-through entity returns in Taxable Year 2023 = 287,300</t>
  </si>
  <si>
    <t>Based on returns filed for Taxable Year 2023</t>
  </si>
  <si>
    <t>Insurance Tax Credits Claimed on Returns Processed during FY 2025</t>
  </si>
  <si>
    <t xml:space="preserve">7. The amount of insurance tax credits reported is for returns processed during FY 2025, regardless of taxable year. This table only lists insurance tax credits claimed that were greater than zero.   </t>
  </si>
  <si>
    <t>Based on tax returns filed for Taxable Year 2023</t>
  </si>
  <si>
    <t>Bank Franchise Tax Assessment Tax Statement - Fiscal Year 2025</t>
  </si>
  <si>
    <t>Research and Development Expenses Tax Credit</t>
  </si>
  <si>
    <t>Tangible Personal Property, Machinery &amp; Tools, Merchants' Capital, and Public Service Corporations:  Assessed Values &amp; Levies by Locality - Tax Year 2024</t>
  </si>
  <si>
    <t>Real Estate Fair Market Value (FMV), Fair Market Value (Taxable), and Local Levy by Locality - Tax Year 2024</t>
  </si>
  <si>
    <t>2024</t>
  </si>
  <si>
    <t>Comparison of Tax Exempt Value to Total Fair Market Value (FMV) of Real Estate by Locality - Tax Year 2024</t>
  </si>
  <si>
    <t xml:space="preserve">¹ ³ </t>
  </si>
  <si>
    <t xml:space="preserve">² ³ </t>
  </si>
  <si>
    <t xml:space="preserve">³ </t>
  </si>
  <si>
    <t xml:space="preserve">¹ ² ³ </t>
  </si>
  <si>
    <t xml:space="preserve">² ⁴ </t>
  </si>
  <si>
    <t>Isle of Wight</t>
  </si>
  <si>
    <t>King and Queen</t>
  </si>
  <si>
    <t>1.  The locality's data likely represents Personal Use and Business Use Vehicles combined.  The localities that confirm they are unable to break out Personal Use only include: Appomattox, Bland, Craig, Greene, Henry, and Wythe counties, and Lexington and Radford cities. Botetourt County was able to break out Personal Use vehicles, but not other Personal Use metrics.</t>
  </si>
  <si>
    <t>$       -</t>
  </si>
  <si>
    <t xml:space="preserve">³ ⁴ </t>
  </si>
  <si>
    <t>Federation of Virginia Food Banks^</t>
  </si>
  <si>
    <t>Children of America Finding Hope**</t>
  </si>
  <si>
    <t>Celebrating Special Children, Inc.#</t>
  </si>
  <si>
    <t>Community Policing Fund#</t>
  </si>
  <si>
    <t>Historic Resources Fund#</t>
  </si>
  <si>
    <t>Home Energy Assistance#</t>
  </si>
  <si>
    <t>Martin Luther King, Jr. Living History Public Policy Center Fund#</t>
  </si>
  <si>
    <t>Tuition Assistance Grant Fund#</t>
  </si>
  <si>
    <t>Uninsured Medical Catastrophe Fund#</t>
  </si>
  <si>
    <t>United States Olympic Committee#</t>
  </si>
  <si>
    <t>War Memorial &amp; National D-Day Memorial#</t>
  </si>
  <si>
    <t>2. Contributions are reported by taxable year for returns that are processed during the subsequent calendar year.  For example, contributions reported for Taxable Year 2024 are from all returns processed in calendar year 2025.  The majority of returns processed in calendar year 2025 are for TY 2024; however, some returns from previous taxable years maybe included.</t>
  </si>
  <si>
    <r>
      <t xml:space="preserve"># </t>
    </r>
    <r>
      <rPr>
        <sz val="9"/>
        <color theme="1" tint="0.14999847407452621"/>
        <rFont val="Calibri"/>
        <family val="2"/>
      </rPr>
      <t xml:space="preserve">These Programs or Funds were removed from the 2016 Virginia Individual Income Tax return with the exception of 'Home Energy Assistance,' which was removed from the 2017 tax return. Any amount reported for Tax years 2022, 2023, and 2024 represent contributions made on returns filed for prior years processed in 2023, 2024, and 2025 respectively. </t>
    </r>
  </si>
  <si>
    <t xml:space="preserve">^ These Programs or Funds were removed from the 2019 Virginia Individual Income Tax return. Any amount reported for Tax years 2022, 2023, and 2024 represent contributions made on returns filed for prior years processed in 2023, 2024, and 2025 respectively. </t>
  </si>
  <si>
    <t>Notes</t>
  </si>
  <si>
    <t>Barge and Rail Usage Tax Credit ⁹</t>
  </si>
  <si>
    <t>9. The negative amount for the Barge and Rail Usage Tax Credit reflects an adjustment to a previously claimed credit from an earlier tax year.</t>
  </si>
  <si>
    <t>Kristin Collins, Tax Commissioner</t>
  </si>
  <si>
    <r>
      <t xml:space="preserve">* This table </t>
    </r>
    <r>
      <rPr>
        <u/>
        <sz val="9"/>
        <color theme="1" tint="0.14999847407452621"/>
        <rFont val="Calibri"/>
        <family val="2"/>
      </rPr>
      <t>includes</t>
    </r>
    <r>
      <rPr>
        <sz val="9"/>
        <color theme="1" tint="0.14999847407452621"/>
        <rFont val="Calibri"/>
        <family val="2"/>
      </rPr>
      <t xml:space="preserve"> sales tax on Remote Sellers (i.e.,  Tax Type 12);  Previously, the table included only sales tax on traditional sellers with a physical location in Virginia, which represented nearly the entirety of sales tax collections when the table originated in the years prior to the General Assembly's expansion of sales tax to remote sellers effective in FY 2020.</t>
    </r>
  </si>
  <si>
    <t>The Honorable Abigail Spanberger, Governor</t>
  </si>
  <si>
    <t>The Honorable Mark D. Sickles, Secretary of Finance</t>
  </si>
  <si>
    <t>The data in this table are as reported by local Commissioners of the Revenue and Assessors to the Virginia Department of Taxation, Property Tax Unit.  The accuracy of the data can be impacted by various data recording and reporting limitations by locality.</t>
  </si>
  <si>
    <t>2.  The locality has missing or incomplete data for Vehicle Count;  Charles City has apparently incomplete data, which is evident in the calculation of Vehicles per Capita.</t>
  </si>
  <si>
    <t>3.  The locality has missing data for Assessed Value, and/or Tax. Smyth County's Tax Before PPTRA appears to be incomplete given that the calculation of Net Tax After PPTRA is negative.</t>
  </si>
  <si>
    <t>4.  The locality appears to have reported incomplete data for Assessed Value or Tax, which is evident in the calculation of Tax Per Vehicle and/or Effective Tax Rate.</t>
  </si>
  <si>
    <t>4. The taxable sales figures presented are based on Virginia sales tax revenue reported on the dealers' returns. However, the period covered by the report reflects all deposits received during the timeframe noted on the report, regardless of the taxpayer's filing period. Late filing of returns, and audits may result in year-over-year increases in taxable sales that do not reflect growth during the period covered by the table. Previously published figures for CY 2020 to 2023 have been updated to exclude the full amounts of amended returns from prior years, and this adjustment has been applied consistently across all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</si>
</sst>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0.0%"/>
    <numFmt numFmtId="166" formatCode="&quot;$&quot;#,##0.00"/>
    <numFmt numFmtId="167" formatCode="_(* #,##0_);_(* \(#,##0\);_(* &quot;-&quot;??_);_(@_)"/>
    <numFmt numFmtId="168" formatCode="0.00\ %"/>
    <numFmt numFmtId="169" formatCode="[$$-409]#,##0"/>
    <numFmt numFmtId="170" formatCode="0.000%"/>
    <numFmt numFmtId="171" formatCode="#,##0.0_);\(#,##0.0\)"/>
    <numFmt numFmtId="172" formatCode="[$$-409]#,##0.00"/>
    <numFmt numFmtId="173" formatCode="_(* #,##0.00_);_(* \(#,##0.00\);_(* &quot;-&quot;_);_(@_)"/>
  </numFmts>
  <fonts count="81">
    <font>
      <sz val="10"/>
      <color theme="1"/>
      <name val="Calibri"/>
      <family val="2"/>
    </font>
    <font>
      <sz val="10"/>
      <color theme="1"/>
      <name val="Calibri"/>
      <family val="2"/>
    </font>
    <font>
      <sz val="12"/>
      <name val="Calibri"/>
      <family val="2"/>
    </font>
    <font>
      <b/>
      <sz val="12"/>
      <name val="Calibri"/>
      <family val="2"/>
    </font>
    <font>
      <sz val="10"/>
      <name val="Calibri"/>
      <family val="2"/>
    </font>
    <font>
      <sz val="18"/>
      <name val="Calibri"/>
      <family val="2"/>
    </font>
    <font>
      <sz val="12"/>
      <color theme="1"/>
      <name val="Calibri"/>
      <family val="2"/>
    </font>
    <font>
      <sz val="9"/>
      <color theme="1"/>
      <name val="Calibri"/>
      <family val="2"/>
    </font>
    <font>
      <b/>
      <sz val="12"/>
      <color theme="1"/>
      <name val="Calibri"/>
      <family val="2"/>
    </font>
    <font>
      <sz val="12"/>
      <name val="Arial"/>
      <family val="2"/>
    </font>
    <font>
      <b/>
      <sz val="10"/>
      <name val="Calibri"/>
      <family val="2"/>
    </font>
    <font>
      <b/>
      <sz val="10"/>
      <color indexed="8"/>
      <name val="Calibri"/>
      <family val="2"/>
    </font>
    <font>
      <sz val="10"/>
      <color theme="0" tint="-0.34998626667073579"/>
      <name val="Calibri"/>
      <family val="2"/>
    </font>
    <font>
      <b/>
      <sz val="10"/>
      <color theme="1"/>
      <name val="Calibri"/>
      <family val="2"/>
    </font>
    <font>
      <sz val="10"/>
      <color indexed="8"/>
      <name val="Calibri"/>
      <family val="2"/>
    </font>
    <font>
      <u/>
      <sz val="10"/>
      <color theme="10"/>
      <name val="Calibri"/>
      <family val="2"/>
    </font>
    <font>
      <sz val="10"/>
      <name val="Arial"/>
      <family val="2"/>
    </font>
    <font>
      <sz val="11"/>
      <color theme="1"/>
      <name val="Calibri"/>
      <family val="2"/>
    </font>
    <font>
      <b/>
      <sz val="11"/>
      <color theme="1"/>
      <name val="Calibri"/>
      <family val="2"/>
    </font>
    <font>
      <b/>
      <u/>
      <sz val="10"/>
      <name val="Calibri"/>
      <family val="2"/>
    </font>
    <font>
      <b/>
      <sz val="36"/>
      <color rgb="FF008DCE"/>
      <name val="Calibri"/>
      <family val="2"/>
    </font>
    <font>
      <sz val="24"/>
      <name val="Calibri"/>
      <family val="2"/>
    </font>
    <font>
      <sz val="10"/>
      <name val="Arial "/>
    </font>
    <font>
      <sz val="11"/>
      <name val="Calibri"/>
      <family val="2"/>
    </font>
    <font>
      <b/>
      <sz val="14"/>
      <color theme="1"/>
      <name val="Calibri"/>
      <family val="2"/>
    </font>
    <font>
      <sz val="14"/>
      <color theme="1"/>
      <name val="Calibri"/>
      <family val="2"/>
    </font>
    <font>
      <sz val="14"/>
      <name val="Calibri"/>
      <family val="2"/>
    </font>
    <font>
      <sz val="14"/>
      <color indexed="8"/>
      <name val="Calibri"/>
      <family val="2"/>
    </font>
    <font>
      <u/>
      <sz val="14"/>
      <color theme="10"/>
      <name val="Calibri"/>
      <family val="2"/>
    </font>
    <font>
      <b/>
      <u/>
      <sz val="14"/>
      <color theme="1"/>
      <name val="Calibri"/>
      <family val="2"/>
    </font>
    <font>
      <sz val="8"/>
      <color rgb="FFC00000"/>
      <name val="Calibri"/>
      <family val="2"/>
    </font>
    <font>
      <b/>
      <sz val="10"/>
      <color theme="0" tint="-0.499984740745262"/>
      <name val="Calibri"/>
      <family val="2"/>
    </font>
    <font>
      <sz val="8"/>
      <name val="Calibri"/>
      <family val="2"/>
    </font>
    <font>
      <sz val="9"/>
      <name val="Calibri"/>
      <family val="2"/>
    </font>
    <font>
      <sz val="9"/>
      <color rgb="FFFF0000"/>
      <name val="Calibri"/>
      <family val="2"/>
    </font>
    <font>
      <u/>
      <sz val="12"/>
      <color theme="10"/>
      <name val="Calibri"/>
      <family val="2"/>
    </font>
    <font>
      <sz val="9"/>
      <color theme="1" tint="0.14999847407452621"/>
      <name val="Calibri"/>
      <family val="2"/>
    </font>
    <font>
      <u/>
      <sz val="9"/>
      <color theme="1" tint="0.14999847407452621"/>
      <name val="Calibri"/>
      <family val="2"/>
    </font>
    <font>
      <u/>
      <sz val="9"/>
      <name val="Calibri"/>
      <family val="2"/>
    </font>
    <font>
      <u/>
      <sz val="10"/>
      <name val="Calibri"/>
      <family val="2"/>
    </font>
    <font>
      <sz val="9"/>
      <color rgb="FF0070C0"/>
      <name val="Calibri"/>
      <family val="2"/>
    </font>
    <font>
      <b/>
      <sz val="12"/>
      <color theme="0" tint="-0.249977111117893"/>
      <name val="Calibri"/>
      <family val="2"/>
    </font>
    <font>
      <b/>
      <sz val="10"/>
      <color theme="0" tint="-0.249977111117893"/>
      <name val="Calibri"/>
      <family val="2"/>
    </font>
    <font>
      <sz val="10"/>
      <color theme="0" tint="-0.249977111117893"/>
      <name val="Calibri"/>
      <family val="2"/>
    </font>
    <font>
      <sz val="9"/>
      <color theme="0" tint="-0.249977111117893"/>
      <name val="Calibri"/>
      <family val="2"/>
    </font>
    <font>
      <sz val="11"/>
      <color theme="0" tint="-0.249977111117893"/>
      <name val="Calibri"/>
      <family val="2"/>
    </font>
    <font>
      <sz val="10"/>
      <color theme="0"/>
      <name val="Calibri"/>
      <family val="2"/>
    </font>
    <font>
      <i/>
      <sz val="9"/>
      <color theme="1" tint="0.14999847407452621"/>
      <name val="Calibri"/>
      <family val="2"/>
    </font>
    <font>
      <sz val="10"/>
      <color theme="0" tint="-0.499984740745262"/>
      <name val="Calibri"/>
      <family val="2"/>
    </font>
    <font>
      <b/>
      <sz val="10"/>
      <color theme="0"/>
      <name val="Calibri"/>
      <family val="2"/>
    </font>
    <font>
      <sz val="10"/>
      <color rgb="FFC00000"/>
      <name val="Calibri"/>
      <family val="2"/>
    </font>
    <font>
      <i/>
      <sz val="10"/>
      <color theme="0" tint="-0.249977111117893"/>
      <name val="Calibri"/>
      <family val="2"/>
    </font>
    <font>
      <i/>
      <sz val="10"/>
      <color rgb="FFC00000"/>
      <name val="Calibri"/>
      <family val="2"/>
    </font>
    <font>
      <b/>
      <sz val="10"/>
      <color rgb="FFC00000"/>
      <name val="Calibri"/>
      <family val="2"/>
    </font>
    <font>
      <b/>
      <sz val="9"/>
      <color theme="1" tint="0.14999847407452621"/>
      <name val="Calibri"/>
      <family val="2"/>
    </font>
    <font>
      <b/>
      <sz val="11"/>
      <color indexed="8"/>
      <name val="Calibri"/>
      <family val="2"/>
    </font>
    <font>
      <b/>
      <sz val="11"/>
      <name val="Calibri"/>
      <family val="2"/>
    </font>
    <font>
      <sz val="10"/>
      <color rgb="FFFF0000"/>
      <name val="Calibri"/>
      <family val="2"/>
    </font>
    <font>
      <b/>
      <sz val="10"/>
      <color theme="1" tint="0.14999847407452621"/>
      <name val="Calibri"/>
      <family val="2"/>
    </font>
    <font>
      <sz val="9"/>
      <color theme="1" tint="0.249977111117893"/>
      <name val="Calibri"/>
      <family val="2"/>
    </font>
    <font>
      <b/>
      <sz val="12"/>
      <name val="Arial"/>
      <family val="2"/>
    </font>
    <font>
      <sz val="10"/>
      <color theme="1" tint="0.14999847407452621"/>
      <name val="Calibri"/>
      <family val="2"/>
    </font>
    <font>
      <vertAlign val="superscript"/>
      <sz val="9"/>
      <color theme="1" tint="0.14999847407452621"/>
      <name val="Calibri"/>
      <family val="2"/>
    </font>
    <font>
      <sz val="10"/>
      <name val="Arial Narrow"/>
      <family val="2"/>
    </font>
    <font>
      <b/>
      <sz val="9"/>
      <name val="Calibri"/>
      <family val="2"/>
    </font>
    <font>
      <sz val="10"/>
      <name val="COUR"/>
    </font>
    <font>
      <sz val="12"/>
      <color theme="0" tint="-0.499984740745262"/>
      <name val="Calibri"/>
      <family val="2"/>
    </font>
    <font>
      <sz val="10"/>
      <color theme="1" tint="0.499984740745262"/>
      <name val="Calibri"/>
      <family val="2"/>
    </font>
    <font>
      <sz val="9"/>
      <color theme="0" tint="-0.499984740745262"/>
      <name val="Calibri"/>
      <family val="2"/>
    </font>
    <font>
      <sz val="8"/>
      <color theme="0" tint="-0.249977111117893"/>
      <name val="Calibri"/>
      <family val="2"/>
    </font>
    <font>
      <sz val="12"/>
      <color theme="0" tint="-0.249977111117893"/>
      <name val="Calibri"/>
      <family val="2"/>
    </font>
    <font>
      <b/>
      <sz val="10"/>
      <color theme="0" tint="-0.34998626667073579"/>
      <name val="Calibri"/>
      <family val="2"/>
    </font>
    <font>
      <i/>
      <sz val="10"/>
      <color theme="0" tint="-0.34998626667073579"/>
      <name val="Calibri"/>
      <family val="2"/>
    </font>
    <font>
      <i/>
      <sz val="10"/>
      <color theme="0"/>
      <name val="Calibri"/>
      <family val="2"/>
    </font>
    <font>
      <i/>
      <sz val="10"/>
      <name val="Calibri"/>
      <family val="2"/>
    </font>
    <font>
      <vertAlign val="superscript"/>
      <sz val="10"/>
      <color indexed="8"/>
      <name val="Calibri"/>
      <family val="2"/>
    </font>
    <font>
      <sz val="9"/>
      <color theme="1" tint="0.34998626667073579"/>
      <name val="Calibri"/>
      <family val="2"/>
    </font>
    <font>
      <sz val="9"/>
      <color theme="0"/>
      <name val="Calibri"/>
      <family val="2"/>
    </font>
    <font>
      <sz val="9"/>
      <color indexed="8"/>
      <name val="Calibri"/>
      <family val="2"/>
    </font>
    <font>
      <u/>
      <sz val="10"/>
      <color theme="10"/>
      <name val="Arial Narrow"/>
      <family val="2"/>
    </font>
    <font>
      <sz val="10"/>
      <color theme="10"/>
      <name val="Calibri"/>
      <family val="2"/>
    </font>
  </fonts>
  <fills count="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rgb="FFCCFFFF"/>
        <bgColor indexed="64"/>
      </patternFill>
    </fill>
  </fills>
  <borders count="49">
    <border>
      <left/>
      <right/>
      <top/>
      <bottom/>
      <diagonal/>
    </border>
    <border>
      <left/>
      <right/>
      <top style="medium">
        <color indexed="8"/>
      </top>
      <bottom style="thin">
        <color indexed="8"/>
      </bottom>
      <diagonal/>
    </border>
    <border>
      <left/>
      <right/>
      <top/>
      <bottom style="medium">
        <color indexed="8"/>
      </bottom>
      <diagonal/>
    </border>
    <border>
      <left/>
      <right/>
      <top style="medium">
        <color auto="1"/>
      </top>
      <bottom/>
      <diagonal/>
    </border>
    <border>
      <left/>
      <right/>
      <top style="medium">
        <color auto="1"/>
      </top>
      <bottom style="thin">
        <color indexed="8"/>
      </bottom>
      <diagonal/>
    </border>
    <border>
      <left/>
      <right/>
      <top style="thin">
        <color indexed="64"/>
      </top>
      <bottom style="thin">
        <color indexed="64"/>
      </bottom>
      <diagonal/>
    </border>
    <border>
      <left/>
      <right/>
      <top style="medium">
        <color auto="1"/>
      </top>
      <bottom style="thin">
        <color auto="1"/>
      </bottom>
      <diagonal/>
    </border>
    <border>
      <left/>
      <right/>
      <top/>
      <bottom style="thin">
        <color auto="1"/>
      </bottom>
      <diagonal/>
    </border>
    <border>
      <left/>
      <right/>
      <top style="medium">
        <color indexed="64"/>
      </top>
      <bottom style="thin">
        <color indexed="64"/>
      </bottom>
      <diagonal/>
    </border>
    <border>
      <left/>
      <right/>
      <top/>
      <bottom style="double">
        <color auto="1"/>
      </bottom>
      <diagonal/>
    </border>
    <border>
      <left/>
      <right/>
      <top style="thin">
        <color indexed="8"/>
      </top>
      <bottom style="thin">
        <color indexed="8"/>
      </bottom>
      <diagonal/>
    </border>
    <border>
      <left/>
      <right/>
      <top style="thin">
        <color indexed="64"/>
      </top>
      <bottom/>
      <diagonal/>
    </border>
    <border>
      <left/>
      <right/>
      <top style="double">
        <color indexed="8"/>
      </top>
      <bottom style="double">
        <color indexed="8"/>
      </bottom>
      <diagonal/>
    </border>
    <border>
      <left/>
      <right/>
      <top style="medium">
        <color indexed="8"/>
      </top>
      <bottom style="thin">
        <color indexed="8"/>
      </bottom>
      <diagonal/>
    </border>
    <border>
      <left/>
      <right/>
      <top style="medium">
        <color auto="1"/>
      </top>
      <bottom style="thin">
        <color auto="1"/>
      </bottom>
      <diagonal/>
    </border>
    <border>
      <left/>
      <right style="thin">
        <color auto="1"/>
      </right>
      <top style="medium">
        <color auto="1"/>
      </top>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indexed="64"/>
      </bottom>
      <diagonal/>
    </border>
    <border>
      <left/>
      <right/>
      <top style="thick">
        <color indexed="64"/>
      </top>
      <bottom/>
      <diagonal/>
    </border>
    <border>
      <left/>
      <right/>
      <top style="thick">
        <color indexed="64"/>
      </top>
      <bottom style="thin">
        <color indexed="64"/>
      </bottom>
      <diagonal/>
    </border>
    <border>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style="double">
        <color auto="1"/>
      </bottom>
      <diagonal/>
    </border>
    <border>
      <left/>
      <right style="thin">
        <color indexed="8"/>
      </right>
      <top style="thin">
        <color indexed="8"/>
      </top>
      <bottom style="double">
        <color auto="1"/>
      </bottom>
      <diagonal/>
    </border>
    <border>
      <left style="thin">
        <color indexed="8"/>
      </left>
      <right style="thin">
        <color indexed="8"/>
      </right>
      <top/>
      <bottom style="double">
        <color auto="1"/>
      </bottom>
      <diagonal/>
    </border>
    <border>
      <left style="thin">
        <color indexed="8"/>
      </left>
      <right/>
      <top style="thin">
        <color indexed="8"/>
      </top>
      <bottom style="double">
        <color auto="1"/>
      </bottom>
      <diagonal/>
    </border>
    <border>
      <left/>
      <right/>
      <top/>
      <bottom style="thick">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top style="double">
        <color indexed="64"/>
      </top>
      <bottom/>
      <diagonal/>
    </border>
    <border>
      <left/>
      <right/>
      <top style="double">
        <color indexed="8"/>
      </top>
      <bottom/>
      <diagonal/>
    </border>
    <border>
      <left/>
      <right/>
      <top style="thin">
        <color indexed="64"/>
      </top>
      <bottom style="double">
        <color indexed="8"/>
      </bottom>
      <diagonal/>
    </border>
  </borders>
  <cellStyleXfs count="31">
    <xf numFmtId="0" fontId="0" fillId="0" borderId="0"/>
    <xf numFmtId="0" fontId="9" fillId="0" borderId="0"/>
    <xf numFmtId="0" fontId="15" fillId="0" borderId="0" applyNumberFormat="0" applyFill="0" applyBorder="0" applyAlignment="0" applyProtection="0"/>
    <xf numFmtId="0" fontId="16" fillId="0" borderId="0"/>
    <xf numFmtId="9" fontId="1" fillId="0" borderId="0" applyFont="0" applyFill="0" applyBorder="0" applyAlignment="0" applyProtection="0"/>
    <xf numFmtId="0" fontId="22" fillId="0" borderId="0"/>
    <xf numFmtId="0" fontId="9" fillId="0" borderId="0"/>
    <xf numFmtId="0" fontId="16" fillId="0" borderId="0"/>
    <xf numFmtId="9" fontId="16" fillId="0" borderId="0" applyFont="0" applyFill="0" applyBorder="0" applyAlignment="0" applyProtection="0"/>
    <xf numFmtId="0" fontId="16" fillId="0" borderId="0"/>
    <xf numFmtId="8" fontId="9" fillId="0" borderId="0"/>
    <xf numFmtId="0" fontId="16" fillId="0" borderId="0"/>
    <xf numFmtId="43" fontId="16" fillId="0" borderId="0" applyFont="0" applyFill="0" applyBorder="0" applyAlignment="0" applyProtection="0"/>
    <xf numFmtId="0" fontId="16" fillId="0" borderId="0"/>
    <xf numFmtId="0" fontId="22" fillId="0" borderId="0"/>
    <xf numFmtId="0" fontId="9" fillId="0" borderId="0"/>
    <xf numFmtId="0" fontId="16" fillId="0" borderId="0"/>
    <xf numFmtId="0" fontId="22" fillId="0" borderId="0"/>
    <xf numFmtId="0" fontId="9" fillId="0" borderId="0"/>
    <xf numFmtId="0" fontId="9" fillId="0" borderId="0"/>
    <xf numFmtId="0" fontId="9" fillId="0" borderId="0"/>
    <xf numFmtId="0" fontId="16" fillId="0" borderId="0"/>
    <xf numFmtId="0" fontId="16" fillId="0" borderId="0"/>
    <xf numFmtId="43" fontId="16" fillId="0" borderId="0" applyFont="0" applyFill="0" applyBorder="0" applyAlignment="0" applyProtection="0"/>
    <xf numFmtId="0" fontId="16" fillId="0" borderId="0"/>
    <xf numFmtId="44" fontId="16" fillId="0" borderId="0" applyFont="0" applyFill="0" applyBorder="0" applyAlignment="0" applyProtection="0"/>
    <xf numFmtId="0" fontId="16" fillId="0" borderId="0"/>
    <xf numFmtId="0" fontId="16" fillId="0" borderId="0"/>
    <xf numFmtId="0" fontId="9" fillId="0" borderId="0"/>
    <xf numFmtId="0" fontId="16" fillId="0" borderId="0"/>
    <xf numFmtId="43" fontId="1" fillId="0" borderId="0" applyFont="0" applyFill="0" applyBorder="0" applyAlignment="0" applyProtection="0"/>
  </cellStyleXfs>
  <cellXfs count="856">
    <xf numFmtId="0" fontId="0" fillId="0" borderId="0" xfId="0"/>
    <xf numFmtId="0" fontId="4" fillId="0" borderId="0" xfId="0" applyFont="1"/>
    <xf numFmtId="0" fontId="6" fillId="0" borderId="0" xfId="0" applyFont="1"/>
    <xf numFmtId="0" fontId="7" fillId="0" borderId="0" xfId="0" applyFont="1"/>
    <xf numFmtId="3" fontId="0" fillId="0" borderId="0" xfId="0" applyNumberFormat="1"/>
    <xf numFmtId="164" fontId="0" fillId="0" borderId="0" xfId="0" applyNumberFormat="1"/>
    <xf numFmtId="0" fontId="4" fillId="0" borderId="0" xfId="1" applyFont="1"/>
    <xf numFmtId="0" fontId="12" fillId="0" borderId="0" xfId="0" applyFont="1"/>
    <xf numFmtId="0" fontId="15" fillId="0" borderId="0" xfId="2" applyAlignment="1" applyProtection="1">
      <alignment horizontal="right"/>
    </xf>
    <xf numFmtId="0" fontId="0" fillId="0" borderId="0" xfId="0" applyAlignment="1">
      <alignment horizontal="center"/>
    </xf>
    <xf numFmtId="0" fontId="17" fillId="0" borderId="0" xfId="0" applyFont="1"/>
    <xf numFmtId="3" fontId="0" fillId="0" borderId="0" xfId="0" applyNumberFormat="1" applyAlignment="1">
      <alignment horizontal="center"/>
    </xf>
    <xf numFmtId="3" fontId="7" fillId="0" borderId="0" xfId="0" applyNumberFormat="1" applyFont="1"/>
    <xf numFmtId="3" fontId="7" fillId="0" borderId="0" xfId="0" applyNumberFormat="1" applyFont="1" applyAlignment="1">
      <alignment horizontal="center"/>
    </xf>
    <xf numFmtId="10" fontId="0" fillId="0" borderId="0" xfId="4" applyNumberFormat="1" applyFont="1"/>
    <xf numFmtId="10" fontId="7" fillId="0" borderId="0" xfId="4" applyNumberFormat="1" applyFont="1"/>
    <xf numFmtId="0" fontId="4" fillId="0" borderId="0" xfId="1" applyFont="1" applyAlignment="1">
      <alignment horizontal="center"/>
    </xf>
    <xf numFmtId="3" fontId="0" fillId="0" borderId="9" xfId="0" applyNumberFormat="1" applyBorder="1"/>
    <xf numFmtId="0" fontId="25" fillId="0" borderId="0" xfId="0" applyFont="1"/>
    <xf numFmtId="0" fontId="26" fillId="0" borderId="0" xfId="1" applyFont="1"/>
    <xf numFmtId="0" fontId="26" fillId="0" borderId="0" xfId="1" applyFont="1" applyAlignment="1">
      <alignment horizontal="left" indent="1"/>
    </xf>
    <xf numFmtId="0" fontId="27" fillId="0" borderId="0" xfId="1" applyFont="1" applyAlignment="1">
      <alignment horizontal="center"/>
    </xf>
    <xf numFmtId="0" fontId="27" fillId="0" borderId="0" xfId="1" applyFont="1" applyAlignment="1">
      <alignment horizontal="left" indent="1"/>
    </xf>
    <xf numFmtId="164" fontId="25" fillId="0" borderId="0" xfId="0" applyNumberFormat="1" applyFont="1"/>
    <xf numFmtId="164" fontId="24" fillId="0" borderId="0" xfId="0" applyNumberFormat="1" applyFont="1"/>
    <xf numFmtId="164" fontId="25" fillId="0" borderId="0" xfId="0" applyNumberFormat="1" applyFont="1" applyAlignment="1">
      <alignment horizontal="left" indent="1"/>
    </xf>
    <xf numFmtId="3" fontId="25" fillId="0" borderId="0" xfId="0" applyNumberFormat="1" applyFont="1" applyAlignment="1">
      <alignment horizontal="left" indent="1"/>
    </xf>
    <xf numFmtId="3" fontId="28" fillId="0" borderId="0" xfId="2" applyNumberFormat="1" applyFont="1" applyFill="1" applyAlignment="1">
      <alignment horizontal="left" indent="1"/>
    </xf>
    <xf numFmtId="3" fontId="25" fillId="0" borderId="0" xfId="0" applyNumberFormat="1" applyFont="1"/>
    <xf numFmtId="3" fontId="25" fillId="0" borderId="0" xfId="0" applyNumberFormat="1" applyFont="1" applyAlignment="1">
      <alignment wrapText="1"/>
    </xf>
    <xf numFmtId="0" fontId="25" fillId="0" borderId="9" xfId="0" applyFont="1" applyBorder="1"/>
    <xf numFmtId="3" fontId="25" fillId="0" borderId="9" xfId="0" applyNumberFormat="1" applyFont="1" applyBorder="1"/>
    <xf numFmtId="0" fontId="29" fillId="0" borderId="0" xfId="0" applyFont="1"/>
    <xf numFmtId="4" fontId="4" fillId="2" borderId="0" xfId="6" applyNumberFormat="1" applyFont="1" applyFill="1"/>
    <xf numFmtId="0" fontId="4" fillId="2" borderId="0" xfId="7" applyFont="1" applyFill="1"/>
    <xf numFmtId="37" fontId="3" fillId="2" borderId="0" xfId="6" applyNumberFormat="1" applyFont="1" applyFill="1" applyAlignment="1">
      <alignment horizontal="left"/>
    </xf>
    <xf numFmtId="37" fontId="30" fillId="2" borderId="0" xfId="6" applyNumberFormat="1" applyFont="1" applyFill="1" applyAlignment="1">
      <alignment horizontal="left"/>
    </xf>
    <xf numFmtId="0" fontId="10" fillId="2" borderId="8" xfId="7" applyFont="1" applyFill="1" applyBorder="1" applyAlignment="1">
      <alignment horizontal="left"/>
    </xf>
    <xf numFmtId="0" fontId="31" fillId="2" borderId="8" xfId="7" applyFont="1" applyFill="1" applyBorder="1" applyAlignment="1">
      <alignment horizontal="center"/>
    </xf>
    <xf numFmtId="4" fontId="10" fillId="2" borderId="8" xfId="7" applyNumberFormat="1" applyFont="1" applyFill="1" applyBorder="1" applyAlignment="1">
      <alignment horizontal="right"/>
    </xf>
    <xf numFmtId="41" fontId="32" fillId="2" borderId="0" xfId="7" applyNumberFormat="1" applyFont="1" applyFill="1"/>
    <xf numFmtId="164" fontId="4" fillId="2" borderId="0" xfId="7" applyNumberFormat="1" applyFont="1" applyFill="1"/>
    <xf numFmtId="3" fontId="4" fillId="2" borderId="0" xfId="7" applyNumberFormat="1" applyFont="1" applyFill="1"/>
    <xf numFmtId="0" fontId="1" fillId="2" borderId="0" xfId="7" applyFont="1" applyFill="1"/>
    <xf numFmtId="5" fontId="10" fillId="2" borderId="10" xfId="6" applyNumberFormat="1" applyFont="1" applyFill="1" applyBorder="1"/>
    <xf numFmtId="164" fontId="10" fillId="2" borderId="10" xfId="6" applyNumberFormat="1" applyFont="1" applyFill="1" applyBorder="1"/>
    <xf numFmtId="0" fontId="4" fillId="2" borderId="11" xfId="7" applyFont="1" applyFill="1" applyBorder="1"/>
    <xf numFmtId="3" fontId="4" fillId="2" borderId="0" xfId="0" applyNumberFormat="1" applyFont="1" applyFill="1" applyAlignment="1">
      <alignment horizontal="right" vertical="center"/>
    </xf>
    <xf numFmtId="5" fontId="10" fillId="2" borderId="0" xfId="6" applyNumberFormat="1" applyFont="1" applyFill="1"/>
    <xf numFmtId="164" fontId="10" fillId="2" borderId="0" xfId="6" applyNumberFormat="1" applyFont="1" applyFill="1"/>
    <xf numFmtId="0" fontId="33" fillId="2" borderId="0" xfId="7" applyFont="1" applyFill="1" applyAlignment="1">
      <alignment vertical="top"/>
    </xf>
    <xf numFmtId="3" fontId="34" fillId="2" borderId="0" xfId="7" applyNumberFormat="1" applyFont="1" applyFill="1" applyAlignment="1">
      <alignment vertical="top"/>
    </xf>
    <xf numFmtId="0" fontId="34" fillId="2" borderId="0" xfId="7" applyFont="1" applyFill="1" applyAlignment="1">
      <alignment vertical="top"/>
    </xf>
    <xf numFmtId="3" fontId="33" fillId="2" borderId="0" xfId="7" applyNumberFormat="1" applyFont="1" applyFill="1" applyAlignment="1">
      <alignment vertical="top"/>
    </xf>
    <xf numFmtId="0" fontId="33" fillId="2" borderId="0" xfId="7" applyFont="1" applyFill="1" applyAlignment="1">
      <alignment horizontal="left" vertical="top"/>
    </xf>
    <xf numFmtId="5" fontId="10" fillId="2" borderId="12" xfId="6" applyNumberFormat="1" applyFont="1" applyFill="1" applyBorder="1" applyAlignment="1">
      <alignment vertical="center"/>
    </xf>
    <xf numFmtId="164" fontId="10" fillId="2" borderId="12" xfId="6" applyNumberFormat="1" applyFont="1" applyFill="1" applyBorder="1" applyAlignment="1">
      <alignment vertical="center"/>
    </xf>
    <xf numFmtId="4" fontId="2" fillId="2" borderId="0" xfId="6" applyNumberFormat="1" applyFont="1" applyFill="1"/>
    <xf numFmtId="0" fontId="2" fillId="2" borderId="0" xfId="7" applyFont="1" applyFill="1"/>
    <xf numFmtId="0" fontId="35" fillId="0" borderId="0" xfId="2" applyFont="1" applyAlignment="1" applyProtection="1">
      <alignment horizontal="right"/>
    </xf>
    <xf numFmtId="37" fontId="10" fillId="2" borderId="0" xfId="6" applyNumberFormat="1" applyFont="1" applyFill="1" applyAlignment="1">
      <alignment horizontal="left"/>
    </xf>
    <xf numFmtId="41" fontId="4" fillId="2" borderId="0" xfId="7" applyNumberFormat="1" applyFont="1" applyFill="1"/>
    <xf numFmtId="0" fontId="1" fillId="0" borderId="0" xfId="0" applyFont="1"/>
    <xf numFmtId="0" fontId="8" fillId="2" borderId="0" xfId="0" applyFont="1" applyFill="1"/>
    <xf numFmtId="0" fontId="13" fillId="2" borderId="0" xfId="0" applyFont="1" applyFill="1"/>
    <xf numFmtId="0" fontId="7" fillId="2" borderId="0" xfId="0" applyFont="1" applyFill="1"/>
    <xf numFmtId="0" fontId="0" fillId="2" borderId="0" xfId="0" applyFill="1"/>
    <xf numFmtId="0" fontId="2" fillId="0" borderId="0" xfId="7" applyFont="1"/>
    <xf numFmtId="0" fontId="4" fillId="0" borderId="0" xfId="7" applyFont="1"/>
    <xf numFmtId="3" fontId="4" fillId="0" borderId="0" xfId="7" applyNumberFormat="1" applyFont="1"/>
    <xf numFmtId="0" fontId="33" fillId="0" borderId="0" xfId="7" applyFont="1" applyAlignment="1">
      <alignment vertical="top"/>
    </xf>
    <xf numFmtId="0" fontId="4" fillId="2" borderId="0" xfId="9" applyFont="1" applyFill="1" applyAlignment="1">
      <alignment vertical="center"/>
    </xf>
    <xf numFmtId="0" fontId="3" fillId="2" borderId="0" xfId="9" applyFont="1" applyFill="1" applyAlignment="1">
      <alignment vertical="center"/>
    </xf>
    <xf numFmtId="0" fontId="4" fillId="2" borderId="0" xfId="9" applyFont="1" applyFill="1"/>
    <xf numFmtId="0" fontId="4" fillId="2" borderId="5" xfId="9" applyFont="1" applyFill="1" applyBorder="1" applyAlignment="1">
      <alignment vertical="center"/>
    </xf>
    <xf numFmtId="0" fontId="10" fillId="2" borderId="5" xfId="9" applyFont="1" applyFill="1" applyBorder="1" applyAlignment="1">
      <alignment horizontal="center" vertical="center"/>
    </xf>
    <xf numFmtId="5" fontId="4" fillId="2" borderId="0" xfId="9" applyNumberFormat="1" applyFont="1" applyFill="1"/>
    <xf numFmtId="5" fontId="4" fillId="2" borderId="0" xfId="9" applyNumberFormat="1" applyFont="1" applyFill="1" applyAlignment="1">
      <alignment horizontal="right"/>
    </xf>
    <xf numFmtId="0" fontId="4" fillId="2" borderId="0" xfId="9" applyFont="1" applyFill="1" applyAlignment="1">
      <alignment horizontal="left"/>
    </xf>
    <xf numFmtId="37" fontId="4" fillId="2" borderId="0" xfId="9" applyNumberFormat="1" applyFont="1" applyFill="1"/>
    <xf numFmtId="37" fontId="4" fillId="2" borderId="0" xfId="9" applyNumberFormat="1" applyFont="1" applyFill="1" applyAlignment="1">
      <alignment horizontal="right"/>
    </xf>
    <xf numFmtId="164" fontId="0" fillId="2" borderId="0" xfId="0" applyNumberFormat="1" applyFill="1"/>
    <xf numFmtId="3" fontId="0" fillId="2" borderId="0" xfId="0" applyNumberFormat="1" applyFill="1"/>
    <xf numFmtId="37" fontId="4" fillId="2" borderId="0" xfId="10" applyNumberFormat="1" applyFont="1" applyFill="1" applyAlignment="1">
      <alignment horizontal="right"/>
    </xf>
    <xf numFmtId="37" fontId="4" fillId="2" borderId="7" xfId="9" applyNumberFormat="1" applyFont="1" applyFill="1" applyBorder="1"/>
    <xf numFmtId="0" fontId="10" fillId="2" borderId="11" xfId="9" applyFont="1" applyFill="1" applyBorder="1"/>
    <xf numFmtId="0" fontId="31" fillId="2" borderId="11" xfId="9" applyFont="1" applyFill="1" applyBorder="1"/>
    <xf numFmtId="5" fontId="10" fillId="2" borderId="11" xfId="9" applyNumberFormat="1" applyFont="1" applyFill="1" applyBorder="1"/>
    <xf numFmtId="5" fontId="10" fillId="2" borderId="0" xfId="9" applyNumberFormat="1" applyFont="1" applyFill="1"/>
    <xf numFmtId="5" fontId="4" fillId="2" borderId="0" xfId="10" applyNumberFormat="1" applyFont="1" applyFill="1"/>
    <xf numFmtId="37" fontId="4" fillId="2" borderId="0" xfId="10" applyNumberFormat="1" applyFont="1" applyFill="1"/>
    <xf numFmtId="0" fontId="10" fillId="2" borderId="5" xfId="9" applyFont="1" applyFill="1" applyBorder="1" applyAlignment="1">
      <alignment vertical="center"/>
    </xf>
    <xf numFmtId="0" fontId="31" fillId="2" borderId="5" xfId="9" applyFont="1" applyFill="1" applyBorder="1" applyAlignment="1">
      <alignment vertical="center"/>
    </xf>
    <xf numFmtId="5" fontId="10" fillId="2" borderId="5" xfId="9" applyNumberFormat="1" applyFont="1" applyFill="1" applyBorder="1" applyAlignment="1">
      <alignment vertical="center"/>
    </xf>
    <xf numFmtId="0" fontId="4" fillId="2" borderId="0" xfId="11" applyFont="1" applyFill="1" applyAlignment="1">
      <alignment horizontal="left"/>
    </xf>
    <xf numFmtId="0" fontId="10" fillId="2" borderId="8" xfId="11" applyFont="1" applyFill="1" applyBorder="1" applyAlignment="1">
      <alignment horizontal="center"/>
    </xf>
    <xf numFmtId="0" fontId="4" fillId="2" borderId="0" xfId="11" applyFont="1" applyFill="1" applyAlignment="1">
      <alignment horizontal="center"/>
    </xf>
    <xf numFmtId="3" fontId="4" fillId="2" borderId="0" xfId="12" applyNumberFormat="1" applyFont="1" applyFill="1" applyAlignment="1">
      <alignment horizontal="center"/>
    </xf>
    <xf numFmtId="0" fontId="10" fillId="2" borderId="0" xfId="9" applyFont="1" applyFill="1" applyAlignment="1">
      <alignment horizontal="center" vertical="center"/>
    </xf>
    <xf numFmtId="5" fontId="10" fillId="2" borderId="0" xfId="9" applyNumberFormat="1" applyFont="1" applyFill="1" applyAlignment="1">
      <alignment vertical="center"/>
    </xf>
    <xf numFmtId="3" fontId="13" fillId="2" borderId="0" xfId="0" applyNumberFormat="1" applyFont="1" applyFill="1"/>
    <xf numFmtId="0" fontId="10" fillId="2" borderId="0" xfId="1" applyFont="1" applyFill="1"/>
    <xf numFmtId="3" fontId="10" fillId="2" borderId="0" xfId="1" applyNumberFormat="1" applyFont="1" applyFill="1" applyAlignment="1">
      <alignment horizontal="center"/>
    </xf>
    <xf numFmtId="3" fontId="13" fillId="2" borderId="0" xfId="0" applyNumberFormat="1" applyFont="1" applyFill="1" applyAlignment="1">
      <alignment horizontal="center"/>
    </xf>
    <xf numFmtId="0" fontId="10" fillId="2" borderId="6" xfId="3" applyFont="1" applyFill="1" applyBorder="1" applyAlignment="1">
      <alignment horizontal="center" vertical="center"/>
    </xf>
    <xf numFmtId="0" fontId="10" fillId="2" borderId="6" xfId="3" applyFont="1" applyFill="1" applyBorder="1" applyAlignment="1">
      <alignment horizontal="center" vertical="center" wrapText="1"/>
    </xf>
    <xf numFmtId="0" fontId="13" fillId="2" borderId="5" xfId="0" applyFont="1" applyFill="1" applyBorder="1"/>
    <xf numFmtId="164" fontId="13" fillId="2" borderId="5" xfId="0" applyNumberFormat="1" applyFont="1" applyFill="1" applyBorder="1"/>
    <xf numFmtId="3" fontId="7" fillId="2" borderId="0" xfId="0" applyNumberFormat="1" applyFont="1" applyFill="1"/>
    <xf numFmtId="0" fontId="2" fillId="2" borderId="0" xfId="9" applyFont="1" applyFill="1" applyAlignment="1">
      <alignment vertical="center"/>
    </xf>
    <xf numFmtId="0" fontId="10" fillId="2" borderId="0" xfId="9" applyFont="1" applyFill="1" applyAlignment="1">
      <alignment vertical="center"/>
    </xf>
    <xf numFmtId="3" fontId="2" fillId="2" borderId="0" xfId="13" applyNumberFormat="1" applyFont="1" applyFill="1"/>
    <xf numFmtId="3" fontId="2" fillId="2" borderId="0" xfId="6" applyNumberFormat="1" applyFont="1" applyFill="1"/>
    <xf numFmtId="0" fontId="2" fillId="2" borderId="0" xfId="6" applyFont="1" applyFill="1"/>
    <xf numFmtId="37" fontId="2" fillId="2" borderId="0" xfId="6" applyNumberFormat="1" applyFont="1" applyFill="1"/>
    <xf numFmtId="3" fontId="4" fillId="2" borderId="0" xfId="13" applyNumberFormat="1" applyFont="1" applyFill="1"/>
    <xf numFmtId="3" fontId="4" fillId="2" borderId="0" xfId="6" applyNumberFormat="1" applyFont="1" applyFill="1"/>
    <xf numFmtId="0" fontId="4" fillId="2" borderId="0" xfId="6" applyFont="1" applyFill="1"/>
    <xf numFmtId="37" fontId="4" fillId="2" borderId="0" xfId="6" applyNumberFormat="1" applyFont="1" applyFill="1"/>
    <xf numFmtId="5" fontId="10" fillId="2" borderId="2" xfId="6" applyNumberFormat="1" applyFont="1" applyFill="1" applyBorder="1" applyAlignment="1">
      <alignment wrapText="1"/>
    </xf>
    <xf numFmtId="3" fontId="10" fillId="2" borderId="2" xfId="6" applyNumberFormat="1" applyFont="1" applyFill="1" applyBorder="1" applyAlignment="1">
      <alignment horizontal="center" wrapText="1"/>
    </xf>
    <xf numFmtId="37" fontId="10" fillId="2" borderId="0" xfId="6" applyNumberFormat="1" applyFont="1" applyFill="1" applyAlignment="1">
      <alignment horizontal="center"/>
    </xf>
    <xf numFmtId="5" fontId="10" fillId="2" borderId="13" xfId="6" applyNumberFormat="1" applyFont="1" applyFill="1" applyBorder="1" applyAlignment="1">
      <alignment horizontal="center"/>
    </xf>
    <xf numFmtId="3" fontId="10" fillId="2" borderId="13" xfId="6" applyNumberFormat="1" applyFont="1" applyFill="1" applyBorder="1" applyAlignment="1">
      <alignment horizontal="center" vertical="center" wrapText="1"/>
    </xf>
    <xf numFmtId="164" fontId="4" fillId="2" borderId="0" xfId="6" applyNumberFormat="1" applyFont="1" applyFill="1"/>
    <xf numFmtId="164" fontId="4" fillId="2" borderId="0" xfId="13" applyNumberFormat="1" applyFont="1" applyFill="1"/>
    <xf numFmtId="164" fontId="4" fillId="2" borderId="0" xfId="8" applyNumberFormat="1" applyFont="1" applyFill="1" applyBorder="1" applyProtection="1"/>
    <xf numFmtId="5" fontId="4" fillId="2" borderId="0" xfId="6" applyNumberFormat="1" applyFont="1" applyFill="1"/>
    <xf numFmtId="10" fontId="4" fillId="2" borderId="0" xfId="8" applyNumberFormat="1" applyFont="1" applyFill="1" applyBorder="1" applyProtection="1"/>
    <xf numFmtId="3" fontId="4" fillId="2" borderId="0" xfId="8" applyNumberFormat="1" applyFont="1" applyFill="1" applyProtection="1"/>
    <xf numFmtId="5" fontId="4" fillId="2" borderId="7" xfId="6" applyNumberFormat="1" applyFont="1" applyFill="1" applyBorder="1"/>
    <xf numFmtId="3" fontId="4" fillId="2" borderId="7" xfId="13" applyNumberFormat="1" applyFont="1" applyFill="1" applyBorder="1"/>
    <xf numFmtId="3" fontId="4" fillId="2" borderId="7" xfId="6" applyNumberFormat="1" applyFont="1" applyFill="1" applyBorder="1"/>
    <xf numFmtId="0" fontId="10" fillId="2" borderId="10" xfId="6" applyFont="1" applyFill="1" applyBorder="1"/>
    <xf numFmtId="3" fontId="2" fillId="2" borderId="0" xfId="6" applyNumberFormat="1" applyFont="1" applyFill="1" applyAlignment="1">
      <alignment horizontal="left"/>
    </xf>
    <xf numFmtId="3" fontId="2" fillId="2" borderId="0" xfId="6" applyNumberFormat="1" applyFont="1" applyFill="1" applyAlignment="1">
      <alignment horizontal="center"/>
    </xf>
    <xf numFmtId="3" fontId="2" fillId="2" borderId="0" xfId="6" applyNumberFormat="1" applyFont="1" applyFill="1" applyAlignment="1">
      <alignment horizontal="centerContinuous"/>
    </xf>
    <xf numFmtId="37" fontId="2" fillId="2" borderId="0" xfId="6" applyNumberFormat="1" applyFont="1" applyFill="1" applyAlignment="1">
      <alignment horizontal="centerContinuous"/>
    </xf>
    <xf numFmtId="3" fontId="4" fillId="2" borderId="0" xfId="6" applyNumberFormat="1" applyFont="1" applyFill="1" applyAlignment="1">
      <alignment horizontal="left"/>
    </xf>
    <xf numFmtId="3" fontId="4" fillId="2" borderId="0" xfId="6" applyNumberFormat="1" applyFont="1" applyFill="1" applyAlignment="1">
      <alignment horizontal="centerContinuous"/>
    </xf>
    <xf numFmtId="37" fontId="4" fillId="2" borderId="0" xfId="6" applyNumberFormat="1" applyFont="1" applyFill="1" applyAlignment="1">
      <alignment horizontal="centerContinuous"/>
    </xf>
    <xf numFmtId="37" fontId="4" fillId="2" borderId="0" xfId="6" applyNumberFormat="1" applyFont="1" applyFill="1" applyAlignment="1">
      <alignment horizontal="left"/>
    </xf>
    <xf numFmtId="0" fontId="10" fillId="2" borderId="0" xfId="6" applyFont="1" applyFill="1"/>
    <xf numFmtId="5" fontId="10" fillId="2" borderId="10" xfId="6" applyNumberFormat="1" applyFont="1" applyFill="1" applyBorder="1" applyAlignment="1">
      <alignment vertical="center"/>
    </xf>
    <xf numFmtId="164" fontId="10" fillId="2" borderId="10" xfId="6" applyNumberFormat="1" applyFont="1" applyFill="1" applyBorder="1" applyAlignment="1">
      <alignment vertical="center"/>
    </xf>
    <xf numFmtId="0" fontId="4" fillId="2" borderId="7" xfId="6" applyFont="1" applyFill="1" applyBorder="1"/>
    <xf numFmtId="0" fontId="3" fillId="0" borderId="0" xfId="14" applyFont="1"/>
    <xf numFmtId="0" fontId="4" fillId="0" borderId="0" xfId="14" applyFont="1"/>
    <xf numFmtId="0" fontId="10" fillId="0" borderId="8" xfId="14" applyFont="1" applyBorder="1"/>
    <xf numFmtId="0" fontId="10" fillId="0" borderId="8" xfId="14" applyFont="1" applyBorder="1" applyAlignment="1">
      <alignment horizontal="center"/>
    </xf>
    <xf numFmtId="0" fontId="10" fillId="0" borderId="8" xfId="14" applyFont="1" applyBorder="1" applyAlignment="1">
      <alignment horizontal="right" indent="2"/>
    </xf>
    <xf numFmtId="164" fontId="4" fillId="0" borderId="0" xfId="14" applyNumberFormat="1" applyFont="1"/>
    <xf numFmtId="164" fontId="4" fillId="0" borderId="0" xfId="8" applyNumberFormat="1" applyFont="1" applyFill="1"/>
    <xf numFmtId="3" fontId="4" fillId="0" borderId="0" xfId="14" applyNumberFormat="1" applyFont="1"/>
    <xf numFmtId="0" fontId="4" fillId="0" borderId="0" xfId="14" applyFont="1" applyAlignment="1">
      <alignment horizontal="left" indent="1"/>
    </xf>
    <xf numFmtId="3" fontId="1" fillId="0" borderId="0" xfId="14" applyNumberFormat="1" applyFont="1"/>
    <xf numFmtId="0" fontId="10" fillId="0" borderId="5" xfId="14" applyFont="1" applyBorder="1"/>
    <xf numFmtId="164" fontId="10" fillId="0" borderId="5" xfId="14" applyNumberFormat="1" applyFont="1" applyBorder="1"/>
    <xf numFmtId="167" fontId="4" fillId="0" borderId="0" xfId="12" applyNumberFormat="1" applyFont="1" applyFill="1"/>
    <xf numFmtId="0" fontId="36" fillId="0" borderId="0" xfId="14" applyFont="1"/>
    <xf numFmtId="0" fontId="33" fillId="0" borderId="0" xfId="14" applyFont="1"/>
    <xf numFmtId="0" fontId="36" fillId="0" borderId="0" xfId="0" applyFont="1" applyAlignment="1">
      <alignment horizontal="left" vertical="center"/>
    </xf>
    <xf numFmtId="0" fontId="36" fillId="0" borderId="0" xfId="0" applyFont="1" applyAlignment="1">
      <alignment vertical="center"/>
    </xf>
    <xf numFmtId="0" fontId="36" fillId="0" borderId="0" xfId="14" applyFont="1" applyAlignment="1">
      <alignment horizontal="left" vertical="center"/>
    </xf>
    <xf numFmtId="0" fontId="36" fillId="0" borderId="0" xfId="14" applyFont="1" applyAlignment="1">
      <alignment vertical="center"/>
    </xf>
    <xf numFmtId="0" fontId="10" fillId="0" borderId="0" xfId="14" applyFont="1"/>
    <xf numFmtId="0" fontId="2" fillId="0" borderId="0" xfId="14" applyFont="1"/>
    <xf numFmtId="0" fontId="18" fillId="2" borderId="0" xfId="0" applyFont="1" applyFill="1"/>
    <xf numFmtId="0" fontId="23" fillId="2" borderId="8" xfId="5" applyFont="1" applyFill="1" applyBorder="1" applyAlignment="1">
      <alignment horizontal="centerContinuous" vertical="center" wrapText="1"/>
    </xf>
    <xf numFmtId="0" fontId="4" fillId="2" borderId="0" xfId="1" applyFont="1" applyFill="1"/>
    <xf numFmtId="0" fontId="14" fillId="2" borderId="0" xfId="1" applyFont="1" applyFill="1" applyAlignment="1">
      <alignment horizontal="right"/>
    </xf>
    <xf numFmtId="0" fontId="14" fillId="2" borderId="0" xfId="1" applyFont="1" applyFill="1" applyAlignment="1">
      <alignment horizontal="right" indent="1"/>
    </xf>
    <xf numFmtId="0" fontId="4" fillId="2" borderId="0" xfId="1" applyFont="1" applyFill="1" applyAlignment="1">
      <alignment horizontal="center"/>
    </xf>
    <xf numFmtId="0" fontId="0" fillId="2" borderId="0" xfId="0" applyFill="1" applyAlignment="1">
      <alignment horizontal="right" indent="1"/>
    </xf>
    <xf numFmtId="0" fontId="13" fillId="2" borderId="0" xfId="0" applyFont="1" applyFill="1" applyAlignment="1">
      <alignment horizontal="center"/>
    </xf>
    <xf numFmtId="0" fontId="10" fillId="2" borderId="3" xfId="3" applyFont="1" applyFill="1" applyBorder="1"/>
    <xf numFmtId="3" fontId="19" fillId="2" borderId="3" xfId="3" applyNumberFormat="1" applyFont="1" applyFill="1" applyBorder="1" applyAlignment="1">
      <alignment horizontal="centerContinuous" vertical="top"/>
    </xf>
    <xf numFmtId="0" fontId="10" fillId="2" borderId="7" xfId="3" applyFont="1" applyFill="1" applyBorder="1" applyAlignment="1">
      <alignment horizontal="center" vertical="center"/>
    </xf>
    <xf numFmtId="3" fontId="10" fillId="2" borderId="7" xfId="3" applyNumberFormat="1" applyFont="1" applyFill="1" applyBorder="1" applyAlignment="1">
      <alignment horizontal="right" vertical="center" indent="2"/>
    </xf>
    <xf numFmtId="0" fontId="10" fillId="2" borderId="7" xfId="3" applyFont="1" applyFill="1" applyBorder="1" applyAlignment="1">
      <alignment horizontal="center"/>
    </xf>
    <xf numFmtId="3" fontId="10" fillId="2" borderId="7" xfId="3" applyNumberFormat="1" applyFont="1" applyFill="1" applyBorder="1" applyAlignment="1">
      <alignment horizontal="right" vertical="center" indent="1"/>
    </xf>
    <xf numFmtId="3" fontId="10" fillId="2" borderId="7" xfId="3" applyNumberFormat="1" applyFont="1" applyFill="1" applyBorder="1" applyAlignment="1">
      <alignment horizontal="right" vertical="center" indent="3"/>
    </xf>
    <xf numFmtId="3" fontId="0" fillId="2" borderId="0" xfId="0" applyNumberFormat="1" applyFill="1" applyAlignment="1">
      <alignment horizontal="right"/>
    </xf>
    <xf numFmtId="3" fontId="13" fillId="2" borderId="5" xfId="0" applyNumberFormat="1" applyFont="1" applyFill="1" applyBorder="1" applyAlignment="1">
      <alignment horizontal="right"/>
    </xf>
    <xf numFmtId="0" fontId="17" fillId="2" borderId="0" xfId="0" applyFont="1" applyFill="1"/>
    <xf numFmtId="3" fontId="18" fillId="2" borderId="0" xfId="0" applyNumberFormat="1" applyFont="1" applyFill="1"/>
    <xf numFmtId="0" fontId="18" fillId="2" borderId="0" xfId="0" applyFont="1" applyFill="1" applyAlignment="1">
      <alignment horizontal="center"/>
    </xf>
    <xf numFmtId="0" fontId="0" fillId="2" borderId="0" xfId="0" applyFill="1" applyAlignment="1">
      <alignment horizontal="center"/>
    </xf>
    <xf numFmtId="0" fontId="7" fillId="2" borderId="0" xfId="0" applyFont="1" applyFill="1" applyAlignment="1">
      <alignment horizontal="center"/>
    </xf>
    <xf numFmtId="10" fontId="13" fillId="2" borderId="0" xfId="4" applyNumberFormat="1" applyFont="1" applyFill="1"/>
    <xf numFmtId="0" fontId="10" fillId="2" borderId="3" xfId="3" applyFont="1" applyFill="1" applyBorder="1" applyAlignment="1">
      <alignment horizontal="center"/>
    </xf>
    <xf numFmtId="0" fontId="19" fillId="2" borderId="3" xfId="3" applyFont="1" applyFill="1" applyBorder="1" applyAlignment="1">
      <alignment horizontal="centerContinuous" vertical="center"/>
    </xf>
    <xf numFmtId="0" fontId="19" fillId="2" borderId="3" xfId="3" applyFont="1" applyFill="1" applyBorder="1" applyAlignment="1">
      <alignment horizontal="centerContinuous"/>
    </xf>
    <xf numFmtId="10" fontId="10" fillId="2" borderId="3" xfId="4" applyNumberFormat="1" applyFont="1" applyFill="1" applyBorder="1" applyAlignment="1">
      <alignment horizontal="center"/>
    </xf>
    <xf numFmtId="0" fontId="10" fillId="2" borderId="7" xfId="3" applyFont="1" applyFill="1" applyBorder="1" applyAlignment="1">
      <alignment horizontal="center" wrapText="1"/>
    </xf>
    <xf numFmtId="10" fontId="10" fillId="2" borderId="7" xfId="4" applyNumberFormat="1" applyFont="1" applyFill="1" applyBorder="1" applyAlignment="1">
      <alignment horizontal="center" wrapText="1"/>
    </xf>
    <xf numFmtId="10" fontId="0" fillId="2" borderId="0" xfId="4" applyNumberFormat="1" applyFont="1" applyFill="1" applyAlignment="1">
      <alignment horizontal="right"/>
    </xf>
    <xf numFmtId="10" fontId="0" fillId="2" borderId="0" xfId="4" applyNumberFormat="1" applyFont="1" applyFill="1"/>
    <xf numFmtId="3" fontId="0" fillId="2" borderId="0" xfId="0" applyNumberFormat="1" applyFill="1" applyAlignment="1">
      <alignment horizontal="center"/>
    </xf>
    <xf numFmtId="10" fontId="13" fillId="2" borderId="5" xfId="4" applyNumberFormat="1" applyFont="1" applyFill="1" applyBorder="1"/>
    <xf numFmtId="10" fontId="7" fillId="2" borderId="0" xfId="4" applyNumberFormat="1" applyFont="1" applyFill="1"/>
    <xf numFmtId="3" fontId="7" fillId="2" borderId="0" xfId="0" applyNumberFormat="1" applyFont="1" applyFill="1" applyAlignment="1">
      <alignment horizontal="center"/>
    </xf>
    <xf numFmtId="0" fontId="10" fillId="2" borderId="0" xfId="1" applyFont="1" applyFill="1" applyAlignment="1">
      <alignment horizontal="center"/>
    </xf>
    <xf numFmtId="164" fontId="13" fillId="2" borderId="5" xfId="0" applyNumberFormat="1" applyFont="1" applyFill="1" applyBorder="1" applyAlignment="1">
      <alignment horizontal="center"/>
    </xf>
    <xf numFmtId="164" fontId="0" fillId="2" borderId="0" xfId="0" applyNumberFormat="1" applyFill="1" applyAlignment="1">
      <alignment horizontal="center"/>
    </xf>
    <xf numFmtId="0" fontId="10" fillId="2" borderId="8" xfId="3" applyFont="1" applyFill="1" applyBorder="1" applyAlignment="1">
      <alignment horizontal="center" vertical="center" wrapText="1"/>
    </xf>
    <xf numFmtId="0" fontId="14" fillId="2" borderId="0" xfId="1" applyFont="1" applyFill="1" applyAlignment="1">
      <alignment horizontal="center"/>
    </xf>
    <xf numFmtId="0" fontId="10" fillId="2" borderId="7" xfId="3" applyFont="1" applyFill="1" applyBorder="1"/>
    <xf numFmtId="0" fontId="4" fillId="2" borderId="7" xfId="3" applyFont="1" applyFill="1" applyBorder="1"/>
    <xf numFmtId="0" fontId="4" fillId="2" borderId="0" xfId="3" applyFont="1" applyFill="1" applyAlignment="1">
      <alignment horizontal="left" indent="1"/>
    </xf>
    <xf numFmtId="164" fontId="4" fillId="2" borderId="0" xfId="3" applyNumberFormat="1" applyFont="1" applyFill="1"/>
    <xf numFmtId="3" fontId="4" fillId="2" borderId="0" xfId="3" applyNumberFormat="1" applyFont="1" applyFill="1"/>
    <xf numFmtId="0" fontId="4" fillId="2" borderId="0" xfId="3" applyFont="1" applyFill="1"/>
    <xf numFmtId="165" fontId="4" fillId="2" borderId="7" xfId="4" applyNumberFormat="1" applyFont="1" applyFill="1" applyBorder="1" applyAlignment="1"/>
    <xf numFmtId="166" fontId="4" fillId="2" borderId="0" xfId="3" applyNumberFormat="1" applyFont="1" applyFill="1" applyAlignment="1">
      <alignment horizontal="right" indent="1"/>
    </xf>
    <xf numFmtId="4" fontId="4" fillId="2" borderId="0" xfId="3" applyNumberFormat="1" applyFont="1" applyFill="1" applyAlignment="1">
      <alignment horizontal="right" indent="1"/>
    </xf>
    <xf numFmtId="0" fontId="0" fillId="0" borderId="0" xfId="0" applyAlignment="1">
      <alignment horizontal="left" indent="1"/>
    </xf>
    <xf numFmtId="0" fontId="10" fillId="2" borderId="1" xfId="1" applyFont="1" applyFill="1" applyBorder="1" applyAlignment="1">
      <alignment horizontal="centerContinuous"/>
    </xf>
    <xf numFmtId="0" fontId="1" fillId="2" borderId="1" xfId="0" applyFont="1" applyFill="1" applyBorder="1" applyAlignment="1">
      <alignment horizontal="centerContinuous"/>
    </xf>
    <xf numFmtId="0" fontId="1" fillId="2" borderId="4" xfId="0" applyFont="1" applyFill="1" applyBorder="1" applyAlignment="1">
      <alignment horizontal="centerContinuous"/>
    </xf>
    <xf numFmtId="0" fontId="4" fillId="2" borderId="3" xfId="1" applyFont="1" applyFill="1" applyBorder="1"/>
    <xf numFmtId="0" fontId="11" fillId="3" borderId="2" xfId="1" applyFont="1" applyFill="1" applyBorder="1" applyAlignment="1">
      <alignment horizontal="center" wrapText="1"/>
    </xf>
    <xf numFmtId="0" fontId="10" fillId="2" borderId="2" xfId="1" applyFont="1" applyFill="1" applyBorder="1" applyAlignment="1">
      <alignment horizontal="center" wrapText="1"/>
    </xf>
    <xf numFmtId="0" fontId="10" fillId="3" borderId="2" xfId="1" applyFont="1" applyFill="1" applyBorder="1" applyAlignment="1">
      <alignment horizontal="center" wrapText="1"/>
    </xf>
    <xf numFmtId="0" fontId="11" fillId="2" borderId="2" xfId="1" applyFont="1" applyFill="1" applyBorder="1" applyAlignment="1">
      <alignment horizontal="center" wrapText="1"/>
    </xf>
    <xf numFmtId="41" fontId="0" fillId="2" borderId="0" xfId="0" applyNumberFormat="1" applyFill="1"/>
    <xf numFmtId="0" fontId="3" fillId="2" borderId="0" xfId="0" applyFont="1" applyFill="1"/>
    <xf numFmtId="0" fontId="38" fillId="2" borderId="0" xfId="0" applyFont="1" applyFill="1" applyAlignment="1">
      <alignment horizontal="left" indent="1"/>
    </xf>
    <xf numFmtId="0" fontId="38" fillId="2" borderId="0" xfId="0" applyFont="1" applyFill="1"/>
    <xf numFmtId="0" fontId="39" fillId="2" borderId="0" xfId="0" applyFont="1" applyFill="1"/>
    <xf numFmtId="0" fontId="4" fillId="2" borderId="0" xfId="0" applyFont="1" applyFill="1"/>
    <xf numFmtId="0" fontId="33" fillId="2" borderId="0" xfId="0" applyFont="1" applyFill="1" applyAlignment="1">
      <alignment horizontal="left" indent="1"/>
    </xf>
    <xf numFmtId="0" fontId="33" fillId="2" borderId="0" xfId="0" applyFont="1" applyFill="1"/>
    <xf numFmtId="0" fontId="10" fillId="2" borderId="0" xfId="0" applyFont="1" applyFill="1"/>
    <xf numFmtId="0" fontId="40" fillId="2" borderId="0" xfId="0" applyFont="1" applyFill="1" applyAlignment="1">
      <alignment horizontal="left" indent="1"/>
    </xf>
    <xf numFmtId="0" fontId="2" fillId="2" borderId="0" xfId="0" applyFont="1" applyFill="1"/>
    <xf numFmtId="0" fontId="20" fillId="2" borderId="0" xfId="0" applyFont="1" applyFill="1" applyAlignment="1">
      <alignment horizontal="center"/>
    </xf>
    <xf numFmtId="0" fontId="21" fillId="2" borderId="0" xfId="0" applyFont="1" applyFill="1" applyAlignment="1">
      <alignment horizontal="center"/>
    </xf>
    <xf numFmtId="0" fontId="5" fillId="2" borderId="0" xfId="0" applyFont="1" applyFill="1" applyAlignment="1">
      <alignment horizontal="center"/>
    </xf>
    <xf numFmtId="0" fontId="41" fillId="2" borderId="0" xfId="0" applyFont="1" applyFill="1"/>
    <xf numFmtId="0" fontId="42" fillId="2" borderId="0" xfId="0" applyFont="1" applyFill="1"/>
    <xf numFmtId="0" fontId="42" fillId="2" borderId="14" xfId="3" applyFont="1" applyFill="1" applyBorder="1" applyAlignment="1">
      <alignment horizontal="center" vertical="center"/>
    </xf>
    <xf numFmtId="0" fontId="43" fillId="2" borderId="0" xfId="0" applyFont="1" applyFill="1"/>
    <xf numFmtId="0" fontId="42" fillId="2" borderId="5" xfId="0" applyFont="1" applyFill="1" applyBorder="1"/>
    <xf numFmtId="0" fontId="44" fillId="2" borderId="0" xfId="0" applyFont="1" applyFill="1"/>
    <xf numFmtId="0" fontId="43" fillId="0" borderId="0" xfId="0" applyFont="1"/>
    <xf numFmtId="0" fontId="41" fillId="2" borderId="0" xfId="0" applyFont="1" applyFill="1" applyAlignment="1">
      <alignment horizontal="center"/>
    </xf>
    <xf numFmtId="0" fontId="42" fillId="2" borderId="0" xfId="0" applyFont="1" applyFill="1" applyAlignment="1">
      <alignment horizontal="center"/>
    </xf>
    <xf numFmtId="0" fontId="42" fillId="2" borderId="0" xfId="1" applyFont="1" applyFill="1" applyAlignment="1">
      <alignment horizontal="center"/>
    </xf>
    <xf numFmtId="0" fontId="43" fillId="2" borderId="0" xfId="0" applyFont="1" applyFill="1" applyAlignment="1">
      <alignment horizontal="center"/>
    </xf>
    <xf numFmtId="0" fontId="42" fillId="2" borderId="5" xfId="0" applyFont="1" applyFill="1" applyBorder="1" applyAlignment="1">
      <alignment horizontal="center"/>
    </xf>
    <xf numFmtId="0" fontId="44" fillId="2" borderId="0" xfId="0" applyFont="1" applyFill="1" applyAlignment="1">
      <alignment horizontal="center"/>
    </xf>
    <xf numFmtId="0" fontId="43" fillId="0" borderId="0" xfId="0" applyFont="1" applyAlignment="1">
      <alignment horizontal="center"/>
    </xf>
    <xf numFmtId="3" fontId="10" fillId="2" borderId="14" xfId="15" applyNumberFormat="1" applyFont="1" applyFill="1" applyBorder="1" applyAlignment="1">
      <alignment horizontal="center" vertical="center" wrapText="1"/>
    </xf>
    <xf numFmtId="3" fontId="10" fillId="2" borderId="14" xfId="15" applyNumberFormat="1" applyFont="1" applyFill="1" applyBorder="1" applyAlignment="1">
      <alignment horizontal="right" vertical="center" wrapText="1"/>
    </xf>
    <xf numFmtId="3" fontId="10" fillId="2" borderId="14" xfId="15" applyNumberFormat="1" applyFont="1" applyFill="1" applyBorder="1" applyAlignment="1">
      <alignment horizontal="right" vertical="center" wrapText="1" indent="1"/>
    </xf>
    <xf numFmtId="0" fontId="42" fillId="2" borderId="3" xfId="3" applyFont="1" applyFill="1" applyBorder="1"/>
    <xf numFmtId="0" fontId="45" fillId="2" borderId="0" xfId="0" applyFont="1" applyFill="1"/>
    <xf numFmtId="0" fontId="10" fillId="2" borderId="15" xfId="3" applyFont="1" applyFill="1" applyBorder="1"/>
    <xf numFmtId="0" fontId="10" fillId="2" borderId="16" xfId="3" applyFont="1" applyFill="1" applyBorder="1" applyAlignment="1">
      <alignment horizontal="center" wrapText="1"/>
    </xf>
    <xf numFmtId="164" fontId="0" fillId="2" borderId="0" xfId="0" applyNumberFormat="1" applyFill="1" applyAlignment="1">
      <alignment horizontal="right"/>
    </xf>
    <xf numFmtId="164" fontId="13" fillId="2" borderId="5" xfId="0" applyNumberFormat="1" applyFont="1" applyFill="1" applyBorder="1" applyAlignment="1">
      <alignment horizontal="right"/>
    </xf>
    <xf numFmtId="0" fontId="42" fillId="2" borderId="7" xfId="3" applyFont="1" applyFill="1" applyBorder="1" applyAlignment="1">
      <alignment horizontal="center"/>
    </xf>
    <xf numFmtId="3" fontId="10" fillId="2" borderId="7" xfId="3" applyNumberFormat="1" applyFont="1" applyFill="1" applyBorder="1" applyAlignment="1">
      <alignment horizontal="center" wrapText="1"/>
    </xf>
    <xf numFmtId="3" fontId="0" fillId="2" borderId="17" xfId="0" applyNumberFormat="1" applyFill="1" applyBorder="1" applyAlignment="1">
      <alignment horizontal="right"/>
    </xf>
    <xf numFmtId="3" fontId="0" fillId="2" borderId="18" xfId="0" applyNumberFormat="1" applyFill="1" applyBorder="1" applyAlignment="1">
      <alignment horizontal="right"/>
    </xf>
    <xf numFmtId="3" fontId="0" fillId="2" borderId="16" xfId="0" applyNumberFormat="1" applyFill="1" applyBorder="1" applyAlignment="1">
      <alignment horizontal="right"/>
    </xf>
    <xf numFmtId="3" fontId="13" fillId="2" borderId="19" xfId="0" applyNumberFormat="1" applyFont="1" applyFill="1" applyBorder="1" applyAlignment="1">
      <alignment horizontal="right"/>
    </xf>
    <xf numFmtId="3" fontId="0" fillId="2" borderId="18" xfId="0" applyNumberFormat="1" applyFill="1" applyBorder="1"/>
    <xf numFmtId="3" fontId="10" fillId="2" borderId="14" xfId="15" applyNumberFormat="1" applyFont="1" applyFill="1" applyBorder="1" applyAlignment="1">
      <alignment horizontal="center" wrapText="1"/>
    </xf>
    <xf numFmtId="0" fontId="42" fillId="2" borderId="14" xfId="3" applyFont="1" applyFill="1" applyBorder="1" applyAlignment="1">
      <alignment horizontal="center"/>
    </xf>
    <xf numFmtId="0" fontId="10" fillId="2" borderId="6" xfId="3" applyFont="1" applyFill="1" applyBorder="1" applyAlignment="1">
      <alignment horizontal="center"/>
    </xf>
    <xf numFmtId="0" fontId="0" fillId="2" borderId="5" xfId="0" applyFill="1" applyBorder="1"/>
    <xf numFmtId="0" fontId="43" fillId="2" borderId="5" xfId="0" applyFont="1" applyFill="1" applyBorder="1" applyAlignment="1">
      <alignment horizontal="center"/>
    </xf>
    <xf numFmtId="164" fontId="0" fillId="2" borderId="5" xfId="0" applyNumberFormat="1" applyFill="1" applyBorder="1"/>
    <xf numFmtId="0" fontId="4" fillId="0" borderId="0" xfId="16" applyFont="1"/>
    <xf numFmtId="0" fontId="4" fillId="0" borderId="0" xfId="17" applyFont="1"/>
    <xf numFmtId="0" fontId="4" fillId="2" borderId="0" xfId="16" applyFont="1" applyFill="1" applyAlignment="1">
      <alignment horizontal="center"/>
    </xf>
    <xf numFmtId="0" fontId="4" fillId="2" borderId="0" xfId="16" applyFont="1" applyFill="1" applyAlignment="1">
      <alignment horizontal="right"/>
    </xf>
    <xf numFmtId="0" fontId="4" fillId="2" borderId="0" xfId="16" applyFont="1" applyFill="1"/>
    <xf numFmtId="3" fontId="10" fillId="2" borderId="0" xfId="16" applyNumberFormat="1" applyFont="1" applyFill="1"/>
    <xf numFmtId="0" fontId="4" fillId="2" borderId="0" xfId="17" applyFont="1" applyFill="1"/>
    <xf numFmtId="164" fontId="4" fillId="2" borderId="0" xfId="16" applyNumberFormat="1" applyFont="1" applyFill="1" applyAlignment="1">
      <alignment horizontal="right"/>
    </xf>
    <xf numFmtId="3" fontId="4" fillId="2" borderId="0" xfId="16" applyNumberFormat="1" applyFont="1" applyFill="1" applyAlignment="1">
      <alignment horizontal="right"/>
    </xf>
    <xf numFmtId="3" fontId="4" fillId="2" borderId="0" xfId="17" applyNumberFormat="1" applyFont="1" applyFill="1" applyAlignment="1">
      <alignment horizontal="right"/>
    </xf>
    <xf numFmtId="3" fontId="4" fillId="2" borderId="0" xfId="17" applyNumberFormat="1" applyFont="1" applyFill="1" applyAlignment="1">
      <alignment horizontal="right" vertical="center"/>
    </xf>
    <xf numFmtId="164" fontId="4" fillId="2" borderId="0" xfId="16" applyNumberFormat="1" applyFont="1" applyFill="1" applyAlignment="1">
      <alignment horizontal="right" vertical="top"/>
    </xf>
    <xf numFmtId="0" fontId="4" fillId="2" borderId="0" xfId="16" applyFont="1" applyFill="1" applyAlignment="1">
      <alignment horizontal="center" vertical="top"/>
    </xf>
    <xf numFmtId="3" fontId="4" fillId="2" borderId="0" xfId="17" applyNumberFormat="1" applyFont="1" applyFill="1" applyAlignment="1">
      <alignment horizontal="right" vertical="top"/>
    </xf>
    <xf numFmtId="0" fontId="10" fillId="2" borderId="5" xfId="17" applyFont="1" applyFill="1" applyBorder="1" applyAlignment="1">
      <alignment horizontal="right" vertical="center"/>
    </xf>
    <xf numFmtId="3" fontId="10" fillId="2" borderId="5" xfId="17" applyNumberFormat="1" applyFont="1" applyFill="1" applyBorder="1" applyAlignment="1">
      <alignment horizontal="right" vertical="center"/>
    </xf>
    <xf numFmtId="0" fontId="3" fillId="2" borderId="0" xfId="16" applyFont="1" applyFill="1"/>
    <xf numFmtId="3" fontId="3" fillId="2" borderId="0" xfId="16" applyNumberFormat="1" applyFont="1" applyFill="1"/>
    <xf numFmtId="3" fontId="4" fillId="2" borderId="0" xfId="17" applyNumberFormat="1" applyFont="1" applyFill="1"/>
    <xf numFmtId="3" fontId="1" fillId="2" borderId="0" xfId="17" applyNumberFormat="1" applyFont="1" applyFill="1" applyAlignment="1">
      <alignment horizontal="right" vertical="top"/>
    </xf>
    <xf numFmtId="0" fontId="10" fillId="2" borderId="0" xfId="16" applyFont="1" applyFill="1"/>
    <xf numFmtId="0" fontId="10" fillId="2" borderId="5" xfId="16" applyFont="1" applyFill="1" applyBorder="1" applyAlignment="1">
      <alignment horizontal="centerContinuous" wrapText="1"/>
    </xf>
    <xf numFmtId="0" fontId="10" fillId="2" borderId="5" xfId="16" applyFont="1" applyFill="1" applyBorder="1" applyAlignment="1">
      <alignment horizontal="centerContinuous"/>
    </xf>
    <xf numFmtId="0" fontId="10" fillId="2" borderId="5" xfId="16" applyFont="1" applyFill="1" applyBorder="1" applyAlignment="1">
      <alignment horizontal="right" wrapText="1"/>
    </xf>
    <xf numFmtId="0" fontId="10" fillId="2" borderId="5" xfId="16" applyFont="1" applyFill="1" applyBorder="1" applyAlignment="1">
      <alignment horizontal="right"/>
    </xf>
    <xf numFmtId="0" fontId="10" fillId="2" borderId="5" xfId="16" applyFont="1" applyFill="1" applyBorder="1" applyAlignment="1">
      <alignment horizontal="right" indent="1"/>
    </xf>
    <xf numFmtId="0" fontId="10" fillId="2" borderId="0" xfId="16" applyFont="1" applyFill="1" applyAlignment="1">
      <alignment horizontal="center"/>
    </xf>
    <xf numFmtId="0" fontId="10" fillId="2" borderId="14" xfId="16" applyFont="1" applyFill="1" applyBorder="1" applyAlignment="1">
      <alignment horizontal="centerContinuous" wrapText="1"/>
    </xf>
    <xf numFmtId="3" fontId="10" fillId="2" borderId="14" xfId="16" applyNumberFormat="1" applyFont="1" applyFill="1" applyBorder="1" applyAlignment="1">
      <alignment horizontal="centerContinuous" wrapText="1"/>
    </xf>
    <xf numFmtId="0" fontId="10" fillId="2" borderId="14" xfId="16" applyFont="1" applyFill="1" applyBorder="1" applyAlignment="1">
      <alignment horizontal="center" wrapText="1"/>
    </xf>
    <xf numFmtId="164" fontId="4" fillId="2" borderId="0" xfId="16" applyNumberFormat="1" applyFont="1" applyFill="1"/>
    <xf numFmtId="164" fontId="4" fillId="2" borderId="0" xfId="17" applyNumberFormat="1" applyFont="1" applyFill="1" applyAlignment="1">
      <alignment horizontal="right"/>
    </xf>
    <xf numFmtId="168" fontId="4" fillId="2" borderId="0" xfId="17" applyNumberFormat="1" applyFont="1" applyFill="1" applyAlignment="1">
      <alignment horizontal="center"/>
    </xf>
    <xf numFmtId="168" fontId="4" fillId="2" borderId="0" xfId="17" applyNumberFormat="1" applyFont="1" applyFill="1" applyAlignment="1">
      <alignment horizontal="center" vertical="center"/>
    </xf>
    <xf numFmtId="164" fontId="4" fillId="2" borderId="0" xfId="16" applyNumberFormat="1" applyFont="1" applyFill="1" applyAlignment="1">
      <alignment vertical="top"/>
    </xf>
    <xf numFmtId="3" fontId="4" fillId="2" borderId="0" xfId="16" applyNumberFormat="1" applyFont="1" applyFill="1" applyAlignment="1">
      <alignment horizontal="center" vertical="top"/>
    </xf>
    <xf numFmtId="168" fontId="4" fillId="2" borderId="0" xfId="17" applyNumberFormat="1" applyFont="1" applyFill="1" applyAlignment="1">
      <alignment horizontal="center" vertical="top"/>
    </xf>
    <xf numFmtId="164" fontId="10" fillId="2" borderId="5" xfId="17" applyNumberFormat="1" applyFont="1" applyFill="1" applyBorder="1" applyAlignment="1">
      <alignment horizontal="right" vertical="center"/>
    </xf>
    <xf numFmtId="168" fontId="10" fillId="2" borderId="5" xfId="17" applyNumberFormat="1" applyFont="1" applyFill="1" applyBorder="1" applyAlignment="1">
      <alignment horizontal="center" vertical="center"/>
    </xf>
    <xf numFmtId="167" fontId="4" fillId="2" borderId="0" xfId="12" applyNumberFormat="1" applyFont="1" applyFill="1"/>
    <xf numFmtId="0" fontId="4" fillId="2" borderId="0" xfId="17" applyFont="1" applyFill="1" applyAlignment="1">
      <alignment horizontal="center"/>
    </xf>
    <xf numFmtId="3" fontId="36" fillId="2" borderId="0" xfId="16" applyNumberFormat="1" applyFont="1" applyFill="1"/>
    <xf numFmtId="3" fontId="10" fillId="2" borderId="0" xfId="16" applyNumberFormat="1" applyFont="1" applyFill="1" applyAlignment="1">
      <alignment horizontal="right"/>
    </xf>
    <xf numFmtId="169" fontId="10" fillId="2" borderId="0" xfId="16" applyNumberFormat="1" applyFont="1" applyFill="1" applyAlignment="1">
      <alignment horizontal="right"/>
    </xf>
    <xf numFmtId="10" fontId="10" fillId="2" borderId="0" xfId="16" applyNumberFormat="1" applyFont="1" applyFill="1" applyAlignment="1">
      <alignment horizontal="right"/>
    </xf>
    <xf numFmtId="10" fontId="10" fillId="2" borderId="0" xfId="8" applyNumberFormat="1" applyFont="1" applyFill="1" applyBorder="1" applyAlignment="1">
      <alignment horizontal="right"/>
    </xf>
    <xf numFmtId="170" fontId="10" fillId="2" borderId="0" xfId="8" applyNumberFormat="1" applyFont="1" applyFill="1" applyBorder="1" applyAlignment="1">
      <alignment horizontal="center"/>
    </xf>
    <xf numFmtId="0" fontId="36" fillId="2" borderId="0" xfId="16" applyFont="1" applyFill="1"/>
    <xf numFmtId="0" fontId="48" fillId="2" borderId="0" xfId="0" applyFont="1" applyFill="1"/>
    <xf numFmtId="0" fontId="48" fillId="2" borderId="0" xfId="0" applyFont="1" applyFill="1" applyAlignment="1">
      <alignment vertical="center"/>
    </xf>
    <xf numFmtId="165" fontId="46" fillId="2" borderId="0" xfId="8" applyNumberFormat="1" applyFont="1" applyFill="1" applyBorder="1" applyAlignment="1">
      <alignment vertical="center"/>
    </xf>
    <xf numFmtId="42" fontId="0" fillId="2" borderId="0" xfId="0" applyNumberFormat="1" applyFill="1"/>
    <xf numFmtId="42" fontId="4" fillId="2" borderId="0" xfId="0" applyNumberFormat="1" applyFont="1" applyFill="1"/>
    <xf numFmtId="0" fontId="36" fillId="2" borderId="0" xfId="0" applyFont="1" applyFill="1"/>
    <xf numFmtId="0" fontId="0" fillId="2" borderId="0" xfId="0" applyFill="1" applyAlignment="1">
      <alignment wrapText="1"/>
    </xf>
    <xf numFmtId="3" fontId="3" fillId="2" borderId="0" xfId="0" applyNumberFormat="1" applyFont="1" applyFill="1"/>
    <xf numFmtId="4" fontId="10" fillId="2" borderId="0" xfId="0" applyNumberFormat="1" applyFont="1" applyFill="1"/>
    <xf numFmtId="3" fontId="10" fillId="2" borderId="0" xfId="0" applyNumberFormat="1" applyFont="1" applyFill="1"/>
    <xf numFmtId="3" fontId="4" fillId="2" borderId="0" xfId="0" applyNumberFormat="1" applyFont="1" applyFill="1"/>
    <xf numFmtId="0" fontId="46" fillId="2" borderId="0" xfId="0" applyFont="1" applyFill="1"/>
    <xf numFmtId="3" fontId="50" fillId="2" borderId="0" xfId="0" applyNumberFormat="1" applyFont="1" applyFill="1"/>
    <xf numFmtId="0" fontId="4" fillId="2" borderId="20" xfId="0" applyFont="1" applyFill="1" applyBorder="1"/>
    <xf numFmtId="0" fontId="11" fillId="2" borderId="20" xfId="0" applyFont="1" applyFill="1" applyBorder="1" applyAlignment="1">
      <alignment horizontal="right"/>
    </xf>
    <xf numFmtId="0" fontId="10" fillId="2" borderId="20" xfId="0" applyFont="1" applyFill="1" applyBorder="1" applyAlignment="1">
      <alignment horizontal="right" indent="1"/>
    </xf>
    <xf numFmtId="0" fontId="10" fillId="2" borderId="20" xfId="0" applyFont="1" applyFill="1" applyBorder="1" applyAlignment="1">
      <alignment horizontal="right"/>
    </xf>
    <xf numFmtId="0" fontId="10" fillId="2" borderId="20" xfId="0" applyFont="1" applyFill="1" applyBorder="1" applyAlignment="1">
      <alignment horizontal="center"/>
    </xf>
    <xf numFmtId="3" fontId="11" fillId="2" borderId="7" xfId="0" applyNumberFormat="1" applyFont="1" applyFill="1" applyBorder="1" applyAlignment="1">
      <alignment horizontal="center"/>
    </xf>
    <xf numFmtId="164" fontId="10" fillId="2" borderId="7" xfId="0" applyNumberFormat="1" applyFont="1" applyFill="1" applyBorder="1" applyAlignment="1">
      <alignment horizontal="right" indent="1"/>
    </xf>
    <xf numFmtId="4" fontId="10" fillId="2" borderId="7" xfId="0" applyNumberFormat="1" applyFont="1" applyFill="1" applyBorder="1" applyAlignment="1">
      <alignment horizontal="right" indent="2"/>
    </xf>
    <xf numFmtId="0" fontId="10" fillId="2" borderId="7" xfId="0" applyFont="1" applyFill="1" applyBorder="1" applyAlignment="1">
      <alignment horizontal="right" indent="2"/>
    </xf>
    <xf numFmtId="0" fontId="11" fillId="2" borderId="7" xfId="0" applyFont="1" applyFill="1" applyBorder="1" applyAlignment="1">
      <alignment horizontal="right" indent="2"/>
    </xf>
    <xf numFmtId="0" fontId="11" fillId="2" borderId="7" xfId="0" applyFont="1" applyFill="1" applyBorder="1" applyAlignment="1">
      <alignment horizontal="center"/>
    </xf>
    <xf numFmtId="1" fontId="14" fillId="2" borderId="0" xfId="0" applyNumberFormat="1" applyFont="1" applyFill="1" applyAlignment="1">
      <alignment horizontal="center"/>
    </xf>
    <xf numFmtId="164" fontId="4" fillId="2" borderId="0" xfId="0" applyNumberFormat="1" applyFont="1" applyFill="1"/>
    <xf numFmtId="3" fontId="4" fillId="2" borderId="0" xfId="1" applyNumberFormat="1" applyFont="1" applyFill="1" applyAlignment="1">
      <alignment horizontal="right" indent="2"/>
    </xf>
    <xf numFmtId="0" fontId="43" fillId="2" borderId="0" xfId="1" applyFont="1" applyFill="1" applyAlignment="1">
      <alignment horizontal="center"/>
    </xf>
    <xf numFmtId="164" fontId="43" fillId="2" borderId="0" xfId="1" applyNumberFormat="1" applyFont="1" applyFill="1" applyAlignment="1">
      <alignment horizontal="right"/>
    </xf>
    <xf numFmtId="3" fontId="4" fillId="2" borderId="0" xfId="0" applyNumberFormat="1" applyFont="1" applyFill="1" applyAlignment="1">
      <alignment horizontal="right" indent="2"/>
    </xf>
    <xf numFmtId="3" fontId="43" fillId="2" borderId="0" xfId="0" applyNumberFormat="1" applyFont="1" applyFill="1"/>
    <xf numFmtId="3" fontId="4" fillId="2" borderId="0" xfId="8" applyNumberFormat="1" applyFont="1" applyFill="1" applyBorder="1" applyAlignment="1"/>
    <xf numFmtId="3" fontId="4" fillId="2" borderId="0" xfId="8" applyNumberFormat="1" applyFont="1" applyFill="1" applyBorder="1" applyAlignment="1">
      <alignment horizontal="right" indent="2"/>
    </xf>
    <xf numFmtId="165" fontId="51" fillId="2" borderId="0" xfId="8" applyNumberFormat="1" applyFont="1" applyFill="1" applyBorder="1" applyAlignment="1"/>
    <xf numFmtId="0" fontId="50" fillId="2" borderId="0" xfId="0" applyFont="1" applyFill="1"/>
    <xf numFmtId="0" fontId="11" fillId="2" borderId="20" xfId="0" applyFont="1" applyFill="1" applyBorder="1" applyAlignment="1">
      <alignment horizontal="center"/>
    </xf>
    <xf numFmtId="164" fontId="10" fillId="2" borderId="7" xfId="0" applyNumberFormat="1" applyFont="1" applyFill="1" applyBorder="1" applyAlignment="1">
      <alignment horizontal="center"/>
    </xf>
    <xf numFmtId="0" fontId="52" fillId="2" borderId="0" xfId="0" applyFont="1" applyFill="1"/>
    <xf numFmtId="0" fontId="52" fillId="2" borderId="0" xfId="18" applyFont="1" applyFill="1"/>
    <xf numFmtId="0" fontId="50" fillId="2" borderId="0" xfId="18" applyFont="1" applyFill="1"/>
    <xf numFmtId="0" fontId="4" fillId="2" borderId="0" xfId="18" applyFont="1" applyFill="1"/>
    <xf numFmtId="0" fontId="11" fillId="2" borderId="21" xfId="18" applyFont="1" applyFill="1" applyBorder="1" applyAlignment="1">
      <alignment horizontal="right" vertical="center" wrapText="1"/>
    </xf>
    <xf numFmtId="0" fontId="10" fillId="2" borderId="21" xfId="18" applyFont="1" applyFill="1" applyBorder="1" applyAlignment="1">
      <alignment horizontal="right" vertical="center" wrapText="1"/>
    </xf>
    <xf numFmtId="0" fontId="11" fillId="2" borderId="21" xfId="19" applyFont="1" applyFill="1" applyBorder="1" applyAlignment="1">
      <alignment horizontal="right" vertical="center" wrapText="1"/>
    </xf>
    <xf numFmtId="164" fontId="4" fillId="2" borderId="0" xfId="0" applyNumberFormat="1" applyFont="1" applyFill="1" applyAlignment="1">
      <alignment horizontal="right"/>
    </xf>
    <xf numFmtId="1" fontId="14" fillId="2" borderId="0" xfId="0" applyNumberFormat="1" applyFont="1" applyFill="1" applyAlignment="1">
      <alignment horizontal="right" indent="1"/>
    </xf>
    <xf numFmtId="3" fontId="48" fillId="2" borderId="0" xfId="8" applyNumberFormat="1" applyFont="1" applyFill="1"/>
    <xf numFmtId="3" fontId="36" fillId="2" borderId="0" xfId="0" applyNumberFormat="1" applyFont="1" applyFill="1"/>
    <xf numFmtId="0" fontId="4" fillId="2" borderId="0" xfId="21" applyFont="1" applyFill="1"/>
    <xf numFmtId="0" fontId="3" fillId="2" borderId="0" xfId="20" applyFont="1" applyFill="1"/>
    <xf numFmtId="0" fontId="4" fillId="2" borderId="0" xfId="20" applyFont="1" applyFill="1"/>
    <xf numFmtId="37" fontId="4" fillId="2" borderId="0" xfId="20" applyNumberFormat="1" applyFont="1" applyFill="1"/>
    <xf numFmtId="39" fontId="4" fillId="2" borderId="0" xfId="20" applyNumberFormat="1" applyFont="1" applyFill="1"/>
    <xf numFmtId="0" fontId="50" fillId="2" borderId="0" xfId="20" applyFont="1" applyFill="1"/>
    <xf numFmtId="0" fontId="11" fillId="2" borderId="0" xfId="20" applyFont="1" applyFill="1" applyAlignment="1">
      <alignment horizontal="left"/>
    </xf>
    <xf numFmtId="37" fontId="10" fillId="2" borderId="0" xfId="20" applyNumberFormat="1" applyFont="1" applyFill="1" applyAlignment="1">
      <alignment horizontal="centerContinuous"/>
    </xf>
    <xf numFmtId="0" fontId="1" fillId="2" borderId="26" xfId="0" applyFont="1" applyFill="1" applyBorder="1" applyAlignment="1">
      <alignment horizontal="centerContinuous"/>
    </xf>
    <xf numFmtId="39" fontId="10" fillId="2" borderId="27" xfId="20" applyNumberFormat="1" applyFont="1" applyFill="1" applyBorder="1" applyAlignment="1">
      <alignment horizontal="center"/>
    </xf>
    <xf numFmtId="37" fontId="10" fillId="2" borderId="28" xfId="20" applyNumberFormat="1" applyFont="1" applyFill="1" applyBorder="1" applyAlignment="1">
      <alignment horizontal="centerContinuous"/>
    </xf>
    <xf numFmtId="0" fontId="1" fillId="2" borderId="0" xfId="0" applyFont="1" applyFill="1" applyAlignment="1">
      <alignment horizontal="centerContinuous"/>
    </xf>
    <xf numFmtId="0" fontId="11" fillId="2" borderId="29" xfId="20" applyFont="1" applyFill="1" applyBorder="1" applyAlignment="1">
      <alignment horizontal="left" wrapText="1"/>
    </xf>
    <xf numFmtId="37" fontId="10" fillId="2" borderId="29" xfId="20" applyNumberFormat="1" applyFont="1" applyFill="1" applyBorder="1" applyAlignment="1">
      <alignment horizontal="right" wrapText="1"/>
    </xf>
    <xf numFmtId="37" fontId="10" fillId="2" borderId="29" xfId="20" applyNumberFormat="1" applyFont="1" applyFill="1" applyBorder="1" applyAlignment="1">
      <alignment horizontal="center" wrapText="1"/>
    </xf>
    <xf numFmtId="39" fontId="10" fillId="2" borderId="30" xfId="20" applyNumberFormat="1" applyFont="1" applyFill="1" applyBorder="1" applyAlignment="1">
      <alignment horizontal="center" wrapText="1"/>
    </xf>
    <xf numFmtId="165" fontId="4" fillId="2" borderId="27" xfId="8" applyNumberFormat="1" applyFont="1" applyFill="1" applyBorder="1"/>
    <xf numFmtId="37" fontId="10" fillId="2" borderId="31" xfId="20" applyNumberFormat="1" applyFont="1" applyFill="1" applyBorder="1" applyAlignment="1">
      <alignment horizontal="right" wrapText="1"/>
    </xf>
    <xf numFmtId="39" fontId="10" fillId="2" borderId="29" xfId="20" applyNumberFormat="1" applyFont="1" applyFill="1" applyBorder="1" applyAlignment="1">
      <alignment horizontal="center" wrapText="1"/>
    </xf>
    <xf numFmtId="0" fontId="14" fillId="2" borderId="0" xfId="20" applyFont="1" applyFill="1" applyAlignment="1">
      <alignment horizontal="left"/>
    </xf>
    <xf numFmtId="3" fontId="4" fillId="2" borderId="0" xfId="20" applyNumberFormat="1" applyFont="1" applyFill="1"/>
    <xf numFmtId="164" fontId="4" fillId="2" borderId="0" xfId="20" applyNumberFormat="1" applyFont="1" applyFill="1"/>
    <xf numFmtId="10" fontId="4" fillId="2" borderId="26" xfId="8" applyNumberFormat="1" applyFont="1" applyFill="1" applyBorder="1"/>
    <xf numFmtId="3" fontId="4" fillId="2" borderId="28" xfId="20" applyNumberFormat="1" applyFont="1" applyFill="1" applyBorder="1"/>
    <xf numFmtId="10" fontId="4" fillId="2" borderId="0" xfId="8" applyNumberFormat="1" applyFont="1" applyFill="1" applyBorder="1"/>
    <xf numFmtId="0" fontId="14" fillId="2" borderId="0" xfId="20" applyFont="1" applyFill="1" applyAlignment="1">
      <alignment horizontal="left" vertical="center"/>
    </xf>
    <xf numFmtId="3" fontId="4" fillId="2" borderId="0" xfId="20" applyNumberFormat="1" applyFont="1" applyFill="1" applyAlignment="1">
      <alignment vertical="center"/>
    </xf>
    <xf numFmtId="37" fontId="4" fillId="2" borderId="0" xfId="20" applyNumberFormat="1" applyFont="1" applyFill="1" applyAlignment="1">
      <alignment vertical="center"/>
    </xf>
    <xf numFmtId="10" fontId="4" fillId="2" borderId="26" xfId="8" applyNumberFormat="1" applyFont="1" applyFill="1" applyBorder="1" applyAlignment="1">
      <alignment vertical="center"/>
    </xf>
    <xf numFmtId="165" fontId="4" fillId="2" borderId="27" xfId="8" applyNumberFormat="1" applyFont="1" applyFill="1" applyBorder="1" applyAlignment="1">
      <alignment vertical="center"/>
    </xf>
    <xf numFmtId="3" fontId="4" fillId="2" borderId="28" xfId="20" applyNumberFormat="1" applyFont="1" applyFill="1" applyBorder="1" applyAlignment="1">
      <alignment vertical="center"/>
    </xf>
    <xf numFmtId="10" fontId="4" fillId="2" borderId="0" xfId="8" applyNumberFormat="1" applyFont="1" applyFill="1" applyBorder="1" applyAlignment="1">
      <alignment vertical="center"/>
    </xf>
    <xf numFmtId="0" fontId="4" fillId="2" borderId="0" xfId="21" applyFont="1" applyFill="1" applyAlignment="1">
      <alignment vertical="center"/>
    </xf>
    <xf numFmtId="0" fontId="14" fillId="2" borderId="0" xfId="20" applyFont="1" applyFill="1" applyAlignment="1">
      <alignment horizontal="left" vertical="top"/>
    </xf>
    <xf numFmtId="3" fontId="4" fillId="2" borderId="0" xfId="20" applyNumberFormat="1" applyFont="1" applyFill="1" applyAlignment="1">
      <alignment vertical="top"/>
    </xf>
    <xf numFmtId="37" fontId="4" fillId="2" borderId="0" xfId="20" applyNumberFormat="1" applyFont="1" applyFill="1" applyAlignment="1">
      <alignment vertical="top"/>
    </xf>
    <xf numFmtId="10" fontId="4" fillId="2" borderId="26" xfId="8" applyNumberFormat="1" applyFont="1" applyFill="1" applyBorder="1" applyAlignment="1">
      <alignment vertical="top"/>
    </xf>
    <xf numFmtId="165" fontId="4" fillId="2" borderId="27" xfId="8" applyNumberFormat="1" applyFont="1" applyFill="1" applyBorder="1" applyAlignment="1">
      <alignment vertical="top"/>
    </xf>
    <xf numFmtId="3" fontId="4" fillId="2" borderId="28" xfId="20" applyNumberFormat="1" applyFont="1" applyFill="1" applyBorder="1" applyAlignment="1">
      <alignment vertical="top"/>
    </xf>
    <xf numFmtId="10" fontId="4" fillId="2" borderId="0" xfId="8" applyNumberFormat="1" applyFont="1" applyFill="1" applyBorder="1" applyAlignment="1">
      <alignment vertical="top"/>
    </xf>
    <xf numFmtId="0" fontId="4" fillId="2" borderId="10" xfId="20" applyFont="1" applyFill="1" applyBorder="1" applyAlignment="1">
      <alignment horizontal="left" vertical="center"/>
    </xf>
    <xf numFmtId="3" fontId="4" fillId="2" borderId="10" xfId="20" applyNumberFormat="1" applyFont="1" applyFill="1" applyBorder="1" applyAlignment="1">
      <alignment vertical="center"/>
    </xf>
    <xf numFmtId="164" fontId="4" fillId="2" borderId="10" xfId="20" applyNumberFormat="1" applyFont="1" applyFill="1" applyBorder="1" applyAlignment="1">
      <alignment vertical="center"/>
    </xf>
    <xf numFmtId="10" fontId="4" fillId="2" borderId="32" xfId="20" applyNumberFormat="1" applyFont="1" applyFill="1" applyBorder="1" applyAlignment="1">
      <alignment vertical="center"/>
    </xf>
    <xf numFmtId="3" fontId="4" fillId="2" borderId="33" xfId="20" applyNumberFormat="1" applyFont="1" applyFill="1" applyBorder="1" applyAlignment="1">
      <alignment vertical="center"/>
    </xf>
    <xf numFmtId="164" fontId="4" fillId="2" borderId="34" xfId="20" applyNumberFormat="1" applyFont="1" applyFill="1" applyBorder="1" applyAlignment="1">
      <alignment vertical="center"/>
    </xf>
    <xf numFmtId="10" fontId="4" fillId="2" borderId="34" xfId="20" applyNumberFormat="1" applyFont="1" applyFill="1" applyBorder="1" applyAlignment="1">
      <alignment vertical="center"/>
    </xf>
    <xf numFmtId="0" fontId="4" fillId="2" borderId="0" xfId="20" applyFont="1" applyFill="1" applyAlignment="1">
      <alignment horizontal="left" vertical="center"/>
    </xf>
    <xf numFmtId="1" fontId="4" fillId="2" borderId="0" xfId="20" applyNumberFormat="1" applyFont="1" applyFill="1" applyAlignment="1">
      <alignment vertical="center"/>
    </xf>
    <xf numFmtId="3" fontId="4" fillId="2" borderId="0" xfId="12" applyNumberFormat="1" applyFont="1" applyFill="1" applyBorder="1" applyAlignment="1" applyProtection="1">
      <alignment vertical="center"/>
    </xf>
    <xf numFmtId="1" fontId="4" fillId="2" borderId="28" xfId="20" applyNumberFormat="1" applyFont="1" applyFill="1" applyBorder="1" applyAlignment="1">
      <alignment vertical="center"/>
    </xf>
    <xf numFmtId="0" fontId="10" fillId="2" borderId="35" xfId="20" applyFont="1" applyFill="1" applyBorder="1" applyAlignment="1">
      <alignment horizontal="left" vertical="center"/>
    </xf>
    <xf numFmtId="3" fontId="10" fillId="2" borderId="35" xfId="20" applyNumberFormat="1" applyFont="1" applyFill="1" applyBorder="1" applyAlignment="1">
      <alignment vertical="center"/>
    </xf>
    <xf numFmtId="164" fontId="10" fillId="2" borderId="35" xfId="20" applyNumberFormat="1" applyFont="1" applyFill="1" applyBorder="1" applyAlignment="1">
      <alignment vertical="center"/>
    </xf>
    <xf numFmtId="165" fontId="10" fillId="2" borderId="36" xfId="8" applyNumberFormat="1" applyFont="1" applyFill="1" applyBorder="1" applyAlignment="1" applyProtection="1">
      <alignment vertical="center"/>
    </xf>
    <xf numFmtId="9" fontId="10" fillId="2" borderId="37" xfId="20" applyNumberFormat="1" applyFont="1" applyFill="1" applyBorder="1" applyAlignment="1">
      <alignment vertical="center"/>
    </xf>
    <xf numFmtId="3" fontId="10" fillId="2" borderId="38" xfId="20" applyNumberFormat="1" applyFont="1" applyFill="1" applyBorder="1" applyAlignment="1">
      <alignment vertical="center"/>
    </xf>
    <xf numFmtId="165" fontId="10" fillId="2" borderId="35" xfId="8" applyNumberFormat="1" applyFont="1" applyFill="1" applyBorder="1" applyAlignment="1" applyProtection="1">
      <alignment vertical="center"/>
    </xf>
    <xf numFmtId="0" fontId="3" fillId="2" borderId="0" xfId="20" applyFont="1" applyFill="1" applyAlignment="1">
      <alignment horizontal="left"/>
    </xf>
    <xf numFmtId="0" fontId="10" fillId="2" borderId="0" xfId="20" applyFont="1" applyFill="1" applyAlignment="1">
      <alignment horizontal="left"/>
    </xf>
    <xf numFmtId="37" fontId="10" fillId="2" borderId="0" xfId="20" applyNumberFormat="1" applyFont="1" applyFill="1"/>
    <xf numFmtId="9" fontId="53" fillId="2" borderId="0" xfId="20" applyNumberFormat="1" applyFont="1" applyFill="1"/>
    <xf numFmtId="0" fontId="10" fillId="2" borderId="3" xfId="20" applyFont="1" applyFill="1" applyBorder="1" applyAlignment="1">
      <alignment horizontal="left"/>
    </xf>
    <xf numFmtId="37" fontId="10" fillId="2" borderId="3" xfId="20" applyNumberFormat="1" applyFont="1" applyFill="1" applyBorder="1"/>
    <xf numFmtId="37" fontId="10" fillId="2" borderId="3" xfId="20" applyNumberFormat="1" applyFont="1" applyFill="1" applyBorder="1" applyAlignment="1">
      <alignment horizontal="center"/>
    </xf>
    <xf numFmtId="0" fontId="50" fillId="2" borderId="3" xfId="21" applyFont="1" applyFill="1" applyBorder="1"/>
    <xf numFmtId="3" fontId="4" fillId="2" borderId="0" xfId="20" applyNumberFormat="1" applyFont="1" applyFill="1" applyAlignment="1">
      <alignment horizontal="right" indent="1"/>
    </xf>
    <xf numFmtId="5" fontId="1" fillId="2" borderId="0" xfId="20" applyNumberFormat="1" applyFont="1" applyFill="1"/>
    <xf numFmtId="9" fontId="50" fillId="2" borderId="0" xfId="8" applyFont="1" applyFill="1"/>
    <xf numFmtId="37" fontId="1" fillId="2" borderId="0" xfId="20" applyNumberFormat="1" applyFont="1" applyFill="1"/>
    <xf numFmtId="0" fontId="1" fillId="2" borderId="0" xfId="9" applyFont="1" applyFill="1"/>
    <xf numFmtId="37" fontId="31" fillId="2" borderId="0" xfId="20" applyNumberFormat="1" applyFont="1" applyFill="1"/>
    <xf numFmtId="0" fontId="36" fillId="2" borderId="0" xfId="20" applyFont="1" applyFill="1" applyAlignment="1">
      <alignment horizontal="left"/>
    </xf>
    <xf numFmtId="37" fontId="36" fillId="2" borderId="0" xfId="20" applyNumberFormat="1" applyFont="1" applyFill="1"/>
    <xf numFmtId="37" fontId="54" fillId="2" borderId="0" xfId="20" applyNumberFormat="1" applyFont="1" applyFill="1"/>
    <xf numFmtId="9" fontId="54" fillId="2" borderId="0" xfId="20" applyNumberFormat="1" applyFont="1" applyFill="1"/>
    <xf numFmtId="0" fontId="36" fillId="2" borderId="0" xfId="21" applyFont="1" applyFill="1"/>
    <xf numFmtId="0" fontId="36" fillId="2" borderId="0" xfId="20" applyFont="1" applyFill="1" applyAlignment="1">
      <alignment horizontal="left" vertical="top"/>
    </xf>
    <xf numFmtId="37" fontId="36" fillId="2" borderId="0" xfId="20" applyNumberFormat="1" applyFont="1" applyFill="1" applyAlignment="1">
      <alignment vertical="top"/>
    </xf>
    <xf numFmtId="39" fontId="36" fillId="2" borderId="0" xfId="20" applyNumberFormat="1" applyFont="1" applyFill="1" applyAlignment="1">
      <alignment vertical="top"/>
    </xf>
    <xf numFmtId="171" fontId="36" fillId="2" borderId="0" xfId="20" applyNumberFormat="1" applyFont="1" applyFill="1" applyAlignment="1">
      <alignment vertical="top"/>
    </xf>
    <xf numFmtId="0" fontId="36" fillId="2" borderId="0" xfId="20" applyFont="1" applyFill="1" applyAlignment="1">
      <alignment vertical="top"/>
    </xf>
    <xf numFmtId="0" fontId="10" fillId="2" borderId="0" xfId="20" applyFont="1" applyFill="1"/>
    <xf numFmtId="0" fontId="52" fillId="2" borderId="0" xfId="20" applyFont="1" applyFill="1" applyAlignment="1">
      <alignment horizontal="left"/>
    </xf>
    <xf numFmtId="9" fontId="10" fillId="2" borderId="0" xfId="20" applyNumberFormat="1" applyFont="1" applyFill="1"/>
    <xf numFmtId="9" fontId="31" fillId="2" borderId="0" xfId="20" applyNumberFormat="1" applyFont="1" applyFill="1"/>
    <xf numFmtId="0" fontId="55" fillId="2" borderId="22" xfId="20" applyFont="1" applyFill="1" applyBorder="1" applyAlignment="1">
      <alignment horizontal="left"/>
    </xf>
    <xf numFmtId="37" fontId="56" fillId="2" borderId="22" xfId="20" applyNumberFormat="1" applyFont="1" applyFill="1" applyBorder="1" applyAlignment="1">
      <alignment horizontal="centerContinuous"/>
    </xf>
    <xf numFmtId="0" fontId="17" fillId="2" borderId="23" xfId="0" applyFont="1" applyFill="1" applyBorder="1" applyAlignment="1">
      <alignment horizontal="centerContinuous"/>
    </xf>
    <xf numFmtId="39" fontId="56" fillId="2" borderId="24" xfId="20" applyNumberFormat="1" applyFont="1" applyFill="1" applyBorder="1" applyAlignment="1">
      <alignment horizontal="center"/>
    </xf>
    <xf numFmtId="37" fontId="56" fillId="2" borderId="25" xfId="20" applyNumberFormat="1" applyFont="1" applyFill="1" applyBorder="1" applyAlignment="1">
      <alignment horizontal="centerContinuous"/>
    </xf>
    <xf numFmtId="0" fontId="17" fillId="2" borderId="22" xfId="0" applyFont="1" applyFill="1" applyBorder="1" applyAlignment="1">
      <alignment horizontal="centerContinuous"/>
    </xf>
    <xf numFmtId="0" fontId="23" fillId="2" borderId="0" xfId="21" applyFont="1" applyFill="1"/>
    <xf numFmtId="0" fontId="0" fillId="2" borderId="0" xfId="0" applyFill="1" applyAlignment="1">
      <alignment vertical="center"/>
    </xf>
    <xf numFmtId="3" fontId="0" fillId="2" borderId="0" xfId="0" applyNumberFormat="1" applyFill="1" applyAlignment="1">
      <alignment vertical="center"/>
    </xf>
    <xf numFmtId="0" fontId="3" fillId="2" borderId="0" xfId="0" applyFont="1" applyFill="1" applyAlignment="1">
      <alignment vertical="center"/>
    </xf>
    <xf numFmtId="0" fontId="0" fillId="2" borderId="39" xfId="0" applyFill="1" applyBorder="1" applyAlignment="1">
      <alignment vertical="center"/>
    </xf>
    <xf numFmtId="3" fontId="0" fillId="2" borderId="39" xfId="0" applyNumberFormat="1" applyFill="1" applyBorder="1"/>
    <xf numFmtId="3" fontId="0" fillId="2" borderId="39" xfId="0" applyNumberFormat="1" applyFill="1" applyBorder="1" applyAlignment="1">
      <alignment vertical="center"/>
    </xf>
    <xf numFmtId="0" fontId="10" fillId="2" borderId="7" xfId="0" applyFont="1" applyFill="1" applyBorder="1" applyAlignment="1">
      <alignment horizontal="left" wrapText="1"/>
    </xf>
    <xf numFmtId="3" fontId="10" fillId="2" borderId="7" xfId="0" applyNumberFormat="1" applyFont="1" applyFill="1" applyBorder="1" applyAlignment="1">
      <alignment horizontal="center" wrapText="1"/>
    </xf>
    <xf numFmtId="3" fontId="0" fillId="2" borderId="0" xfId="22" applyNumberFormat="1" applyFont="1" applyFill="1" applyAlignment="1">
      <alignment horizontal="right"/>
    </xf>
    <xf numFmtId="164" fontId="0" fillId="2" borderId="0" xfId="22" applyNumberFormat="1" applyFont="1" applyFill="1" applyAlignment="1">
      <alignment horizontal="right"/>
    </xf>
    <xf numFmtId="0" fontId="0" fillId="2" borderId="7" xfId="0" applyFill="1" applyBorder="1" applyAlignment="1">
      <alignment vertical="top"/>
    </xf>
    <xf numFmtId="0" fontId="0" fillId="2" borderId="7" xfId="0" applyFill="1" applyBorder="1" applyAlignment="1">
      <alignment vertical="top" wrapText="1"/>
    </xf>
    <xf numFmtId="3" fontId="0" fillId="2" borderId="7" xfId="22" applyNumberFormat="1" applyFont="1" applyFill="1" applyBorder="1" applyAlignment="1">
      <alignment horizontal="right" vertical="top"/>
    </xf>
    <xf numFmtId="0" fontId="4" fillId="2" borderId="0" xfId="0" applyFont="1" applyFill="1" applyAlignment="1">
      <alignment wrapText="1"/>
    </xf>
    <xf numFmtId="0" fontId="4" fillId="2" borderId="7" xfId="0" applyFont="1" applyFill="1" applyBorder="1"/>
    <xf numFmtId="0" fontId="4" fillId="2" borderId="7" xfId="0" applyFont="1" applyFill="1" applyBorder="1" applyAlignment="1">
      <alignment wrapText="1"/>
    </xf>
    <xf numFmtId="0" fontId="4" fillId="2" borderId="7" xfId="0" applyFont="1" applyFill="1" applyBorder="1" applyAlignment="1">
      <alignment horizontal="left" wrapText="1"/>
    </xf>
    <xf numFmtId="3" fontId="4" fillId="2" borderId="7" xfId="22" applyNumberFormat="1" applyFont="1" applyFill="1" applyBorder="1" applyAlignment="1">
      <alignment horizontal="right"/>
    </xf>
    <xf numFmtId="3" fontId="4" fillId="2" borderId="0" xfId="22" applyNumberFormat="1" applyFont="1" applyFill="1" applyAlignment="1">
      <alignment horizontal="right"/>
    </xf>
    <xf numFmtId="0" fontId="0" fillId="2" borderId="7" xfId="0" applyFill="1" applyBorder="1" applyAlignment="1">
      <alignment wrapText="1"/>
    </xf>
    <xf numFmtId="3" fontId="0" fillId="2" borderId="7" xfId="22" applyNumberFormat="1" applyFont="1" applyFill="1" applyBorder="1" applyAlignment="1">
      <alignment horizontal="right"/>
    </xf>
    <xf numFmtId="0" fontId="0" fillId="2" borderId="7" xfId="0" applyFill="1" applyBorder="1"/>
    <xf numFmtId="3" fontId="4" fillId="2" borderId="0" xfId="23" applyNumberFormat="1" applyFont="1" applyFill="1" applyBorder="1" applyAlignment="1">
      <alignment horizontal="right" wrapText="1"/>
    </xf>
    <xf numFmtId="0" fontId="4" fillId="2" borderId="0" xfId="19" applyFont="1" applyFill="1"/>
    <xf numFmtId="0" fontId="4" fillId="2" borderId="0" xfId="19" applyFont="1" applyFill="1" applyAlignment="1">
      <alignment wrapText="1"/>
    </xf>
    <xf numFmtId="0" fontId="33" fillId="2" borderId="0" xfId="0" applyFont="1" applyFill="1" applyAlignment="1">
      <alignment vertical="center"/>
    </xf>
    <xf numFmtId="3" fontId="33" fillId="2" borderId="0" xfId="0" applyNumberFormat="1" applyFont="1" applyFill="1" applyAlignment="1">
      <alignment horizontal="right" vertical="center"/>
    </xf>
    <xf numFmtId="3" fontId="33" fillId="2" borderId="0" xfId="0" applyNumberFormat="1" applyFont="1" applyFill="1" applyAlignment="1">
      <alignment vertical="center"/>
    </xf>
    <xf numFmtId="0" fontId="33" fillId="2" borderId="0" xfId="0" applyFont="1" applyFill="1" applyAlignment="1">
      <alignment horizontal="left" vertical="center"/>
    </xf>
    <xf numFmtId="3" fontId="33" fillId="2" borderId="0" xfId="0" applyNumberFormat="1" applyFont="1" applyFill="1" applyAlignment="1">
      <alignment horizontal="left" vertical="center"/>
    </xf>
    <xf numFmtId="0" fontId="10" fillId="2" borderId="0" xfId="0" applyFont="1" applyFill="1" applyAlignment="1">
      <alignment vertical="center"/>
    </xf>
    <xf numFmtId="44" fontId="4" fillId="2" borderId="0" xfId="0" applyNumberFormat="1" applyFont="1" applyFill="1" applyAlignment="1">
      <alignment vertical="center"/>
    </xf>
    <xf numFmtId="0" fontId="10" fillId="2" borderId="40" xfId="0" applyFont="1" applyFill="1" applyBorder="1" applyAlignment="1">
      <alignment horizontal="center" vertical="center"/>
    </xf>
    <xf numFmtId="0" fontId="10" fillId="2" borderId="40" xfId="0" applyFont="1" applyFill="1" applyBorder="1" applyAlignment="1">
      <alignment vertical="center"/>
    </xf>
    <xf numFmtId="169" fontId="11" fillId="2" borderId="40" xfId="0" applyNumberFormat="1" applyFont="1" applyFill="1" applyBorder="1" applyAlignment="1">
      <alignment horizontal="center" vertical="center"/>
    </xf>
    <xf numFmtId="41" fontId="4" fillId="2" borderId="0" xfId="20" applyNumberFormat="1" applyFont="1" applyFill="1"/>
    <xf numFmtId="0" fontId="11" fillId="2" borderId="1" xfId="20" applyFont="1" applyFill="1" applyBorder="1" applyAlignment="1">
      <alignment horizontal="left" wrapText="1"/>
    </xf>
    <xf numFmtId="37" fontId="10" fillId="2" borderId="1" xfId="20" applyNumberFormat="1" applyFont="1" applyFill="1" applyBorder="1" applyAlignment="1">
      <alignment horizontal="right" wrapText="1"/>
    </xf>
    <xf numFmtId="39" fontId="10" fillId="2" borderId="1" xfId="20" applyNumberFormat="1" applyFont="1" applyFill="1" applyBorder="1" applyAlignment="1">
      <alignment horizontal="right" wrapText="1"/>
    </xf>
    <xf numFmtId="39" fontId="10" fillId="2" borderId="1" xfId="20" applyNumberFormat="1" applyFont="1" applyFill="1" applyBorder="1" applyAlignment="1">
      <alignment horizontal="center" wrapText="1"/>
    </xf>
    <xf numFmtId="37" fontId="10" fillId="2" borderId="1" xfId="20" applyNumberFormat="1" applyFont="1" applyFill="1" applyBorder="1" applyAlignment="1">
      <alignment horizontal="center" wrapText="1"/>
    </xf>
    <xf numFmtId="0" fontId="4" fillId="2" borderId="0" xfId="20" applyFont="1" applyFill="1" applyAlignment="1">
      <alignment horizontal="left"/>
    </xf>
    <xf numFmtId="165" fontId="4" fillId="2" borderId="0" xfId="8" applyNumberFormat="1" applyFont="1" applyFill="1"/>
    <xf numFmtId="165" fontId="4" fillId="2" borderId="0" xfId="20" applyNumberFormat="1" applyFont="1" applyFill="1" applyAlignment="1">
      <alignment horizontal="right"/>
    </xf>
    <xf numFmtId="165" fontId="4" fillId="2" borderId="0" xfId="8" applyNumberFormat="1" applyFont="1" applyFill="1" applyAlignment="1">
      <alignment vertical="top"/>
    </xf>
    <xf numFmtId="165" fontId="4" fillId="2" borderId="0" xfId="20" applyNumberFormat="1" applyFont="1" applyFill="1" applyAlignment="1">
      <alignment horizontal="right" vertical="top"/>
    </xf>
    <xf numFmtId="165" fontId="4" fillId="2" borderId="10" xfId="20" applyNumberFormat="1" applyFont="1" applyFill="1" applyBorder="1" applyAlignment="1">
      <alignment vertical="center"/>
    </xf>
    <xf numFmtId="165" fontId="4" fillId="2" borderId="0" xfId="20" applyNumberFormat="1" applyFont="1" applyFill="1" applyAlignment="1">
      <alignment vertical="center"/>
    </xf>
    <xf numFmtId="10" fontId="4" fillId="2" borderId="0" xfId="20" applyNumberFormat="1" applyFont="1" applyFill="1" applyAlignment="1">
      <alignment vertical="center"/>
    </xf>
    <xf numFmtId="165" fontId="4" fillId="2" borderId="0" xfId="8" applyNumberFormat="1" applyFont="1" applyFill="1" applyAlignment="1" applyProtection="1">
      <alignment vertical="center"/>
    </xf>
    <xf numFmtId="37" fontId="58" fillId="2" borderId="0" xfId="20" applyNumberFormat="1" applyFont="1" applyFill="1" applyAlignment="1">
      <alignment vertical="center"/>
    </xf>
    <xf numFmtId="9" fontId="58" fillId="2" borderId="0" xfId="20" applyNumberFormat="1" applyFont="1" applyFill="1" applyAlignment="1">
      <alignment vertical="center"/>
    </xf>
    <xf numFmtId="5" fontId="58" fillId="2" borderId="0" xfId="20" applyNumberFormat="1" applyFont="1" applyFill="1" applyAlignment="1">
      <alignment vertical="center"/>
    </xf>
    <xf numFmtId="41" fontId="57" fillId="2" borderId="0" xfId="20" applyNumberFormat="1" applyFont="1" applyFill="1"/>
    <xf numFmtId="41" fontId="57" fillId="2" borderId="0" xfId="0" applyNumberFormat="1" applyFont="1" applyFill="1" applyAlignment="1">
      <alignment vertical="top"/>
    </xf>
    <xf numFmtId="41" fontId="57" fillId="2" borderId="0" xfId="0" applyNumberFormat="1" applyFont="1" applyFill="1"/>
    <xf numFmtId="5" fontId="10" fillId="2" borderId="0" xfId="20" applyNumberFormat="1" applyFont="1" applyFill="1"/>
    <xf numFmtId="0" fontId="57" fillId="2" borderId="0" xfId="21" applyFont="1" applyFill="1" applyAlignment="1">
      <alignment vertical="center"/>
    </xf>
    <xf numFmtId="0" fontId="10" fillId="2" borderId="10" xfId="20" applyFont="1" applyFill="1" applyBorder="1" applyAlignment="1">
      <alignment horizontal="left" vertical="center"/>
    </xf>
    <xf numFmtId="37" fontId="10" fillId="2" borderId="10" xfId="20" applyNumberFormat="1" applyFont="1" applyFill="1" applyBorder="1" applyAlignment="1">
      <alignment vertical="center"/>
    </xf>
    <xf numFmtId="9" fontId="10" fillId="2" borderId="10" xfId="20" applyNumberFormat="1" applyFont="1" applyFill="1" applyBorder="1" applyAlignment="1">
      <alignment vertical="center"/>
    </xf>
    <xf numFmtId="165" fontId="10" fillId="2" borderId="10" xfId="20" applyNumberFormat="1" applyFont="1" applyFill="1" applyBorder="1" applyAlignment="1">
      <alignment vertical="center"/>
    </xf>
    <xf numFmtId="164" fontId="4" fillId="2" borderId="0" xfId="20" applyNumberFormat="1" applyFont="1" applyFill="1" applyAlignment="1">
      <alignment horizontal="right" indent="1"/>
    </xf>
    <xf numFmtId="3" fontId="4" fillId="2" borderId="0" xfId="20" applyNumberFormat="1" applyFont="1" applyFill="1" applyAlignment="1">
      <alignment horizontal="right" vertical="top" indent="1"/>
    </xf>
    <xf numFmtId="164" fontId="4" fillId="2" borderId="10" xfId="20" applyNumberFormat="1" applyFont="1" applyFill="1" applyBorder="1" applyAlignment="1">
      <alignment horizontal="right" vertical="center" indent="1"/>
    </xf>
    <xf numFmtId="3" fontId="4" fillId="2" borderId="0" xfId="20" applyNumberFormat="1" applyFont="1" applyFill="1" applyAlignment="1">
      <alignment horizontal="right" vertical="center" indent="1"/>
    </xf>
    <xf numFmtId="164" fontId="10" fillId="2" borderId="10" xfId="20" applyNumberFormat="1" applyFont="1" applyFill="1" applyBorder="1" applyAlignment="1">
      <alignment horizontal="right" vertical="center" indent="1"/>
    </xf>
    <xf numFmtId="0" fontId="36" fillId="2" borderId="0" xfId="20" applyFont="1" applyFill="1" applyAlignment="1">
      <alignment horizontal="left" vertical="center"/>
    </xf>
    <xf numFmtId="41" fontId="59" fillId="2" borderId="0" xfId="20" applyNumberFormat="1" applyFont="1" applyFill="1"/>
    <xf numFmtId="41" fontId="59" fillId="2" borderId="0" xfId="20" applyNumberFormat="1" applyFont="1" applyFill="1" applyAlignment="1">
      <alignment vertical="top"/>
    </xf>
    <xf numFmtId="41" fontId="59" fillId="2" borderId="0" xfId="20" applyNumberFormat="1" applyFont="1" applyFill="1" applyAlignment="1">
      <alignment horizontal="left"/>
    </xf>
    <xf numFmtId="37" fontId="54" fillId="2" borderId="0" xfId="20" applyNumberFormat="1" applyFont="1" applyFill="1" applyAlignment="1">
      <alignment vertical="center"/>
    </xf>
    <xf numFmtId="9" fontId="54" fillId="2" borderId="0" xfId="20" applyNumberFormat="1" applyFont="1" applyFill="1" applyAlignment="1">
      <alignment vertical="center"/>
    </xf>
    <xf numFmtId="5" fontId="54" fillId="2" borderId="0" xfId="20" applyNumberFormat="1" applyFont="1" applyFill="1" applyAlignment="1">
      <alignment vertical="center"/>
    </xf>
    <xf numFmtId="39" fontId="59" fillId="2" borderId="0" xfId="20" applyNumberFormat="1" applyFont="1" applyFill="1"/>
    <xf numFmtId="37" fontId="59" fillId="2" borderId="0" xfId="20" applyNumberFormat="1" applyFont="1" applyFill="1"/>
    <xf numFmtId="0" fontId="59" fillId="2" borderId="0" xfId="20" applyFont="1" applyFill="1" applyAlignment="1">
      <alignment horizontal="left" indent="1"/>
    </xf>
    <xf numFmtId="41" fontId="10" fillId="2" borderId="0" xfId="20" applyNumberFormat="1" applyFont="1" applyFill="1"/>
    <xf numFmtId="0" fontId="16" fillId="0" borderId="0" xfId="24" applyAlignment="1">
      <alignment horizontal="left"/>
    </xf>
    <xf numFmtId="0" fontId="4" fillId="2" borderId="0" xfId="24" applyFont="1" applyFill="1"/>
    <xf numFmtId="3" fontId="4" fillId="2" borderId="0" xfId="24" applyNumberFormat="1" applyFont="1" applyFill="1"/>
    <xf numFmtId="0" fontId="4" fillId="2" borderId="44" xfId="24" applyFont="1" applyFill="1" applyBorder="1" applyAlignment="1">
      <alignment vertical="center"/>
    </xf>
    <xf numFmtId="0" fontId="10" fillId="2" borderId="1" xfId="24" quotePrefix="1" applyFont="1" applyFill="1" applyBorder="1" applyAlignment="1">
      <alignment horizontal="centerContinuous" vertical="center"/>
    </xf>
    <xf numFmtId="0" fontId="4" fillId="2" borderId="1" xfId="22" applyFont="1" applyFill="1" applyBorder="1" applyAlignment="1">
      <alignment horizontal="centerContinuous" vertical="center"/>
    </xf>
    <xf numFmtId="0" fontId="10" fillId="2" borderId="22" xfId="24" applyFont="1" applyFill="1" applyBorder="1" applyAlignment="1">
      <alignment horizontal="center" vertical="center" wrapText="1"/>
    </xf>
    <xf numFmtId="0" fontId="10" fillId="2" borderId="41" xfId="24" applyFont="1" applyFill="1" applyBorder="1" applyAlignment="1">
      <alignment vertical="center"/>
    </xf>
    <xf numFmtId="0" fontId="10" fillId="2" borderId="41" xfId="24" applyFont="1" applyFill="1" applyBorder="1" applyAlignment="1">
      <alignment horizontal="right" vertical="center"/>
    </xf>
    <xf numFmtId="0" fontId="14" fillId="2" borderId="42" xfId="24" applyFont="1" applyFill="1" applyBorder="1" applyAlignment="1">
      <alignment horizontal="left"/>
    </xf>
    <xf numFmtId="164" fontId="4" fillId="2" borderId="0" xfId="24" applyNumberFormat="1" applyFont="1" applyFill="1"/>
    <xf numFmtId="0" fontId="14" fillId="2" borderId="0" xfId="24" applyFont="1" applyFill="1" applyAlignment="1">
      <alignment horizontal="left"/>
    </xf>
    <xf numFmtId="0" fontId="4" fillId="2" borderId="0" xfId="24" applyFont="1" applyFill="1" applyAlignment="1">
      <alignment horizontal="left"/>
    </xf>
    <xf numFmtId="169" fontId="4" fillId="2" borderId="0" xfId="24" applyNumberFormat="1" applyFont="1" applyFill="1"/>
    <xf numFmtId="0" fontId="13" fillId="2" borderId="43" xfId="24" applyFont="1" applyFill="1" applyBorder="1"/>
    <xf numFmtId="3" fontId="10" fillId="2" borderId="43" xfId="24" applyNumberFormat="1" applyFont="1" applyFill="1" applyBorder="1"/>
    <xf numFmtId="164" fontId="10" fillId="2" borderId="43" xfId="24" applyNumberFormat="1" applyFont="1" applyFill="1" applyBorder="1"/>
    <xf numFmtId="0" fontId="10" fillId="2" borderId="0" xfId="24" applyFont="1" applyFill="1"/>
    <xf numFmtId="3" fontId="10" fillId="2" borderId="0" xfId="24" applyNumberFormat="1" applyFont="1" applyFill="1"/>
    <xf numFmtId="164" fontId="10" fillId="2" borderId="0" xfId="25" applyNumberFormat="1" applyFont="1" applyFill="1" applyBorder="1"/>
    <xf numFmtId="169" fontId="10" fillId="2" borderId="0" xfId="24" applyNumberFormat="1" applyFont="1" applyFill="1"/>
    <xf numFmtId="164" fontId="10" fillId="2" borderId="0" xfId="24" applyNumberFormat="1" applyFont="1" applyFill="1"/>
    <xf numFmtId="0" fontId="36" fillId="2" borderId="0" xfId="24" applyFont="1" applyFill="1" applyAlignment="1">
      <alignment vertical="center"/>
    </xf>
    <xf numFmtId="3" fontId="54" fillId="2" borderId="0" xfId="24" applyNumberFormat="1" applyFont="1" applyFill="1" applyAlignment="1">
      <alignment vertical="center"/>
    </xf>
    <xf numFmtId="169" fontId="54" fillId="2" borderId="0" xfId="24" applyNumberFormat="1" applyFont="1" applyFill="1" applyAlignment="1">
      <alignment vertical="center"/>
    </xf>
    <xf numFmtId="164" fontId="54" fillId="2" borderId="0" xfId="24" applyNumberFormat="1" applyFont="1" applyFill="1" applyAlignment="1">
      <alignment vertical="center"/>
    </xf>
    <xf numFmtId="0" fontId="4" fillId="2" borderId="0" xfId="24" applyFont="1" applyFill="1" applyAlignment="1">
      <alignment horizontal="centerContinuous"/>
    </xf>
    <xf numFmtId="3" fontId="4" fillId="2" borderId="0" xfId="24" applyNumberFormat="1" applyFont="1" applyFill="1" applyAlignment="1">
      <alignment horizontal="centerContinuous"/>
    </xf>
    <xf numFmtId="42" fontId="33" fillId="2" borderId="0" xfId="0" applyNumberFormat="1" applyFont="1" applyFill="1"/>
    <xf numFmtId="0" fontId="33" fillId="0" borderId="0" xfId="17" applyFont="1"/>
    <xf numFmtId="0" fontId="3" fillId="2" borderId="0" xfId="26" applyFont="1" applyFill="1"/>
    <xf numFmtId="0" fontId="4" fillId="2" borderId="0" xfId="26" applyFont="1" applyFill="1"/>
    <xf numFmtId="0" fontId="10" fillId="2" borderId="0" xfId="26" applyFont="1" applyFill="1" applyAlignment="1">
      <alignment horizontal="right"/>
    </xf>
    <xf numFmtId="0" fontId="4" fillId="2" borderId="0" xfId="26" applyFont="1" applyFill="1" applyAlignment="1">
      <alignment horizontal="right"/>
    </xf>
    <xf numFmtId="0" fontId="10" fillId="2" borderId="0" xfId="26" applyFont="1" applyFill="1"/>
    <xf numFmtId="0" fontId="4" fillId="2" borderId="0" xfId="26" applyFont="1" applyFill="1" applyAlignment="1">
      <alignment wrapText="1"/>
    </xf>
    <xf numFmtId="0" fontId="4" fillId="2" borderId="0" xfId="26" applyFont="1" applyFill="1" applyAlignment="1">
      <alignment horizontal="right" wrapText="1"/>
    </xf>
    <xf numFmtId="0" fontId="10" fillId="2" borderId="44" xfId="26" applyFont="1" applyFill="1" applyBorder="1"/>
    <xf numFmtId="0" fontId="10" fillId="2" borderId="41" xfId="26" applyFont="1" applyFill="1" applyBorder="1" applyAlignment="1">
      <alignment horizontal="right" vertical="top" wrapText="1"/>
    </xf>
    <xf numFmtId="0" fontId="10" fillId="2" borderId="41" xfId="26" applyFont="1" applyFill="1" applyBorder="1" applyAlignment="1">
      <alignment horizontal="right" indent="1"/>
    </xf>
    <xf numFmtId="0" fontId="10" fillId="2" borderId="41" xfId="26" applyFont="1" applyFill="1" applyBorder="1" applyAlignment="1">
      <alignment horizontal="right"/>
    </xf>
    <xf numFmtId="3" fontId="4" fillId="2" borderId="0" xfId="26" applyNumberFormat="1" applyFont="1" applyFill="1" applyAlignment="1">
      <alignment horizontal="right"/>
    </xf>
    <xf numFmtId="164" fontId="4" fillId="2" borderId="0" xfId="26" applyNumberFormat="1" applyFont="1" applyFill="1"/>
    <xf numFmtId="3" fontId="4" fillId="2" borderId="0" xfId="26" applyNumberFormat="1" applyFont="1" applyFill="1"/>
    <xf numFmtId="0" fontId="4" fillId="2" borderId="0" xfId="26" applyFont="1" applyFill="1" applyAlignment="1">
      <alignment vertical="top"/>
    </xf>
    <xf numFmtId="3" fontId="4" fillId="2" borderId="0" xfId="26" applyNumberFormat="1" applyFont="1" applyFill="1" applyAlignment="1">
      <alignment horizontal="right" vertical="top"/>
    </xf>
    <xf numFmtId="3" fontId="4" fillId="2" borderId="0" xfId="26" applyNumberFormat="1" applyFont="1" applyFill="1" applyAlignment="1">
      <alignment vertical="top"/>
    </xf>
    <xf numFmtId="167" fontId="4" fillId="2" borderId="0" xfId="12" applyNumberFormat="1" applyFont="1" applyFill="1" applyAlignment="1">
      <alignment horizontal="right" vertical="top"/>
    </xf>
    <xf numFmtId="167" fontId="4" fillId="2" borderId="0" xfId="12" applyNumberFormat="1" applyFont="1" applyFill="1" applyAlignment="1">
      <alignment vertical="top"/>
    </xf>
    <xf numFmtId="0" fontId="4" fillId="2" borderId="43" xfId="26" applyFont="1" applyFill="1" applyBorder="1" applyAlignment="1">
      <alignment vertical="center"/>
    </xf>
    <xf numFmtId="0" fontId="10" fillId="2" borderId="43" xfId="26" applyFont="1" applyFill="1" applyBorder="1" applyAlignment="1">
      <alignment vertical="center"/>
    </xf>
    <xf numFmtId="166" fontId="4" fillId="2" borderId="0" xfId="26" applyNumberFormat="1" applyFont="1" applyFill="1"/>
    <xf numFmtId="167" fontId="4" fillId="2" borderId="0" xfId="12" applyNumberFormat="1" applyFont="1" applyFill="1" applyAlignment="1">
      <alignment horizontal="right"/>
    </xf>
    <xf numFmtId="0" fontId="33" fillId="2" borderId="0" xfId="26" applyFont="1" applyFill="1"/>
    <xf numFmtId="0" fontId="33" fillId="2" borderId="0" xfId="26" applyFont="1" applyFill="1" applyAlignment="1">
      <alignment horizontal="right"/>
    </xf>
    <xf numFmtId="0" fontId="64" fillId="2" borderId="0" xfId="26" applyFont="1" applyFill="1"/>
    <xf numFmtId="0" fontId="7" fillId="2" borderId="0" xfId="26" applyFont="1" applyFill="1"/>
    <xf numFmtId="0" fontId="36" fillId="2" borderId="0" xfId="26" applyFont="1" applyFill="1"/>
    <xf numFmtId="0" fontId="10" fillId="2" borderId="1" xfId="26" applyFont="1" applyFill="1" applyBorder="1" applyAlignment="1">
      <alignment horizontal="centerContinuous"/>
    </xf>
    <xf numFmtId="3" fontId="10" fillId="2" borderId="43" xfId="26" applyNumberFormat="1" applyFont="1" applyFill="1" applyBorder="1" applyAlignment="1">
      <alignment horizontal="right" vertical="center"/>
    </xf>
    <xf numFmtId="164" fontId="10" fillId="2" borderId="43" xfId="26" applyNumberFormat="1" applyFont="1" applyFill="1" applyBorder="1" applyAlignment="1">
      <alignment vertical="center"/>
    </xf>
    <xf numFmtId="0" fontId="65" fillId="0" borderId="0" xfId="0" applyFont="1"/>
    <xf numFmtId="0" fontId="60" fillId="0" borderId="0" xfId="0" applyFont="1" applyAlignment="1">
      <alignment horizontal="center"/>
    </xf>
    <xf numFmtId="10" fontId="16" fillId="0" borderId="0" xfId="0" applyNumberFormat="1" applyFont="1"/>
    <xf numFmtId="0" fontId="63" fillId="0" borderId="0" xfId="5" applyFont="1"/>
    <xf numFmtId="0" fontId="3" fillId="2" borderId="0" xfId="27" applyFont="1" applyFill="1"/>
    <xf numFmtId="3" fontId="4" fillId="2" borderId="0" xfId="27" applyNumberFormat="1" applyFont="1" applyFill="1"/>
    <xf numFmtId="0" fontId="4" fillId="2" borderId="0" xfId="27" applyFont="1" applyFill="1"/>
    <xf numFmtId="10" fontId="48" fillId="2" borderId="0" xfId="27" applyNumberFormat="1" applyFont="1" applyFill="1"/>
    <xf numFmtId="0" fontId="52" fillId="2" borderId="0" xfId="27" applyFont="1" applyFill="1"/>
    <xf numFmtId="0" fontId="10" fillId="2" borderId="0" xfId="27" applyFont="1" applyFill="1" applyAlignment="1">
      <alignment horizontal="center"/>
    </xf>
    <xf numFmtId="0" fontId="11" fillId="2" borderId="0" xfId="27" applyFont="1" applyFill="1" applyAlignment="1">
      <alignment horizontal="left"/>
    </xf>
    <xf numFmtId="0" fontId="49" fillId="2" borderId="0" xfId="0" applyFont="1" applyFill="1" applyAlignment="1">
      <alignment horizontal="right"/>
    </xf>
    <xf numFmtId="0" fontId="49" fillId="2" borderId="0" xfId="0" applyFont="1" applyFill="1" applyAlignment="1">
      <alignment horizontal="center"/>
    </xf>
    <xf numFmtId="0" fontId="10" fillId="2" borderId="0" xfId="0" applyFont="1" applyFill="1" applyAlignment="1">
      <alignment horizontal="center"/>
    </xf>
    <xf numFmtId="10" fontId="10" fillId="2" borderId="0" xfId="27" applyNumberFormat="1" applyFont="1" applyFill="1" applyAlignment="1">
      <alignment horizontal="center"/>
    </xf>
    <xf numFmtId="3" fontId="11" fillId="2" borderId="0" xfId="27" applyNumberFormat="1" applyFont="1" applyFill="1" applyAlignment="1">
      <alignment horizontal="right"/>
    </xf>
    <xf numFmtId="3" fontId="10" fillId="2" borderId="0" xfId="27" applyNumberFormat="1" applyFont="1" applyFill="1" applyAlignment="1">
      <alignment horizontal="right"/>
    </xf>
    <xf numFmtId="3" fontId="14" fillId="2" borderId="0" xfId="27" applyNumberFormat="1" applyFont="1" applyFill="1" applyAlignment="1">
      <alignment horizontal="right"/>
    </xf>
    <xf numFmtId="3" fontId="4" fillId="2" borderId="0" xfId="27" applyNumberFormat="1" applyFont="1" applyFill="1" applyAlignment="1">
      <alignment horizontal="right"/>
    </xf>
    <xf numFmtId="10" fontId="4" fillId="2" borderId="0" xfId="27" applyNumberFormat="1" applyFont="1" applyFill="1"/>
    <xf numFmtId="0" fontId="4" fillId="2" borderId="0" xfId="27" applyFont="1" applyFill="1" applyAlignment="1">
      <alignment horizontal="left"/>
    </xf>
    <xf numFmtId="169" fontId="4" fillId="2" borderId="0" xfId="27" applyNumberFormat="1" applyFont="1" applyFill="1"/>
    <xf numFmtId="169" fontId="67" fillId="2" borderId="0" xfId="27" applyNumberFormat="1" applyFont="1" applyFill="1"/>
    <xf numFmtId="10" fontId="4" fillId="2" borderId="0" xfId="27" applyNumberFormat="1" applyFont="1" applyFill="1" applyAlignment="1">
      <alignment horizontal="right" vertical="center"/>
    </xf>
    <xf numFmtId="3" fontId="4" fillId="2" borderId="0" xfId="27" quotePrefix="1" applyNumberFormat="1" applyFont="1" applyFill="1"/>
    <xf numFmtId="169" fontId="31" fillId="2" borderId="0" xfId="27" applyNumberFormat="1" applyFont="1" applyFill="1"/>
    <xf numFmtId="169" fontId="10" fillId="2" borderId="0" xfId="27" applyNumberFormat="1" applyFont="1" applyFill="1"/>
    <xf numFmtId="0" fontId="10" fillId="2" borderId="0" xfId="27" applyFont="1" applyFill="1"/>
    <xf numFmtId="10" fontId="10" fillId="2" borderId="0" xfId="27" applyNumberFormat="1" applyFont="1" applyFill="1" applyAlignment="1">
      <alignment horizontal="right" vertical="center"/>
    </xf>
    <xf numFmtId="0" fontId="57" fillId="2" borderId="0" xfId="27" applyFont="1" applyFill="1" applyAlignment="1">
      <alignment horizontal="left"/>
    </xf>
    <xf numFmtId="4" fontId="4" fillId="2" borderId="0" xfId="27" applyNumberFormat="1" applyFont="1" applyFill="1"/>
    <xf numFmtId="164" fontId="4" fillId="2" borderId="0" xfId="28" applyNumberFormat="1" applyFont="1" applyFill="1"/>
    <xf numFmtId="3" fontId="4" fillId="2" borderId="0" xfId="28" applyNumberFormat="1" applyFont="1" applyFill="1"/>
    <xf numFmtId="0" fontId="14" fillId="2" borderId="0" xfId="27" applyFont="1" applyFill="1" applyAlignment="1">
      <alignment horizontal="left"/>
    </xf>
    <xf numFmtId="169" fontId="48" fillId="2" borderId="0" xfId="27" applyNumberFormat="1" applyFont="1" applyFill="1" applyAlignment="1">
      <alignment horizontal="right"/>
    </xf>
    <xf numFmtId="169" fontId="4" fillId="2" borderId="0" xfId="27" applyNumberFormat="1" applyFont="1" applyFill="1" applyAlignment="1">
      <alignment horizontal="right"/>
    </xf>
    <xf numFmtId="0" fontId="11" fillId="2" borderId="43" xfId="27" applyFont="1" applyFill="1" applyBorder="1" applyAlignment="1">
      <alignment horizontal="left"/>
    </xf>
    <xf numFmtId="169" fontId="31" fillId="2" borderId="43" xfId="27" applyNumberFormat="1" applyFont="1" applyFill="1" applyBorder="1"/>
    <xf numFmtId="169" fontId="10" fillId="2" borderId="43" xfId="27" applyNumberFormat="1" applyFont="1" applyFill="1" applyBorder="1"/>
    <xf numFmtId="0" fontId="10" fillId="2" borderId="43" xfId="27" applyFont="1" applyFill="1" applyBorder="1"/>
    <xf numFmtId="10" fontId="10" fillId="2" borderId="43" xfId="27" applyNumberFormat="1" applyFont="1" applyFill="1" applyBorder="1" applyAlignment="1">
      <alignment horizontal="right" vertical="center"/>
    </xf>
    <xf numFmtId="0" fontId="48" fillId="2" borderId="0" xfId="27" applyFont="1" applyFill="1"/>
    <xf numFmtId="2" fontId="4" fillId="2" borderId="0" xfId="27" applyNumberFormat="1" applyFont="1" applyFill="1"/>
    <xf numFmtId="3" fontId="48" fillId="2" borderId="0" xfId="27" applyNumberFormat="1" applyFont="1" applyFill="1"/>
    <xf numFmtId="0" fontId="59" fillId="2" borderId="0" xfId="27" applyFont="1" applyFill="1"/>
    <xf numFmtId="0" fontId="33" fillId="2" borderId="0" xfId="27" applyFont="1" applyFill="1"/>
    <xf numFmtId="167" fontId="33" fillId="2" borderId="0" xfId="12" applyNumberFormat="1" applyFont="1" applyFill="1" applyAlignment="1"/>
    <xf numFmtId="3" fontId="68" fillId="2" borderId="0" xfId="27" applyNumberFormat="1" applyFont="1" applyFill="1"/>
    <xf numFmtId="0" fontId="36" fillId="2" borderId="0" xfId="29" applyFont="1" applyFill="1"/>
    <xf numFmtId="0" fontId="68" fillId="2" borderId="0" xfId="0" applyFont="1" applyFill="1"/>
    <xf numFmtId="0" fontId="36" fillId="2" borderId="0" xfId="29" applyFont="1" applyFill="1" applyAlignment="1">
      <alignment horizontal="left" vertical="center"/>
    </xf>
    <xf numFmtId="3" fontId="33" fillId="2" borderId="0" xfId="27" applyNumberFormat="1" applyFont="1" applyFill="1"/>
    <xf numFmtId="10" fontId="68" fillId="2" borderId="0" xfId="27" applyNumberFormat="1" applyFont="1" applyFill="1"/>
    <xf numFmtId="0" fontId="33" fillId="2" borderId="0" xfId="27" applyFont="1" applyFill="1" applyAlignment="1">
      <alignment horizontal="left" vertical="center"/>
    </xf>
    <xf numFmtId="0" fontId="68" fillId="2" borderId="0" xfId="27" applyFont="1" applyFill="1" applyAlignment="1">
      <alignment horizontal="left" vertical="center"/>
    </xf>
    <xf numFmtId="0" fontId="36" fillId="2" borderId="0" xfId="3" applyFont="1" applyFill="1" applyAlignment="1">
      <alignment horizontal="left" indent="1"/>
    </xf>
    <xf numFmtId="0" fontId="36" fillId="2" borderId="0" xfId="3" applyFont="1" applyFill="1" applyAlignment="1">
      <alignment horizontal="left"/>
    </xf>
    <xf numFmtId="0" fontId="33" fillId="2" borderId="0" xfId="27" applyFont="1" applyFill="1" applyAlignment="1">
      <alignment vertical="center" wrapText="1"/>
    </xf>
    <xf numFmtId="0" fontId="68" fillId="2" borderId="0" xfId="27" applyFont="1" applyFill="1" applyAlignment="1">
      <alignment vertical="center" wrapText="1"/>
    </xf>
    <xf numFmtId="0" fontId="69" fillId="0" borderId="0" xfId="27" applyFont="1"/>
    <xf numFmtId="169" fontId="69" fillId="0" borderId="0" xfId="27" applyNumberFormat="1" applyFont="1"/>
    <xf numFmtId="0" fontId="70" fillId="0" borderId="0" xfId="27" applyFont="1"/>
    <xf numFmtId="10" fontId="70" fillId="0" borderId="0" xfId="27" applyNumberFormat="1" applyFont="1"/>
    <xf numFmtId="10" fontId="70" fillId="0" borderId="0" xfId="29" applyNumberFormat="1" applyFont="1"/>
    <xf numFmtId="3" fontId="70" fillId="0" borderId="0" xfId="27" applyNumberFormat="1" applyFont="1"/>
    <xf numFmtId="9" fontId="66" fillId="4" borderId="0" xfId="29" applyNumberFormat="1" applyFont="1" applyFill="1" applyAlignment="1">
      <alignment horizontal="center" vertical="center"/>
    </xf>
    <xf numFmtId="0" fontId="31" fillId="2" borderId="0" xfId="27" applyFont="1" applyFill="1" applyAlignment="1">
      <alignment horizontal="center"/>
    </xf>
    <xf numFmtId="0" fontId="4" fillId="2" borderId="0" xfId="29" applyFont="1" applyFill="1"/>
    <xf numFmtId="10" fontId="4" fillId="2" borderId="0" xfId="29" applyNumberFormat="1" applyFont="1" applyFill="1"/>
    <xf numFmtId="10" fontId="4" fillId="2" borderId="0" xfId="29" applyNumberFormat="1" applyFont="1" applyFill="1" applyAlignment="1">
      <alignment horizontal="right" vertical="center"/>
    </xf>
    <xf numFmtId="10" fontId="10" fillId="2" borderId="0" xfId="29" applyNumberFormat="1" applyFont="1" applyFill="1" applyAlignment="1">
      <alignment horizontal="right" vertical="center"/>
    </xf>
    <xf numFmtId="0" fontId="48" fillId="2" borderId="0" xfId="29" applyFont="1" applyFill="1"/>
    <xf numFmtId="3" fontId="48" fillId="2" borderId="0" xfId="29" applyNumberFormat="1" applyFont="1" applyFill="1"/>
    <xf numFmtId="10" fontId="48" fillId="2" borderId="0" xfId="29" applyNumberFormat="1" applyFont="1" applyFill="1"/>
    <xf numFmtId="0" fontId="48" fillId="2" borderId="0" xfId="29" applyFont="1" applyFill="1" applyAlignment="1">
      <alignment horizontal="left" vertical="center"/>
    </xf>
    <xf numFmtId="0" fontId="48" fillId="2" borderId="0" xfId="29" applyFont="1" applyFill="1" applyAlignment="1">
      <alignment vertical="center" wrapText="1"/>
    </xf>
    <xf numFmtId="10" fontId="42" fillId="2" borderId="0" xfId="29" applyNumberFormat="1" applyFont="1" applyFill="1" applyAlignment="1">
      <alignment horizontal="center"/>
    </xf>
    <xf numFmtId="0" fontId="43" fillId="2" borderId="0" xfId="29" applyFont="1" applyFill="1"/>
    <xf numFmtId="10" fontId="43" fillId="2" borderId="0" xfId="29" applyNumberFormat="1" applyFont="1" applyFill="1"/>
    <xf numFmtId="10" fontId="43" fillId="2" borderId="0" xfId="29" applyNumberFormat="1" applyFont="1" applyFill="1" applyAlignment="1">
      <alignment horizontal="right" vertical="center"/>
    </xf>
    <xf numFmtId="9" fontId="43" fillId="2" borderId="0" xfId="29" applyNumberFormat="1" applyFont="1" applyFill="1" applyAlignment="1">
      <alignment horizontal="center" vertical="center"/>
    </xf>
    <xf numFmtId="10" fontId="10" fillId="2" borderId="0" xfId="0" applyNumberFormat="1" applyFont="1" applyFill="1" applyAlignment="1">
      <alignment horizontal="center"/>
    </xf>
    <xf numFmtId="10" fontId="12" fillId="2" borderId="0" xfId="19" applyNumberFormat="1" applyFont="1" applyFill="1" applyAlignment="1">
      <alignment horizontal="right"/>
    </xf>
    <xf numFmtId="10" fontId="4" fillId="2" borderId="0" xfId="0" applyNumberFormat="1" applyFont="1" applyFill="1" applyAlignment="1">
      <alignment horizontal="center"/>
    </xf>
    <xf numFmtId="10" fontId="4" fillId="2" borderId="0" xfId="0" applyNumberFormat="1" applyFont="1" applyFill="1"/>
    <xf numFmtId="10" fontId="12" fillId="2" borderId="0" xfId="0" applyNumberFormat="1" applyFont="1" applyFill="1"/>
    <xf numFmtId="169" fontId="4" fillId="2" borderId="0" xfId="0" applyNumberFormat="1" applyFont="1" applyFill="1" applyAlignment="1">
      <alignment horizontal="right"/>
    </xf>
    <xf numFmtId="169" fontId="61" fillId="2" borderId="0" xfId="0" applyNumberFormat="1" applyFont="1" applyFill="1" applyAlignment="1">
      <alignment horizontal="right"/>
    </xf>
    <xf numFmtId="10" fontId="61" fillId="2" borderId="0" xfId="0" applyNumberFormat="1" applyFont="1" applyFill="1" applyAlignment="1">
      <alignment horizontal="right"/>
    </xf>
    <xf numFmtId="10" fontId="4" fillId="2" borderId="0" xfId="0" applyNumberFormat="1" applyFont="1" applyFill="1" applyAlignment="1">
      <alignment horizontal="right"/>
    </xf>
    <xf numFmtId="3" fontId="61" fillId="2" borderId="0" xfId="0" applyNumberFormat="1" applyFont="1" applyFill="1" applyAlignment="1">
      <alignment horizontal="right"/>
    </xf>
    <xf numFmtId="10" fontId="61" fillId="2" borderId="41" xfId="0" applyNumberFormat="1" applyFont="1" applyFill="1" applyBorder="1" applyAlignment="1">
      <alignment horizontal="right"/>
    </xf>
    <xf numFmtId="0" fontId="10" fillId="2" borderId="45" xfId="0" applyFont="1" applyFill="1" applyBorder="1"/>
    <xf numFmtId="164" fontId="31" fillId="2" borderId="45" xfId="0" applyNumberFormat="1" applyFont="1" applyFill="1" applyBorder="1"/>
    <xf numFmtId="164" fontId="58" fillId="2" borderId="45" xfId="0" applyNumberFormat="1" applyFont="1" applyFill="1" applyBorder="1"/>
    <xf numFmtId="0" fontId="61" fillId="2" borderId="45" xfId="0" applyFont="1" applyFill="1" applyBorder="1"/>
    <xf numFmtId="10" fontId="58" fillId="2" borderId="0" xfId="0" applyNumberFormat="1" applyFont="1" applyFill="1" applyAlignment="1">
      <alignment horizontal="right"/>
    </xf>
    <xf numFmtId="10" fontId="10" fillId="2" borderId="0" xfId="0" applyNumberFormat="1" applyFont="1" applyFill="1" applyAlignment="1">
      <alignment horizontal="right"/>
    </xf>
    <xf numFmtId="169" fontId="48" fillId="2" borderId="0" xfId="0" applyNumberFormat="1" applyFont="1" applyFill="1" applyAlignment="1">
      <alignment horizontal="right"/>
    </xf>
    <xf numFmtId="10" fontId="61" fillId="2" borderId="46" xfId="0" applyNumberFormat="1" applyFont="1" applyFill="1" applyBorder="1" applyAlignment="1">
      <alignment horizontal="right"/>
    </xf>
    <xf numFmtId="10" fontId="12" fillId="2" borderId="0" xfId="19" applyNumberFormat="1" applyFont="1" applyFill="1" applyAlignment="1">
      <alignment horizontal="left"/>
    </xf>
    <xf numFmtId="165" fontId="12" fillId="2" borderId="0" xfId="19" applyNumberFormat="1" applyFont="1" applyFill="1" applyAlignment="1">
      <alignment horizontal="right"/>
    </xf>
    <xf numFmtId="3" fontId="48" fillId="2" borderId="0" xfId="0" applyNumberFormat="1" applyFont="1" applyFill="1" applyAlignment="1">
      <alignment horizontal="right"/>
    </xf>
    <xf numFmtId="10" fontId="71" fillId="2" borderId="0" xfId="19" applyNumberFormat="1" applyFont="1" applyFill="1" applyAlignment="1">
      <alignment horizontal="left"/>
    </xf>
    <xf numFmtId="10" fontId="61" fillId="2" borderId="47" xfId="0" applyNumberFormat="1" applyFont="1" applyFill="1" applyBorder="1" applyAlignment="1">
      <alignment horizontal="right"/>
    </xf>
    <xf numFmtId="10" fontId="58" fillId="2" borderId="48" xfId="0" applyNumberFormat="1" applyFont="1" applyFill="1" applyBorder="1" applyAlignment="1">
      <alignment horizontal="right"/>
    </xf>
    <xf numFmtId="164" fontId="76" fillId="2" borderId="0" xfId="8" applyNumberFormat="1" applyFont="1" applyFill="1" applyAlignment="1"/>
    <xf numFmtId="0" fontId="76" fillId="2" borderId="0" xfId="0" applyFont="1" applyFill="1"/>
    <xf numFmtId="10" fontId="76" fillId="2" borderId="0" xfId="0" applyNumberFormat="1" applyFont="1" applyFill="1" applyAlignment="1">
      <alignment horizontal="center"/>
    </xf>
    <xf numFmtId="10" fontId="33" fillId="2" borderId="0" xfId="0" applyNumberFormat="1" applyFont="1" applyFill="1" applyAlignment="1">
      <alignment horizontal="center"/>
    </xf>
    <xf numFmtId="10" fontId="33" fillId="2" borderId="0" xfId="0" applyNumberFormat="1" applyFont="1" applyFill="1"/>
    <xf numFmtId="10" fontId="46" fillId="2" borderId="0" xfId="8" applyNumberFormat="1" applyFont="1" applyFill="1"/>
    <xf numFmtId="0" fontId="19" fillId="2" borderId="0" xfId="0" applyFont="1" applyFill="1"/>
    <xf numFmtId="10" fontId="43" fillId="2" borderId="0" xfId="0" applyNumberFormat="1" applyFont="1" applyFill="1"/>
    <xf numFmtId="0" fontId="71" fillId="2" borderId="0" xfId="0" applyFont="1" applyFill="1" applyAlignment="1">
      <alignment horizontal="center"/>
    </xf>
    <xf numFmtId="169" fontId="4" fillId="2" borderId="0" xfId="0" applyNumberFormat="1" applyFont="1" applyFill="1"/>
    <xf numFmtId="169" fontId="61" fillId="2" borderId="0" xfId="0" applyNumberFormat="1" applyFont="1" applyFill="1"/>
    <xf numFmtId="9" fontId="72" fillId="2" borderId="0" xfId="8" applyFont="1" applyFill="1" applyAlignment="1"/>
    <xf numFmtId="10" fontId="73" fillId="2" borderId="0" xfId="0" applyNumberFormat="1" applyFont="1" applyFill="1"/>
    <xf numFmtId="10" fontId="74" fillId="2" borderId="0" xfId="0" applyNumberFormat="1" applyFont="1" applyFill="1"/>
    <xf numFmtId="3" fontId="61" fillId="2" borderId="0" xfId="0" applyNumberFormat="1" applyFont="1" applyFill="1"/>
    <xf numFmtId="0" fontId="4" fillId="2" borderId="0" xfId="0" applyFont="1" applyFill="1" applyAlignment="1">
      <alignment vertical="top"/>
    </xf>
    <xf numFmtId="3" fontId="4" fillId="2" borderId="0" xfId="0" applyNumberFormat="1" applyFont="1" applyFill="1" applyAlignment="1">
      <alignment vertical="top"/>
    </xf>
    <xf numFmtId="3" fontId="61" fillId="2" borderId="0" xfId="0" applyNumberFormat="1" applyFont="1" applyFill="1" applyAlignment="1">
      <alignment vertical="top"/>
    </xf>
    <xf numFmtId="169" fontId="31" fillId="2" borderId="45" xfId="0" applyNumberFormat="1" applyFont="1" applyFill="1" applyBorder="1"/>
    <xf numFmtId="169" fontId="58" fillId="2" borderId="45" xfId="0" applyNumberFormat="1" applyFont="1" applyFill="1" applyBorder="1"/>
    <xf numFmtId="169" fontId="12" fillId="2" borderId="0" xfId="0" applyNumberFormat="1" applyFont="1" applyFill="1"/>
    <xf numFmtId="10" fontId="72" fillId="2" borderId="0" xfId="0" applyNumberFormat="1" applyFont="1" applyFill="1"/>
    <xf numFmtId="169" fontId="48" fillId="2" borderId="0" xfId="0" applyNumberFormat="1" applyFont="1" applyFill="1"/>
    <xf numFmtId="172" fontId="31" fillId="2" borderId="0" xfId="0" applyNumberFormat="1" applyFont="1" applyFill="1"/>
    <xf numFmtId="172" fontId="58" fillId="2" borderId="0" xfId="0" applyNumberFormat="1" applyFont="1" applyFill="1"/>
    <xf numFmtId="172" fontId="12" fillId="2" borderId="0" xfId="0" applyNumberFormat="1" applyFont="1" applyFill="1"/>
    <xf numFmtId="10" fontId="76" fillId="2" borderId="0" xfId="0" applyNumberFormat="1" applyFont="1" applyFill="1"/>
    <xf numFmtId="0" fontId="62" fillId="2" borderId="0" xfId="24" applyFont="1" applyFill="1" applyAlignment="1">
      <alignment horizontal="left"/>
    </xf>
    <xf numFmtId="42" fontId="36" fillId="2" borderId="0" xfId="0" applyNumberFormat="1" applyFont="1" applyFill="1"/>
    <xf numFmtId="41" fontId="36" fillId="2" borderId="0" xfId="0" applyNumberFormat="1" applyFont="1" applyFill="1"/>
    <xf numFmtId="9" fontId="77" fillId="2" borderId="0" xfId="8" applyFont="1" applyFill="1" applyAlignment="1"/>
    <xf numFmtId="9" fontId="33" fillId="2" borderId="0" xfId="8" applyFont="1" applyFill="1" applyAlignment="1"/>
    <xf numFmtId="41" fontId="36" fillId="2" borderId="0" xfId="0" applyNumberFormat="1" applyFont="1" applyFill="1" applyAlignment="1">
      <alignment horizontal="left"/>
    </xf>
    <xf numFmtId="0" fontId="78" fillId="2" borderId="0" xfId="24" applyFont="1" applyFill="1" applyAlignment="1">
      <alignment horizontal="left"/>
    </xf>
    <xf numFmtId="0" fontId="4" fillId="3" borderId="0" xfId="1" applyFont="1" applyFill="1" applyAlignment="1">
      <alignment horizontal="center"/>
    </xf>
    <xf numFmtId="167" fontId="7" fillId="0" borderId="0" xfId="30" applyNumberFormat="1" applyFont="1"/>
    <xf numFmtId="167" fontId="0" fillId="0" borderId="0" xfId="30" applyNumberFormat="1" applyFont="1"/>
    <xf numFmtId="0" fontId="57" fillId="0" borderId="0" xfId="0" applyFont="1"/>
    <xf numFmtId="0" fontId="34" fillId="0" borderId="0" xfId="0" applyFont="1"/>
    <xf numFmtId="0" fontId="4" fillId="2" borderId="0" xfId="0" applyFont="1" applyFill="1" applyAlignment="1">
      <alignment horizontal="left"/>
    </xf>
    <xf numFmtId="0" fontId="42" fillId="2" borderId="44" xfId="3" applyFont="1" applyFill="1" applyBorder="1"/>
    <xf numFmtId="0" fontId="42" fillId="2" borderId="43" xfId="0" applyFont="1" applyFill="1" applyBorder="1"/>
    <xf numFmtId="0" fontId="42" fillId="2" borderId="41" xfId="3" applyFont="1" applyFill="1" applyBorder="1" applyAlignment="1">
      <alignment horizontal="center"/>
    </xf>
    <xf numFmtId="41" fontId="13" fillId="2" borderId="0" xfId="0" applyNumberFormat="1" applyFont="1" applyFill="1"/>
    <xf numFmtId="41" fontId="19" fillId="2" borderId="3" xfId="3" applyNumberFormat="1" applyFont="1" applyFill="1" applyBorder="1" applyAlignment="1">
      <alignment horizontal="left" vertical="top"/>
    </xf>
    <xf numFmtId="41" fontId="10" fillId="2" borderId="3" xfId="3" applyNumberFormat="1" applyFont="1" applyFill="1" applyBorder="1"/>
    <xf numFmtId="41" fontId="19" fillId="2" borderId="3" xfId="3" applyNumberFormat="1" applyFont="1" applyFill="1" applyBorder="1" applyAlignment="1">
      <alignment horizontal="centerContinuous" vertical="top"/>
    </xf>
    <xf numFmtId="41" fontId="10" fillId="2" borderId="7" xfId="3" applyNumberFormat="1" applyFont="1" applyFill="1" applyBorder="1" applyAlignment="1">
      <alignment horizontal="center" wrapText="1"/>
    </xf>
    <xf numFmtId="41" fontId="0" fillId="2" borderId="0" xfId="0" applyNumberFormat="1" applyFill="1" applyAlignment="1">
      <alignment horizontal="right"/>
    </xf>
    <xf numFmtId="41" fontId="13" fillId="2" borderId="5" xfId="0" applyNumberFormat="1" applyFont="1" applyFill="1" applyBorder="1" applyAlignment="1">
      <alignment horizontal="right"/>
    </xf>
    <xf numFmtId="41" fontId="18" fillId="2" borderId="0" xfId="0" applyNumberFormat="1" applyFont="1" applyFill="1"/>
    <xf numFmtId="41" fontId="13" fillId="2" borderId="5" xfId="0" applyNumberFormat="1" applyFont="1" applyFill="1" applyBorder="1"/>
    <xf numFmtId="41" fontId="7" fillId="2" borderId="0" xfId="0" applyNumberFormat="1" applyFont="1" applyFill="1"/>
    <xf numFmtId="41" fontId="0" fillId="0" borderId="0" xfId="0" applyNumberFormat="1"/>
    <xf numFmtId="43" fontId="13" fillId="2" borderId="0" xfId="0" applyNumberFormat="1" applyFont="1" applyFill="1"/>
    <xf numFmtId="43" fontId="19" fillId="2" borderId="3" xfId="3" applyNumberFormat="1" applyFont="1" applyFill="1" applyBorder="1" applyAlignment="1">
      <alignment horizontal="left" vertical="top"/>
    </xf>
    <xf numFmtId="43" fontId="10" fillId="2" borderId="7" xfId="3" applyNumberFormat="1" applyFont="1" applyFill="1" applyBorder="1" applyAlignment="1">
      <alignment horizontal="center" wrapText="1"/>
    </xf>
    <xf numFmtId="43" fontId="0" fillId="2" borderId="0" xfId="0" applyNumberFormat="1" applyFill="1" applyAlignment="1">
      <alignment horizontal="right"/>
    </xf>
    <xf numFmtId="43" fontId="13" fillId="2" borderId="5" xfId="0" applyNumberFormat="1" applyFont="1" applyFill="1" applyBorder="1" applyAlignment="1">
      <alignment horizontal="right"/>
    </xf>
    <xf numFmtId="43" fontId="18" fillId="2" borderId="0" xfId="0" applyNumberFormat="1" applyFont="1" applyFill="1"/>
    <xf numFmtId="43" fontId="0" fillId="2" borderId="0" xfId="0" applyNumberFormat="1" applyFill="1"/>
    <xf numFmtId="43" fontId="13" fillId="2" borderId="5" xfId="0" applyNumberFormat="1" applyFont="1" applyFill="1" applyBorder="1"/>
    <xf numFmtId="43" fontId="7" fillId="2" borderId="0" xfId="0" applyNumberFormat="1" applyFont="1" applyFill="1"/>
    <xf numFmtId="43" fontId="0" fillId="0" borderId="0" xfId="0" applyNumberFormat="1"/>
    <xf numFmtId="43" fontId="13" fillId="2" borderId="0" xfId="0" applyNumberFormat="1" applyFont="1" applyFill="1" applyAlignment="1">
      <alignment horizontal="center"/>
    </xf>
    <xf numFmtId="43" fontId="19" fillId="2" borderId="3" xfId="3" applyNumberFormat="1" applyFont="1" applyFill="1" applyBorder="1" applyAlignment="1">
      <alignment horizontal="centerContinuous" vertical="top"/>
    </xf>
    <xf numFmtId="43" fontId="0" fillId="2" borderId="0" xfId="0" applyNumberFormat="1" applyFill="1" applyAlignment="1">
      <alignment horizontal="center"/>
    </xf>
    <xf numFmtId="43" fontId="7" fillId="2" borderId="0" xfId="0" applyNumberFormat="1" applyFont="1" applyFill="1" applyAlignment="1">
      <alignment horizontal="center"/>
    </xf>
    <xf numFmtId="43" fontId="0" fillId="0" borderId="0" xfId="0" applyNumberFormat="1" applyAlignment="1">
      <alignment horizontal="center"/>
    </xf>
    <xf numFmtId="41" fontId="41" fillId="2" borderId="0" xfId="0" applyNumberFormat="1" applyFont="1" applyFill="1"/>
    <xf numFmtId="41" fontId="42" fillId="2" borderId="0" xfId="0" applyNumberFormat="1" applyFont="1" applyFill="1"/>
    <xf numFmtId="41" fontId="42" fillId="2" borderId="44" xfId="3" applyNumberFormat="1" applyFont="1" applyFill="1" applyBorder="1"/>
    <xf numFmtId="41" fontId="42" fillId="2" borderId="41" xfId="3" applyNumberFormat="1" applyFont="1" applyFill="1" applyBorder="1" applyAlignment="1">
      <alignment horizontal="center"/>
    </xf>
    <xf numFmtId="41" fontId="43" fillId="2" borderId="0" xfId="0" applyNumberFormat="1" applyFont="1" applyFill="1"/>
    <xf numFmtId="41" fontId="42" fillId="2" borderId="43" xfId="0" applyNumberFormat="1" applyFont="1" applyFill="1" applyBorder="1"/>
    <xf numFmtId="41" fontId="45" fillId="2" borderId="0" xfId="0" applyNumberFormat="1" applyFont="1" applyFill="1"/>
    <xf numFmtId="41" fontId="44" fillId="2" borderId="0" xfId="0" applyNumberFormat="1" applyFont="1" applyFill="1"/>
    <xf numFmtId="41" fontId="43" fillId="0" borderId="0" xfId="0" applyNumberFormat="1" applyFont="1"/>
    <xf numFmtId="167" fontId="0" fillId="2" borderId="0" xfId="0" applyNumberFormat="1" applyFill="1" applyAlignment="1">
      <alignment horizontal="right"/>
    </xf>
    <xf numFmtId="5" fontId="4" fillId="2" borderId="0" xfId="4" applyNumberFormat="1" applyFont="1" applyFill="1" applyAlignment="1">
      <alignment horizontal="right"/>
    </xf>
    <xf numFmtId="7" fontId="4" fillId="2" borderId="0" xfId="4" applyNumberFormat="1" applyFont="1" applyFill="1" applyAlignment="1">
      <alignment horizontal="right"/>
    </xf>
    <xf numFmtId="41" fontId="4" fillId="2" borderId="0" xfId="4" applyNumberFormat="1" applyFont="1" applyFill="1" applyAlignment="1">
      <alignment horizontal="right"/>
    </xf>
    <xf numFmtId="173" fontId="4" fillId="2" borderId="0" xfId="4" applyNumberFormat="1" applyFont="1" applyFill="1" applyAlignment="1">
      <alignment horizontal="right"/>
    </xf>
    <xf numFmtId="10" fontId="10" fillId="2" borderId="0" xfId="4" applyNumberFormat="1" applyFont="1" applyFill="1"/>
    <xf numFmtId="3" fontId="10" fillId="2" borderId="0" xfId="0" applyNumberFormat="1" applyFont="1" applyFill="1" applyAlignment="1">
      <alignment horizontal="center"/>
    </xf>
    <xf numFmtId="0" fontId="19" fillId="2" borderId="44" xfId="3" applyFont="1" applyFill="1" applyBorder="1" applyAlignment="1">
      <alignment horizontal="centerContinuous" vertical="center"/>
    </xf>
    <xf numFmtId="0" fontId="19" fillId="2" borderId="44" xfId="3" applyFont="1" applyFill="1" applyBorder="1" applyAlignment="1">
      <alignment horizontal="centerContinuous"/>
    </xf>
    <xf numFmtId="10" fontId="10" fillId="2" borderId="41" xfId="4" applyNumberFormat="1" applyFont="1" applyFill="1" applyBorder="1" applyAlignment="1">
      <alignment horizontal="center" wrapText="1"/>
    </xf>
    <xf numFmtId="10" fontId="4" fillId="2" borderId="0" xfId="4" applyNumberFormat="1" applyFont="1" applyFill="1"/>
    <xf numFmtId="3" fontId="4" fillId="2" borderId="0" xfId="0" applyNumberFormat="1" applyFont="1" applyFill="1" applyAlignment="1">
      <alignment horizontal="center"/>
    </xf>
    <xf numFmtId="5" fontId="10" fillId="2" borderId="43" xfId="4" applyNumberFormat="1" applyFont="1" applyFill="1" applyBorder="1"/>
    <xf numFmtId="7" fontId="10" fillId="2" borderId="43" xfId="4" applyNumberFormat="1" applyFont="1" applyFill="1" applyBorder="1"/>
    <xf numFmtId="7" fontId="10" fillId="2" borderId="43" xfId="0" applyNumberFormat="1" applyFont="1" applyFill="1" applyBorder="1"/>
    <xf numFmtId="42" fontId="0" fillId="2" borderId="0" xfId="0" applyNumberFormat="1" applyFill="1" applyAlignment="1">
      <alignment horizontal="right"/>
    </xf>
    <xf numFmtId="0" fontId="0" fillId="2" borderId="0" xfId="0" applyFill="1" applyAlignment="1">
      <alignment horizontal="left"/>
    </xf>
    <xf numFmtId="3" fontId="0" fillId="2" borderId="0" xfId="23" applyNumberFormat="1" applyFont="1" applyFill="1" applyBorder="1" applyAlignment="1">
      <alignment horizontal="right"/>
    </xf>
    <xf numFmtId="0" fontId="0" fillId="2" borderId="7" xfId="0" applyFill="1" applyBorder="1" applyAlignment="1">
      <alignment horizontal="left" vertical="top"/>
    </xf>
    <xf numFmtId="0" fontId="4" fillId="2" borderId="7" xfId="0" applyFont="1" applyFill="1" applyBorder="1" applyAlignment="1">
      <alignment horizontal="left"/>
    </xf>
    <xf numFmtId="0" fontId="0" fillId="2" borderId="7" xfId="0" applyFill="1" applyBorder="1" applyAlignment="1">
      <alignment horizontal="left"/>
    </xf>
    <xf numFmtId="3" fontId="4" fillId="2" borderId="0" xfId="23" applyNumberFormat="1" applyFont="1" applyFill="1" applyBorder="1" applyAlignment="1">
      <alignment horizontal="right"/>
    </xf>
    <xf numFmtId="43" fontId="4" fillId="2" borderId="0" xfId="4" applyNumberFormat="1" applyFont="1" applyFill="1" applyAlignment="1">
      <alignment horizontal="right"/>
    </xf>
    <xf numFmtId="0" fontId="15" fillId="2" borderId="0" xfId="2" applyFill="1"/>
    <xf numFmtId="0" fontId="15" fillId="2" borderId="0" xfId="2" quotePrefix="1" applyFill="1" applyAlignment="1">
      <alignment horizontal="right"/>
    </xf>
    <xf numFmtId="0" fontId="79" fillId="0" borderId="0" xfId="2" applyFont="1" applyAlignment="1" applyProtection="1">
      <alignment horizontal="right"/>
    </xf>
    <xf numFmtId="0" fontId="79" fillId="0" borderId="0" xfId="2" applyFont="1" applyAlignment="1" applyProtection="1">
      <alignment horizontal="left"/>
    </xf>
    <xf numFmtId="0" fontId="0" fillId="0" borderId="0" xfId="0" applyAlignment="1">
      <alignment horizontal="left"/>
    </xf>
    <xf numFmtId="0" fontId="7" fillId="0" borderId="0" xfId="0" applyFont="1" applyAlignment="1">
      <alignment horizontal="left"/>
    </xf>
    <xf numFmtId="0" fontId="15" fillId="2" borderId="0" xfId="2" applyFill="1" applyAlignment="1">
      <alignment horizontal="right"/>
    </xf>
    <xf numFmtId="0" fontId="17" fillId="0" borderId="0" xfId="0" applyFont="1" applyAlignment="1">
      <alignment horizontal="left"/>
    </xf>
    <xf numFmtId="0" fontId="1" fillId="0" borderId="0" xfId="0" applyFont="1" applyAlignment="1">
      <alignment horizontal="left"/>
    </xf>
    <xf numFmtId="0" fontId="6" fillId="0" borderId="0" xfId="0" applyFont="1" applyAlignment="1">
      <alignment horizontal="left"/>
    </xf>
    <xf numFmtId="0" fontId="80" fillId="2" borderId="0" xfId="2" applyFont="1" applyFill="1" applyAlignment="1" applyProtection="1"/>
    <xf numFmtId="41" fontId="10" fillId="2" borderId="7" xfId="3" applyNumberFormat="1" applyFont="1" applyFill="1" applyBorder="1" applyAlignment="1">
      <alignment horizontal="center"/>
    </xf>
    <xf numFmtId="0" fontId="10" fillId="2" borderId="7" xfId="3" applyFont="1" applyFill="1" applyBorder="1" applyAlignment="1">
      <alignment horizontal="left"/>
    </xf>
    <xf numFmtId="0" fontId="7" fillId="2" borderId="0" xfId="0" applyFont="1" applyFill="1" applyAlignment="1">
      <alignment horizontal="left" vertical="center"/>
    </xf>
    <xf numFmtId="164" fontId="4" fillId="2" borderId="0" xfId="1" applyNumberFormat="1" applyFont="1" applyFill="1" applyAlignment="1">
      <alignment horizontal="center"/>
    </xf>
    <xf numFmtId="0" fontId="36" fillId="2" borderId="0" xfId="0" applyFont="1" applyFill="1" applyAlignment="1">
      <alignment vertical="top" wrapText="1"/>
    </xf>
    <xf numFmtId="0" fontId="36" fillId="2" borderId="0" xfId="0" applyFont="1" applyFill="1" applyAlignment="1">
      <alignment horizontal="left" vertical="top" wrapText="1"/>
    </xf>
    <xf numFmtId="0" fontId="36" fillId="2" borderId="0" xfId="18" applyFont="1" applyFill="1" applyAlignment="1">
      <alignment vertical="top" wrapText="1"/>
    </xf>
    <xf numFmtId="0" fontId="4" fillId="2" borderId="0" xfId="26" applyFont="1" applyFill="1"/>
    <xf numFmtId="0" fontId="36" fillId="2" borderId="0" xfId="0" applyFont="1" applyFill="1" applyAlignment="1">
      <alignment wrapText="1"/>
    </xf>
    <xf numFmtId="0" fontId="0" fillId="0" borderId="0" xfId="0" applyAlignment="1">
      <alignment wrapText="1"/>
    </xf>
    <xf numFmtId="0" fontId="4" fillId="2" borderId="44" xfId="26" applyFont="1" applyFill="1" applyBorder="1"/>
    <xf numFmtId="0" fontId="10" fillId="2" borderId="0" xfId="26" applyFont="1" applyFill="1"/>
    <xf numFmtId="0" fontId="36" fillId="2" borderId="0" xfId="24" applyFont="1" applyFill="1" applyAlignment="1">
      <alignment horizontal="left" vertical="center" wrapText="1"/>
    </xf>
    <xf numFmtId="0" fontId="36" fillId="2" borderId="0" xfId="0" applyFont="1" applyFill="1" applyAlignment="1">
      <alignment vertical="center"/>
    </xf>
    <xf numFmtId="0" fontId="36" fillId="2" borderId="0" xfId="24" applyFont="1" applyFill="1" applyAlignment="1">
      <alignment vertical="center" wrapText="1"/>
    </xf>
    <xf numFmtId="0" fontId="62" fillId="2" borderId="0" xfId="24" applyFont="1" applyFill="1" applyAlignment="1">
      <alignment horizontal="left" vertical="center" wrapText="1"/>
    </xf>
    <xf numFmtId="41" fontId="59" fillId="2" borderId="0" xfId="20" applyNumberFormat="1" applyFont="1" applyFill="1" applyAlignment="1">
      <alignment horizontal="left" wrapText="1"/>
    </xf>
    <xf numFmtId="0" fontId="59" fillId="2" borderId="0" xfId="20" applyFont="1" applyFill="1" applyAlignment="1">
      <alignment wrapText="1"/>
    </xf>
    <xf numFmtId="41" fontId="59" fillId="2" borderId="0" xfId="20" applyNumberFormat="1" applyFont="1" applyFill="1" applyAlignment="1">
      <alignment wrapText="1"/>
    </xf>
    <xf numFmtId="37" fontId="59" fillId="2" borderId="0" xfId="20" applyNumberFormat="1" applyFont="1" applyFill="1" applyAlignment="1">
      <alignment horizontal="left"/>
    </xf>
    <xf numFmtId="0" fontId="0" fillId="0" borderId="0" xfId="0"/>
    <xf numFmtId="0" fontId="33" fillId="2" borderId="0" xfId="22" applyFont="1" applyFill="1" applyAlignment="1">
      <alignment horizontal="left" vertical="center" wrapText="1"/>
    </xf>
    <xf numFmtId="0" fontId="7" fillId="0" borderId="0" xfId="0" applyFont="1" applyAlignment="1">
      <alignment horizontal="left" vertical="center" wrapText="1"/>
    </xf>
    <xf numFmtId="0" fontId="7" fillId="2" borderId="0" xfId="0" applyFont="1" applyFill="1" applyAlignment="1">
      <alignment wrapText="1"/>
    </xf>
    <xf numFmtId="0" fontId="0" fillId="2" borderId="0" xfId="0" applyFill="1" applyAlignment="1">
      <alignment wrapText="1"/>
    </xf>
    <xf numFmtId="0" fontId="36" fillId="0" borderId="0" xfId="14" applyFont="1" applyAlignment="1">
      <alignment horizontal="left" vertical="center" wrapText="1"/>
    </xf>
    <xf numFmtId="0" fontId="36" fillId="0" borderId="0" xfId="0" applyFont="1" applyAlignment="1">
      <alignment vertical="center" wrapText="1"/>
    </xf>
    <xf numFmtId="0" fontId="0" fillId="0" borderId="0" xfId="0" applyAlignment="1">
      <alignment vertical="center" wrapText="1"/>
    </xf>
    <xf numFmtId="0" fontId="33" fillId="2" borderId="0" xfId="0" applyFont="1" applyFill="1" applyAlignment="1">
      <alignment horizontal="left" vertical="top" wrapText="1"/>
    </xf>
    <xf numFmtId="0" fontId="33" fillId="2" borderId="0" xfId="0" applyFont="1" applyFill="1" applyAlignment="1">
      <alignment vertical="top" wrapText="1"/>
    </xf>
    <xf numFmtId="0" fontId="33" fillId="2" borderId="0" xfId="7" applyFont="1" applyFill="1" applyAlignment="1">
      <alignment horizontal="left" vertical="top" wrapText="1"/>
    </xf>
    <xf numFmtId="0" fontId="36" fillId="2" borderId="0" xfId="20" applyFont="1" applyFill="1" applyAlignment="1">
      <alignment horizontal="left" vertical="top" wrapText="1"/>
    </xf>
    <xf numFmtId="0" fontId="36" fillId="2" borderId="0" xfId="0" applyFont="1" applyFill="1"/>
    <xf numFmtId="0" fontId="33" fillId="2" borderId="0" xfId="20" applyFont="1" applyFill="1" applyAlignment="1">
      <alignment vertical="top" wrapText="1"/>
    </xf>
    <xf numFmtId="0" fontId="7" fillId="2" borderId="0" xfId="0" applyFont="1" applyFill="1" applyAlignment="1">
      <alignment vertical="top" wrapText="1"/>
    </xf>
  </cellXfs>
  <cellStyles count="31">
    <cellStyle name="Comma" xfId="30" builtinId="3"/>
    <cellStyle name="Comma 2" xfId="12" xr:uid="{1FDDEDAD-5A5C-41E0-AADB-A116D0FD7125}"/>
    <cellStyle name="Comma 4" xfId="23" xr:uid="{FB8C4EE8-D7C4-489E-8BA2-48DDBD24EE0F}"/>
    <cellStyle name="Currency 3" xfId="25" xr:uid="{99A367F4-CE06-4C61-B4AD-E9BB40B74B79}"/>
    <cellStyle name="Hyperlink" xfId="2" builtinId="8"/>
    <cellStyle name="Normal" xfId="0" builtinId="0"/>
    <cellStyle name="Normal 2 2" xfId="27" xr:uid="{1EFC161A-38E5-4F26-9871-85FDBCD71193}"/>
    <cellStyle name="Normal 2 2 2" xfId="29" xr:uid="{23CFB045-E1A5-4889-9329-3FE72C57AC0F}"/>
    <cellStyle name="Normal 3" xfId="18" xr:uid="{9B353F16-3F41-454F-8568-CCE217820A3B}"/>
    <cellStyle name="Normal 3 2" xfId="19" xr:uid="{D7C0E15F-BB00-4BCC-B2B3-CB10F423258D}"/>
    <cellStyle name="Normal 4" xfId="22" xr:uid="{7B8A19F1-C55C-40CF-B76E-FD2C6F9AFD40}"/>
    <cellStyle name="Normal 6" xfId="5" xr:uid="{5DC667B2-CD99-4557-A10B-E750ECBBAFB3}"/>
    <cellStyle name="Normal_1998 Surveys 2" xfId="3" xr:uid="{D52E4F23-3803-4C72-89DA-2DA40214ED8D}"/>
    <cellStyle name="Normal_Annual Report FY 06_v2" xfId="15" xr:uid="{E96305DD-D5C7-4B74-8015-BA2928AD852F}"/>
    <cellStyle name="Normal_Annual Report FY 2004" xfId="28" xr:uid="{07C9A122-7D06-4381-82CA-34509D98F082}"/>
    <cellStyle name="Normal_Annual Report FY 2009 Final 12282009" xfId="21" xr:uid="{7B071A59-FC6B-4B4A-A4C1-FEB3060C7BA6}"/>
    <cellStyle name="Normal_AR99TBL2" xfId="20" xr:uid="{20C47EB2-1A98-4E84-8F63-F1DEE08517AB}"/>
    <cellStyle name="Normal_AR99TBL3" xfId="1" xr:uid="{4603E00E-0BF8-4573-8744-CFDF67ABE877}"/>
    <cellStyle name="Normal_AR99TBL3 2" xfId="6" xr:uid="{A18C3FAC-3121-4534-B911-FF1249CFA4F5}"/>
    <cellStyle name="Normal_Sheet1 2" xfId="10" xr:uid="{54F4D8A5-0FCD-41C8-A9EA-3C84D385433B}"/>
    <cellStyle name="Normal_Table 1.11 Checkoffs" xfId="24" xr:uid="{6BE51095-FA68-4DC9-892B-824491A72903}"/>
    <cellStyle name="Normal_Table 1.2–1.4" xfId="17" xr:uid="{2D67BB91-E8B1-4364-A08E-19BB5AF9B3CB}"/>
    <cellStyle name="Normal_Table 1.9 Debt Setoff - Report 138" xfId="26" xr:uid="{1920F76A-2391-4BA1-A1B9-87518BC11B89}"/>
    <cellStyle name="Normal_Table 3.4 2" xfId="13" xr:uid="{7CFCF67C-A747-411C-9F79-9D29B407399D}"/>
    <cellStyle name="Normal_Table 3_2" xfId="14" xr:uid="{6A753C8E-8765-4C74-87D2-BD73D6E85F5C}"/>
    <cellStyle name="Normal_Table 4.3, 4.4" xfId="9" xr:uid="{C27ED49F-12CE-4804-A829-70F30D1EAC09}"/>
    <cellStyle name="Normal_Table 4.3, 4.4 Bank Franchise" xfId="11" xr:uid="{29CA209D-EA35-4E20-BCB4-2378F6E16641}"/>
    <cellStyle name="Normal_Table_4.6_v6" xfId="7" xr:uid="{8B9EA840-5298-4C38-863A-DA08CC1C49FB}"/>
    <cellStyle name="Normal_Tables 1.2-1.8 2" xfId="16" xr:uid="{42D5EE70-EC8E-484B-80E8-418FBE25F321}"/>
    <cellStyle name="Percent" xfId="4" builtinId="5"/>
    <cellStyle name="Percent 2 2" xfId="8" xr:uid="{C92B43B7-B658-4C7D-980A-D845C6EFAC33}"/>
  </cellStyles>
  <dxfs count="3">
    <dxf>
      <font>
        <b/>
        <i/>
        <condense val="0"/>
        <extend val="0"/>
        <color indexed="10"/>
      </font>
    </dxf>
    <dxf>
      <font>
        <b/>
        <i/>
        <condense val="0"/>
        <extend val="0"/>
        <color indexed="10"/>
      </font>
    </dxf>
    <dxf>
      <font>
        <b/>
        <i/>
        <condense val="0"/>
        <extend val="0"/>
        <color indexed="10"/>
      </font>
    </dxf>
  </dxfs>
  <tableStyles count="0" defaultTableStyle="TableStyleMedium2" defaultPivotStyle="PivotStyleLight16"/>
  <colors>
    <mruColors>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xml"/><Relationship Id="rId1" Type="http://schemas.microsoft.com/office/2011/relationships/chartStyle" Target="style2.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pPr>
            <a:r>
              <a:rPr lang="en-US" b="1"/>
              <a:t>Commonwealth of Virginia Net Revenue Collections by Fiscal Year</a:t>
            </a:r>
          </a:p>
        </c:rich>
      </c:tx>
      <c:layout>
        <c:manualLayout>
          <c:xMode val="edge"/>
          <c:yMode val="edge"/>
          <c:x val="0.14350689754602158"/>
          <c:y val="4.8183018704747952E-3"/>
        </c:manualLayout>
      </c:layout>
      <c:overlay val="0"/>
      <c:spPr>
        <a:noFill/>
        <a:ln w="25400">
          <a:noFill/>
        </a:ln>
      </c:spPr>
    </c:title>
    <c:autoTitleDeleted val="0"/>
    <c:plotArea>
      <c:layout>
        <c:manualLayout>
          <c:layoutTarget val="inner"/>
          <c:xMode val="edge"/>
          <c:yMode val="edge"/>
          <c:x val="0.10345003623762421"/>
          <c:y val="7.6265492823788764E-2"/>
          <c:w val="0.87542087362007115"/>
          <c:h val="0.85125045821457157"/>
        </c:manualLayout>
      </c:layout>
      <c:barChart>
        <c:barDir val="col"/>
        <c:grouping val="clustered"/>
        <c:varyColors val="0"/>
        <c:ser>
          <c:idx val="0"/>
          <c:order val="0"/>
          <c:tx>
            <c:strRef>
              <c:f>RevExp!$B$6</c:f>
              <c:strCache>
                <c:ptCount val="1"/>
                <c:pt idx="0">
                  <c:v>General Fund ³</c:v>
                </c:pt>
              </c:strCache>
            </c:strRef>
          </c:tx>
          <c:spPr>
            <a:solidFill>
              <a:srgbClr val="008DCE"/>
            </a:solidFill>
            <a:ln w="12700">
              <a:solidFill>
                <a:schemeClr val="bg1">
                  <a:lumMod val="65000"/>
                </a:schemeClr>
              </a:solidFill>
              <a:prstDash val="solid"/>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RevExp!$H$3:$N$3</c:f>
              <c:strCache>
                <c:ptCount val="7"/>
                <c:pt idx="0">
                  <c:v>FY 2019</c:v>
                </c:pt>
                <c:pt idx="1">
                  <c:v>FY 2020</c:v>
                </c:pt>
                <c:pt idx="2">
                  <c:v>FY 2021</c:v>
                </c:pt>
                <c:pt idx="3">
                  <c:v>FY 2022</c:v>
                </c:pt>
                <c:pt idx="4">
                  <c:v>FY 2023</c:v>
                </c:pt>
                <c:pt idx="5">
                  <c:v>FY 2024</c:v>
                </c:pt>
                <c:pt idx="6">
                  <c:v>FY 2025</c:v>
                </c:pt>
              </c:strCache>
            </c:strRef>
          </c:cat>
          <c:val>
            <c:numRef>
              <c:f>RevExp!$H$6:$N$6</c:f>
              <c:numCache>
                <c:formatCode>[$$-409]#,##0</c:formatCode>
                <c:ptCount val="7"/>
                <c:pt idx="0">
                  <c:v>21467094000</c:v>
                </c:pt>
                <c:pt idx="1">
                  <c:v>21903571000</c:v>
                </c:pt>
                <c:pt idx="2">
                  <c:v>25083803000</c:v>
                </c:pt>
                <c:pt idx="3">
                  <c:v>29109249000</c:v>
                </c:pt>
                <c:pt idx="4">
                  <c:v>27909932000</c:v>
                </c:pt>
                <c:pt idx="5">
                  <c:v>29448224000</c:v>
                </c:pt>
                <c:pt idx="6">
                  <c:v>31233034000</c:v>
                </c:pt>
              </c:numCache>
            </c:numRef>
          </c:val>
          <c:extLst>
            <c:ext xmlns:c16="http://schemas.microsoft.com/office/drawing/2014/chart" uri="{C3380CC4-5D6E-409C-BE32-E72D297353CC}">
              <c16:uniqueId val="{00000000-0B31-4987-93A0-28D28FF4D402}"/>
            </c:ext>
          </c:extLst>
        </c:ser>
        <c:ser>
          <c:idx val="1"/>
          <c:order val="1"/>
          <c:tx>
            <c:strRef>
              <c:f>RevExp!$B$7</c:f>
              <c:strCache>
                <c:ptCount val="1"/>
                <c:pt idx="0">
                  <c:v>Non-General Fund</c:v>
                </c:pt>
              </c:strCache>
            </c:strRef>
          </c:tx>
          <c:spPr>
            <a:solidFill>
              <a:srgbClr val="71B330"/>
            </a:solidFill>
            <a:ln w="12700">
              <a:solidFill>
                <a:schemeClr val="bg1">
                  <a:lumMod val="65000"/>
                </a:schemeClr>
              </a:solidFill>
              <a:prstDash val="solid"/>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RevExp!$H$3:$N$3</c:f>
              <c:strCache>
                <c:ptCount val="7"/>
                <c:pt idx="0">
                  <c:v>FY 2019</c:v>
                </c:pt>
                <c:pt idx="1">
                  <c:v>FY 2020</c:v>
                </c:pt>
                <c:pt idx="2">
                  <c:v>FY 2021</c:v>
                </c:pt>
                <c:pt idx="3">
                  <c:v>FY 2022</c:v>
                </c:pt>
                <c:pt idx="4">
                  <c:v>FY 2023</c:v>
                </c:pt>
                <c:pt idx="5">
                  <c:v>FY 2024</c:v>
                </c:pt>
                <c:pt idx="6">
                  <c:v>FY 2025</c:v>
                </c:pt>
              </c:strCache>
            </c:strRef>
          </c:cat>
          <c:val>
            <c:numRef>
              <c:f>RevExp!$H$7:$N$7</c:f>
              <c:numCache>
                <c:formatCode>[$$-409]#,##0</c:formatCode>
                <c:ptCount val="7"/>
                <c:pt idx="0">
                  <c:v>29225445000</c:v>
                </c:pt>
                <c:pt idx="1">
                  <c:v>39119584000</c:v>
                </c:pt>
                <c:pt idx="2">
                  <c:v>50027817000</c:v>
                </c:pt>
                <c:pt idx="3">
                  <c:v>45991135000</c:v>
                </c:pt>
                <c:pt idx="4" formatCode="#,##0">
                  <c:v>46410721000</c:v>
                </c:pt>
                <c:pt idx="5" formatCode="#,##0">
                  <c:v>47487938000</c:v>
                </c:pt>
                <c:pt idx="6" formatCode="#,##0">
                  <c:v>49441883000</c:v>
                </c:pt>
              </c:numCache>
            </c:numRef>
          </c:val>
          <c:extLst>
            <c:ext xmlns:c16="http://schemas.microsoft.com/office/drawing/2014/chart" uri="{C3380CC4-5D6E-409C-BE32-E72D297353CC}">
              <c16:uniqueId val="{00000001-0B31-4987-93A0-28D28FF4D402}"/>
            </c:ext>
          </c:extLst>
        </c:ser>
        <c:dLbls>
          <c:showLegendKey val="0"/>
          <c:showVal val="0"/>
          <c:showCatName val="0"/>
          <c:showSerName val="0"/>
          <c:showPercent val="0"/>
          <c:showBubbleSize val="0"/>
        </c:dLbls>
        <c:gapWidth val="75"/>
        <c:axId val="160050560"/>
        <c:axId val="73057408"/>
      </c:barChart>
      <c:catAx>
        <c:axId val="16005056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n-US"/>
          </a:p>
        </c:txPr>
        <c:crossAx val="73057408"/>
        <c:crosses val="autoZero"/>
        <c:auto val="1"/>
        <c:lblAlgn val="ctr"/>
        <c:lblOffset val="100"/>
        <c:noMultiLvlLbl val="0"/>
      </c:catAx>
      <c:valAx>
        <c:axId val="73057408"/>
        <c:scaling>
          <c:orientation val="minMax"/>
          <c:max val="55000000000"/>
          <c:min val="0"/>
        </c:scaling>
        <c:delete val="0"/>
        <c:axPos val="l"/>
        <c:majorGridlines>
          <c:spPr>
            <a:ln w="3175">
              <a:solidFill>
                <a:schemeClr val="bg1">
                  <a:lumMod val="85000"/>
                </a:schemeClr>
              </a:solidFill>
              <a:prstDash val="dash"/>
            </a:ln>
          </c:spPr>
        </c:majorGridlines>
        <c:numFmt formatCode="\$#,##0" sourceLinked="0"/>
        <c:majorTickMark val="out"/>
        <c:minorTickMark val="none"/>
        <c:tickLblPos val="nextTo"/>
        <c:spPr>
          <a:ln w="3175">
            <a:solidFill>
              <a:schemeClr val="bg1">
                <a:lumMod val="75000"/>
              </a:schemeClr>
            </a:solidFill>
            <a:prstDash val="solid"/>
          </a:ln>
        </c:spPr>
        <c:txPr>
          <a:bodyPr rot="0" vert="horz"/>
          <a:lstStyle/>
          <a:p>
            <a:pPr>
              <a:defRPr/>
            </a:pPr>
            <a:endParaRPr lang="en-US"/>
          </a:p>
        </c:txPr>
        <c:crossAx val="160050560"/>
        <c:crosses val="autoZero"/>
        <c:crossBetween val="between"/>
        <c:dispUnits>
          <c:builtInUnit val="billions"/>
          <c:dispUnitsLbl>
            <c:layout>
              <c:manualLayout>
                <c:xMode val="edge"/>
                <c:yMode val="edge"/>
                <c:x val="4.7245882899525525E-3"/>
                <c:y val="0.17401779154296546"/>
              </c:manualLayout>
            </c:layout>
            <c:tx>
              <c:rich>
                <a:bodyPr/>
                <a:lstStyle/>
                <a:p>
                  <a:pPr>
                    <a:defRPr/>
                  </a:pPr>
                  <a:r>
                    <a:rPr lang="en-US"/>
                    <a:t>Billions$</a:t>
                  </a:r>
                </a:p>
              </c:rich>
            </c:tx>
          </c:dispUnitsLbl>
        </c:dispUnits>
      </c:valAx>
      <c:spPr>
        <a:solidFill>
          <a:srgbClr val="FFFFFF"/>
        </a:solidFill>
        <a:ln w="12700">
          <a:solidFill>
            <a:schemeClr val="bg1">
              <a:lumMod val="85000"/>
            </a:schemeClr>
          </a:solid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r>
              <a:rPr lang="en-US" sz="1200" b="1">
                <a:solidFill>
                  <a:sysClr val="windowText" lastClr="000000"/>
                </a:solidFill>
              </a:rPr>
              <a:t>State and Local Retail Sales &amp; Use Tax Collections</a:t>
            </a:r>
          </a:p>
        </c:rich>
      </c:tx>
      <c:layout>
        <c:manualLayout>
          <c:xMode val="edge"/>
          <c:yMode val="edge"/>
          <c:x val="0.28151582785923324"/>
          <c:y val="0"/>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lotArea>
      <c:layout>
        <c:manualLayout>
          <c:layoutTarget val="inner"/>
          <c:xMode val="edge"/>
          <c:yMode val="edge"/>
          <c:x val="9.832705741313677E-2"/>
          <c:y val="7.4513945489508862E-2"/>
          <c:w val="0.88068057932911892"/>
          <c:h val="0.80049821898024875"/>
        </c:manualLayout>
      </c:layout>
      <c:barChart>
        <c:barDir val="col"/>
        <c:grouping val="clustered"/>
        <c:varyColors val="0"/>
        <c:ser>
          <c:idx val="0"/>
          <c:order val="0"/>
          <c:spPr>
            <a:solidFill>
              <a:schemeClr val="accent1"/>
            </a:solidFill>
            <a:ln>
              <a:noFill/>
            </a:ln>
            <a:effectLst/>
          </c:spPr>
          <c:invertIfNegative val="0"/>
          <c:dLbls>
            <c:numFmt formatCode="&quot;$&quot;#,##0.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'4.1'!$B$11:$B$20</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'4.1'!$Q$11:$Q$20</c:f>
              <c:numCache>
                <c:formatCode>#,##0</c:formatCode>
                <c:ptCount val="10"/>
                <c:pt idx="0" formatCode="&quot;$&quot;#,##0">
                  <c:v>6204518000</c:v>
                </c:pt>
                <c:pt idx="1">
                  <c:v>6337800000</c:v>
                </c:pt>
                <c:pt idx="2">
                  <c:v>6515598000</c:v>
                </c:pt>
                <c:pt idx="3">
                  <c:v>6776635000</c:v>
                </c:pt>
                <c:pt idx="4">
                  <c:v>7029632000</c:v>
                </c:pt>
                <c:pt idx="5">
                  <c:v>7935765000</c:v>
                </c:pt>
                <c:pt idx="6">
                  <c:v>8810274000</c:v>
                </c:pt>
                <c:pt idx="7">
                  <c:v>9229041000</c:v>
                </c:pt>
                <c:pt idx="8">
                  <c:v>9240719000</c:v>
                </c:pt>
                <c:pt idx="9">
                  <c:v>9487074000</c:v>
                </c:pt>
              </c:numCache>
            </c:numRef>
          </c:val>
          <c:extLst>
            <c:ext xmlns:c16="http://schemas.microsoft.com/office/drawing/2014/chart" uri="{C3380CC4-5D6E-409C-BE32-E72D297353CC}">
              <c16:uniqueId val="{00000000-1976-4EBE-9116-ADEE60301867}"/>
            </c:ext>
          </c:extLst>
        </c:ser>
        <c:dLbls>
          <c:showLegendKey val="0"/>
          <c:showVal val="0"/>
          <c:showCatName val="0"/>
          <c:showSerName val="0"/>
          <c:showPercent val="0"/>
          <c:showBubbleSize val="0"/>
        </c:dLbls>
        <c:gapWidth val="75"/>
        <c:axId val="703208447"/>
        <c:axId val="706803919"/>
      </c:barChart>
      <c:catAx>
        <c:axId val="703208447"/>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r>
                  <a:rPr lang="en-US" b="1"/>
                  <a:t>Fiscal Year</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706803919"/>
        <c:crosses val="autoZero"/>
        <c:auto val="1"/>
        <c:lblAlgn val="ctr"/>
        <c:lblOffset val="100"/>
        <c:noMultiLvlLbl val="0"/>
      </c:catAx>
      <c:valAx>
        <c:axId val="706803919"/>
        <c:scaling>
          <c:orientation val="minMax"/>
          <c:max val="11000000000"/>
          <c:min val="0"/>
        </c:scaling>
        <c:delete val="0"/>
        <c:axPos val="l"/>
        <c:majorGridlines>
          <c:spPr>
            <a:ln w="9525" cap="flat" cmpd="sng" algn="ctr">
              <a:solidFill>
                <a:schemeClr val="bg2"/>
              </a:solidFill>
              <a:prstDash val="dash"/>
              <a:round/>
            </a:ln>
            <a:effectLst/>
          </c:spPr>
        </c:majorGridlines>
        <c:numFmt formatCode="&quot;$&quot;#,##0" sourceLinked="1"/>
        <c:majorTickMark val="none"/>
        <c:minorTickMark val="none"/>
        <c:tickLblPos val="nextTo"/>
        <c:spPr>
          <a:noFill/>
          <a:ln>
            <a:solidFill>
              <a:srgbClr val="E0E0E0"/>
            </a:solidFill>
            <a:prstDash val="sysDash"/>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703208447"/>
        <c:crosses val="autoZero"/>
        <c:crossBetween val="between"/>
        <c:dispUnits>
          <c:builtInUnit val="billions"/>
          <c:dispUnitsLbl>
            <c:layout>
              <c:manualLayout>
                <c:xMode val="edge"/>
                <c:yMode val="edge"/>
                <c:x val="5.7251899793848079E-3"/>
                <c:y val="0.11940172251248082"/>
              </c:manualLayout>
            </c:layout>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ispUnitsLbl>
        </c:dispUnits>
      </c:valAx>
      <c:spPr>
        <a:noFill/>
        <a:ln>
          <a:solidFill>
            <a:schemeClr val="bg2"/>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pPr>
            <a:r>
              <a:rPr lang="en-US" b="1"/>
              <a:t>Bank Franchise Tax Collections</a:t>
            </a:r>
          </a:p>
        </c:rich>
      </c:tx>
      <c:layout>
        <c:manualLayout>
          <c:xMode val="edge"/>
          <c:yMode val="edge"/>
          <c:x val="0.32356579012529096"/>
          <c:y val="8.8006234715541105E-3"/>
        </c:manualLayout>
      </c:layout>
      <c:overlay val="0"/>
      <c:spPr>
        <a:noFill/>
        <a:ln w="25400">
          <a:noFill/>
        </a:ln>
      </c:spPr>
    </c:title>
    <c:autoTitleDeleted val="0"/>
    <c:plotArea>
      <c:layout>
        <c:manualLayout>
          <c:layoutTarget val="inner"/>
          <c:xMode val="edge"/>
          <c:yMode val="edge"/>
          <c:x val="0.1042419717623686"/>
          <c:y val="0.10480759651154155"/>
          <c:w val="0.8892856653263862"/>
          <c:h val="0.73495185996316936"/>
        </c:manualLayout>
      </c:layout>
      <c:barChart>
        <c:barDir val="col"/>
        <c:grouping val="clustered"/>
        <c:varyColors val="0"/>
        <c:ser>
          <c:idx val="0"/>
          <c:order val="0"/>
          <c:spPr>
            <a:solidFill>
              <a:srgbClr val="008DCE"/>
            </a:solidFill>
            <a:ln w="12700">
              <a:noFill/>
              <a:prstDash val="solid"/>
            </a:ln>
          </c:spPr>
          <c:invertIfNegative val="0"/>
          <c:dLbls>
            <c:numFmt formatCode="&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'5.3-5.4'!$B$35:$B$40</c:f>
              <c:numCache>
                <c:formatCode>General</c:formatCode>
                <c:ptCount val="6"/>
                <c:pt idx="0">
                  <c:v>2020</c:v>
                </c:pt>
                <c:pt idx="1">
                  <c:v>2021</c:v>
                </c:pt>
                <c:pt idx="2">
                  <c:v>2022</c:v>
                </c:pt>
                <c:pt idx="3">
                  <c:v>2023</c:v>
                </c:pt>
                <c:pt idx="4">
                  <c:v>2024</c:v>
                </c:pt>
                <c:pt idx="5">
                  <c:v>2025</c:v>
                </c:pt>
              </c:numCache>
            </c:numRef>
          </c:cat>
          <c:val>
            <c:numRef>
              <c:f>'5.3-5.4'!$C$35:$C$40</c:f>
              <c:numCache>
                <c:formatCode>#,##0</c:formatCode>
                <c:ptCount val="6"/>
                <c:pt idx="0">
                  <c:v>25949060</c:v>
                </c:pt>
                <c:pt idx="1">
                  <c:v>29336130</c:v>
                </c:pt>
                <c:pt idx="2">
                  <c:v>30170420</c:v>
                </c:pt>
                <c:pt idx="3">
                  <c:v>30120070</c:v>
                </c:pt>
                <c:pt idx="4">
                  <c:v>31319440</c:v>
                </c:pt>
                <c:pt idx="5">
                  <c:v>33364790</c:v>
                </c:pt>
              </c:numCache>
            </c:numRef>
          </c:val>
          <c:extLst>
            <c:ext xmlns:c16="http://schemas.microsoft.com/office/drawing/2014/chart" uri="{C3380CC4-5D6E-409C-BE32-E72D297353CC}">
              <c16:uniqueId val="{00000000-B6A8-43AB-AB4E-828285AEBAA0}"/>
            </c:ext>
          </c:extLst>
        </c:ser>
        <c:dLbls>
          <c:showLegendKey val="0"/>
          <c:showVal val="0"/>
          <c:showCatName val="0"/>
          <c:showSerName val="0"/>
          <c:showPercent val="0"/>
          <c:showBubbleSize val="0"/>
        </c:dLbls>
        <c:gapWidth val="75"/>
        <c:axId val="86595840"/>
        <c:axId val="86606208"/>
      </c:barChart>
      <c:catAx>
        <c:axId val="86595840"/>
        <c:scaling>
          <c:orientation val="minMax"/>
        </c:scaling>
        <c:delete val="0"/>
        <c:axPos val="b"/>
        <c:title>
          <c:tx>
            <c:rich>
              <a:bodyPr/>
              <a:lstStyle/>
              <a:p>
                <a:pPr>
                  <a:defRPr/>
                </a:pPr>
                <a:r>
                  <a:rPr lang="en-US"/>
                  <a:t>Fiscal Year</a:t>
                </a:r>
              </a:p>
            </c:rich>
          </c:tx>
          <c:layout>
            <c:manualLayout>
              <c:xMode val="edge"/>
              <c:yMode val="edge"/>
              <c:x val="0.45714355009226165"/>
              <c:y val="0.92784011079478146"/>
            </c:manualLayout>
          </c:layout>
          <c:overlay val="0"/>
          <c:spPr>
            <a:noFill/>
            <a:ln w="25400">
              <a:noFill/>
            </a:ln>
          </c:spPr>
        </c:title>
        <c:numFmt formatCode="#\ ?/?" sourceLinked="0"/>
        <c:majorTickMark val="out"/>
        <c:minorTickMark val="none"/>
        <c:tickLblPos val="low"/>
        <c:spPr>
          <a:ln w="3175">
            <a:solidFill>
              <a:schemeClr val="bg1">
                <a:lumMod val="65000"/>
              </a:schemeClr>
            </a:solidFill>
            <a:prstDash val="solid"/>
          </a:ln>
        </c:spPr>
        <c:txPr>
          <a:bodyPr rot="0" vert="horz"/>
          <a:lstStyle/>
          <a:p>
            <a:pPr>
              <a:defRPr/>
            </a:pPr>
            <a:endParaRPr lang="en-US"/>
          </a:p>
        </c:txPr>
        <c:crossAx val="86606208"/>
        <c:crossesAt val="0"/>
        <c:auto val="1"/>
        <c:lblAlgn val="ctr"/>
        <c:lblOffset val="100"/>
        <c:noMultiLvlLbl val="0"/>
      </c:catAx>
      <c:valAx>
        <c:axId val="86606208"/>
        <c:scaling>
          <c:orientation val="minMax"/>
          <c:min val="0"/>
        </c:scaling>
        <c:delete val="0"/>
        <c:axPos val="l"/>
        <c:majorGridlines>
          <c:spPr>
            <a:ln w="3175">
              <a:solidFill>
                <a:schemeClr val="bg1">
                  <a:lumMod val="85000"/>
                </a:schemeClr>
              </a:solidFill>
              <a:prstDash val="dash"/>
            </a:ln>
          </c:spPr>
        </c:majorGridlines>
        <c:numFmt formatCode="\$#,##0" sourceLinked="0"/>
        <c:majorTickMark val="out"/>
        <c:minorTickMark val="none"/>
        <c:tickLblPos val="nextTo"/>
        <c:spPr>
          <a:ln w="3175">
            <a:solidFill>
              <a:schemeClr val="bg1">
                <a:lumMod val="65000"/>
              </a:schemeClr>
            </a:solidFill>
            <a:prstDash val="solid"/>
          </a:ln>
        </c:spPr>
        <c:txPr>
          <a:bodyPr rot="0" vert="horz"/>
          <a:lstStyle/>
          <a:p>
            <a:pPr>
              <a:defRPr/>
            </a:pPr>
            <a:endParaRPr lang="en-US"/>
          </a:p>
        </c:txPr>
        <c:crossAx val="86595840"/>
        <c:crosses val="autoZero"/>
        <c:crossBetween val="between"/>
        <c:dispUnits>
          <c:builtInUnit val="millions"/>
          <c:dispUnitsLbl/>
        </c:dispUnits>
      </c:valAx>
      <c:spPr>
        <a:noFill/>
        <a:ln w="12700">
          <a:solidFill>
            <a:schemeClr val="bg1">
              <a:lumMod val="85000"/>
            </a:schemeClr>
          </a:solid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alignWithMargins="0"/>
    <c:pageMargins b="1" l="0.75000000000001465" r="0.75000000000001465"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r>
              <a:rPr lang="en-US" b="1">
                <a:solidFill>
                  <a:sysClr val="windowText" lastClr="000000"/>
                </a:solidFill>
              </a:rPr>
              <a:t>Nonprofit</a:t>
            </a:r>
            <a:r>
              <a:rPr lang="en-US" b="1" baseline="0">
                <a:solidFill>
                  <a:sysClr val="windowText" lastClr="000000"/>
                </a:solidFill>
              </a:rPr>
              <a:t> Organization Tax Exemption</a:t>
            </a:r>
            <a:endParaRPr lang="en-US" b="1">
              <a:solidFill>
                <a:sysClr val="windowText" lastClr="000000"/>
              </a:solidFill>
            </a:endParaRPr>
          </a:p>
        </c:rich>
      </c:tx>
      <c:layout>
        <c:manualLayout>
          <c:xMode val="edge"/>
          <c:yMode val="edge"/>
          <c:x val="0.22658780925368105"/>
          <c:y val="0"/>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en-US"/>
        </a:p>
      </c:txPr>
    </c:title>
    <c:autoTitleDeleted val="0"/>
    <c:plotArea>
      <c:layout>
        <c:manualLayout>
          <c:layoutTarget val="inner"/>
          <c:xMode val="edge"/>
          <c:yMode val="edge"/>
          <c:x val="0.13607339408049643"/>
          <c:y val="8.6353171749023988E-2"/>
          <c:w val="0.84293425569021774"/>
          <c:h val="0.75352163548363793"/>
        </c:manualLayout>
      </c:layout>
      <c:barChart>
        <c:barDir val="col"/>
        <c:grouping val="clustered"/>
        <c:varyColors val="0"/>
        <c:ser>
          <c:idx val="0"/>
          <c:order val="0"/>
          <c:tx>
            <c:strRef>
              <c:f>'7.1'!$C$5</c:f>
              <c:strCache>
                <c:ptCount val="1"/>
                <c:pt idx="0">
                  <c:v>Amount ($)</c:v>
                </c:pt>
              </c:strCache>
            </c:strRef>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'7.1'!$B$13:$B$23</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'7.1'!$C$13:$C$23</c:f>
              <c:numCache>
                <c:formatCode>#,##0</c:formatCode>
                <c:ptCount val="11"/>
                <c:pt idx="0">
                  <c:v>210994603.36485529</c:v>
                </c:pt>
                <c:pt idx="1">
                  <c:v>223074819.58170167</c:v>
                </c:pt>
                <c:pt idx="2">
                  <c:v>244370076.32769448</c:v>
                </c:pt>
                <c:pt idx="3">
                  <c:v>314543689.44675058</c:v>
                </c:pt>
                <c:pt idx="4">
                  <c:v>352673576.32049298</c:v>
                </c:pt>
                <c:pt idx="5">
                  <c:v>362781521.93254882</c:v>
                </c:pt>
                <c:pt idx="6">
                  <c:v>378603136.2884649</c:v>
                </c:pt>
                <c:pt idx="7">
                  <c:v>406492802.46544868</c:v>
                </c:pt>
                <c:pt idx="8">
                  <c:v>477274945.34478736</c:v>
                </c:pt>
                <c:pt idx="9">
                  <c:v>508206726.9331491</c:v>
                </c:pt>
                <c:pt idx="10">
                  <c:v>510938624.19840384</c:v>
                </c:pt>
              </c:numCache>
            </c:numRef>
          </c:val>
          <c:extLst>
            <c:ext xmlns:c16="http://schemas.microsoft.com/office/drawing/2014/chart" uri="{C3380CC4-5D6E-409C-BE32-E72D297353CC}">
              <c16:uniqueId val="{00000000-6FD4-4B52-A4C6-910CD1CAE63E}"/>
            </c:ext>
          </c:extLst>
        </c:ser>
        <c:dLbls>
          <c:showLegendKey val="0"/>
          <c:showVal val="0"/>
          <c:showCatName val="0"/>
          <c:showSerName val="0"/>
          <c:showPercent val="0"/>
          <c:showBubbleSize val="0"/>
        </c:dLbls>
        <c:gapWidth val="75"/>
        <c:axId val="703208447"/>
        <c:axId val="706803919"/>
      </c:barChart>
      <c:catAx>
        <c:axId val="703208447"/>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r>
                  <a:rPr lang="en-US" b="1"/>
                  <a:t>Fiscal Year</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706803919"/>
        <c:crosses val="autoZero"/>
        <c:auto val="1"/>
        <c:lblAlgn val="ctr"/>
        <c:lblOffset val="100"/>
        <c:noMultiLvlLbl val="0"/>
      </c:catAx>
      <c:valAx>
        <c:axId val="706803919"/>
        <c:scaling>
          <c:orientation val="minMax"/>
        </c:scaling>
        <c:delete val="0"/>
        <c:axPos val="l"/>
        <c:majorGridlines>
          <c:spPr>
            <a:ln w="9525" cap="flat" cmpd="sng" algn="ctr">
              <a:solidFill>
                <a:schemeClr val="bg2"/>
              </a:solidFill>
              <a:prstDash val="dash"/>
              <a:round/>
            </a:ln>
            <a:effectLst/>
          </c:spPr>
        </c:majorGridlines>
        <c:numFmt formatCode="&quot;$&quot;#,##0" sourceLinked="0"/>
        <c:majorTickMark val="none"/>
        <c:minorTickMark val="none"/>
        <c:tickLblPos val="nextTo"/>
        <c:spPr>
          <a:noFill/>
          <a:ln>
            <a:solidFill>
              <a:srgbClr val="E0E0E0"/>
            </a:solidFill>
            <a:prstDash val="sysDash"/>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703208447"/>
        <c:crosses val="autoZero"/>
        <c:crossBetween val="between"/>
        <c:dispUnits>
          <c:builtInUnit val="millions"/>
          <c:dispUnitsLbl>
            <c:layout>
              <c:manualLayout>
                <c:xMode val="edge"/>
                <c:yMode val="edge"/>
                <c:x val="5.7251899793848079E-3"/>
                <c:y val="0.11940172251248082"/>
              </c:manualLayout>
            </c:layout>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dispUnitsLbl>
        </c:dispUnits>
      </c:valAx>
      <c:spPr>
        <a:noFill/>
        <a:ln>
          <a:solidFill>
            <a:schemeClr val="bg2"/>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pPr>
            <a:r>
              <a:rPr lang="en-US" b="1"/>
              <a:t>Share of Revenue Collections by Fund Group</a:t>
            </a:r>
          </a:p>
        </c:rich>
      </c:tx>
      <c:layout>
        <c:manualLayout>
          <c:xMode val="edge"/>
          <c:yMode val="edge"/>
          <c:x val="0.27239612684015296"/>
          <c:y val="1.2343485840520666E-2"/>
        </c:manualLayout>
      </c:layout>
      <c:overlay val="0"/>
      <c:spPr>
        <a:noFill/>
        <a:ln w="25400">
          <a:noFill/>
        </a:ln>
      </c:spPr>
    </c:title>
    <c:autoTitleDeleted val="0"/>
    <c:plotArea>
      <c:layout>
        <c:manualLayout>
          <c:layoutTarget val="inner"/>
          <c:xMode val="edge"/>
          <c:yMode val="edge"/>
          <c:x val="0.24762464031542419"/>
          <c:y val="7.1996584192597579E-2"/>
          <c:w val="0.54350472032297725"/>
          <c:h val="0.89246298243392141"/>
        </c:manualLayout>
      </c:layout>
      <c:pieChart>
        <c:varyColors val="1"/>
        <c:ser>
          <c:idx val="0"/>
          <c:order val="0"/>
          <c:spPr>
            <a:solidFill>
              <a:srgbClr val="9999FF"/>
            </a:solidFill>
            <a:ln w="12700">
              <a:solidFill>
                <a:schemeClr val="bg1">
                  <a:lumMod val="65000"/>
                </a:schemeClr>
              </a:solidFill>
              <a:prstDash val="solid"/>
            </a:ln>
          </c:spPr>
          <c:explosion val="10"/>
          <c:dPt>
            <c:idx val="0"/>
            <c:bubble3D val="0"/>
            <c:spPr>
              <a:solidFill>
                <a:srgbClr val="008DCE"/>
              </a:solidFill>
              <a:ln w="12700">
                <a:solidFill>
                  <a:schemeClr val="bg1">
                    <a:lumMod val="65000"/>
                  </a:schemeClr>
                </a:solidFill>
                <a:prstDash val="solid"/>
              </a:ln>
            </c:spPr>
            <c:extLst>
              <c:ext xmlns:c16="http://schemas.microsoft.com/office/drawing/2014/chart" uri="{C3380CC4-5D6E-409C-BE32-E72D297353CC}">
                <c16:uniqueId val="{00000006-A08B-4F65-B0D8-986B39E4225F}"/>
              </c:ext>
            </c:extLst>
          </c:dPt>
          <c:dPt>
            <c:idx val="1"/>
            <c:bubble3D val="0"/>
            <c:explosion val="5"/>
            <c:spPr>
              <a:solidFill>
                <a:srgbClr val="F8D500"/>
              </a:solidFill>
              <a:ln w="12700">
                <a:solidFill>
                  <a:schemeClr val="bg1">
                    <a:lumMod val="65000"/>
                  </a:schemeClr>
                </a:solidFill>
                <a:prstDash val="solid"/>
              </a:ln>
            </c:spPr>
            <c:extLst>
              <c:ext xmlns:c16="http://schemas.microsoft.com/office/drawing/2014/chart" uri="{C3380CC4-5D6E-409C-BE32-E72D297353CC}">
                <c16:uniqueId val="{00000001-A08B-4F65-B0D8-986B39E4225F}"/>
              </c:ext>
            </c:extLst>
          </c:dPt>
          <c:dPt>
            <c:idx val="2"/>
            <c:bubble3D val="0"/>
            <c:explosion val="5"/>
            <c:spPr>
              <a:solidFill>
                <a:srgbClr val="243459"/>
              </a:solidFill>
              <a:ln w="12700">
                <a:solidFill>
                  <a:schemeClr val="bg1">
                    <a:lumMod val="65000"/>
                  </a:schemeClr>
                </a:solidFill>
                <a:prstDash val="solid"/>
              </a:ln>
            </c:spPr>
            <c:extLst>
              <c:ext xmlns:c16="http://schemas.microsoft.com/office/drawing/2014/chart" uri="{C3380CC4-5D6E-409C-BE32-E72D297353CC}">
                <c16:uniqueId val="{00000003-A08B-4F65-B0D8-986B39E4225F}"/>
              </c:ext>
            </c:extLst>
          </c:dPt>
          <c:dPt>
            <c:idx val="3"/>
            <c:bubble3D val="0"/>
            <c:spPr>
              <a:solidFill>
                <a:srgbClr val="71B330"/>
              </a:solidFill>
              <a:ln w="12700">
                <a:solidFill>
                  <a:schemeClr val="bg1">
                    <a:lumMod val="65000"/>
                  </a:schemeClr>
                </a:solidFill>
                <a:prstDash val="solid"/>
              </a:ln>
            </c:spPr>
            <c:extLst>
              <c:ext xmlns:c16="http://schemas.microsoft.com/office/drawing/2014/chart" uri="{C3380CC4-5D6E-409C-BE32-E72D297353CC}">
                <c16:uniqueId val="{00000005-A08B-4F65-B0D8-986B39E4225F}"/>
              </c:ext>
            </c:extLst>
          </c:dPt>
          <c:dLbls>
            <c:dLbl>
              <c:idx val="0"/>
              <c:layout>
                <c:manualLayout>
                  <c:x val="-0.1936451835215042"/>
                  <c:y val="0.10240620446240288"/>
                </c:manualLayout>
              </c:layout>
              <c:numFmt formatCode="0.0%" sourceLinked="0"/>
              <c:spPr>
                <a:noFill/>
                <a:ln w="25400">
                  <a:noFill/>
                </a:ln>
              </c:spPr>
              <c:txPr>
                <a:bodyPr/>
                <a:lstStyle/>
                <a:p>
                  <a:pPr>
                    <a:defRPr>
                      <a:solidFill>
                        <a:schemeClr val="bg1"/>
                      </a:solidFill>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5628432806926776"/>
                      <c:h val="0.15199715048743168"/>
                    </c:manualLayout>
                  </c15:layout>
                </c:ext>
                <c:ext xmlns:c16="http://schemas.microsoft.com/office/drawing/2014/chart" uri="{C3380CC4-5D6E-409C-BE32-E72D297353CC}">
                  <c16:uniqueId val="{00000006-A08B-4F65-B0D8-986B39E4225F}"/>
                </c:ext>
              </c:extLst>
            </c:dLbl>
            <c:dLbl>
              <c:idx val="1"/>
              <c:layout>
                <c:manualLayout>
                  <c:x val="1.6178598493168737E-2"/>
                  <c:y val="-7.7967008182400474E-2"/>
                </c:manualLayout>
              </c:layout>
              <c:numFmt formatCode="0.0%" sourceLinked="0"/>
              <c:spPr>
                <a:noFill/>
                <a:ln w="25400">
                  <a:noFill/>
                </a:ln>
              </c:spPr>
              <c:txPr>
                <a:bodyPr lIns="0" tIns="0" rIns="0" bIns="0"/>
                <a:lstStyle/>
                <a:p>
                  <a:pPr>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22920693669551465"/>
                      <c:h val="0.16081619545812376"/>
                    </c:manualLayout>
                  </c15:layout>
                </c:ext>
                <c:ext xmlns:c16="http://schemas.microsoft.com/office/drawing/2014/chart" uri="{C3380CC4-5D6E-409C-BE32-E72D297353CC}">
                  <c16:uniqueId val="{00000001-A08B-4F65-B0D8-986B39E4225F}"/>
                </c:ext>
              </c:extLst>
            </c:dLbl>
            <c:dLbl>
              <c:idx val="2"/>
              <c:layout>
                <c:manualLayout>
                  <c:x val="-3.9701815308834675E-2"/>
                  <c:y val="1.8659621496835796E-2"/>
                </c:manualLayout>
              </c:layout>
              <c:numFmt formatCode="0.0%" sourceLinked="0"/>
              <c:spPr>
                <a:noFill/>
                <a:ln w="25400">
                  <a:noFill/>
                </a:ln>
              </c:spPr>
              <c:txPr>
                <a:bodyPr lIns="0" tIns="0" rIns="0" bIns="0"/>
                <a:lstStyle/>
                <a:p>
                  <a:pPr>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31717813035408332"/>
                      <c:h val="0.10742584464932692"/>
                    </c:manualLayout>
                  </c15:layout>
                </c:ext>
                <c:ext xmlns:c16="http://schemas.microsoft.com/office/drawing/2014/chart" uri="{C3380CC4-5D6E-409C-BE32-E72D297353CC}">
                  <c16:uniqueId val="{00000003-A08B-4F65-B0D8-986B39E4225F}"/>
                </c:ext>
              </c:extLst>
            </c:dLbl>
            <c:dLbl>
              <c:idx val="3"/>
              <c:layout>
                <c:manualLayout>
                  <c:x val="0.20468695086324298"/>
                  <c:y val="-0.10982246148923501"/>
                </c:manualLayout>
              </c:layout>
              <c:numFmt formatCode="0.0%" sourceLinked="0"/>
              <c:spPr>
                <a:noFill/>
                <a:ln w="25400">
                  <a:noFill/>
                </a:ln>
              </c:spPr>
              <c:txPr>
                <a:bodyPr/>
                <a:lstStyle/>
                <a:p>
                  <a:pPr>
                    <a:defRPr>
                      <a:solidFill>
                        <a:schemeClr val="bg1"/>
                      </a:solidFil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8B-4F65-B0D8-986B39E4225F}"/>
                </c:ext>
              </c:extLst>
            </c:dLbl>
            <c:numFmt formatCode="0.0%" sourceLinked="0"/>
            <c:spPr>
              <a:noFill/>
              <a:ln w="25400">
                <a:noFill/>
              </a:ln>
            </c:spPr>
            <c:showLegendKey val="0"/>
            <c:showVal val="0"/>
            <c:showCatName val="1"/>
            <c:showSerName val="0"/>
            <c:showPercent val="1"/>
            <c:showBubbleSize val="0"/>
            <c:showLeaderLines val="0"/>
            <c:extLst>
              <c:ext xmlns:c15="http://schemas.microsoft.com/office/drawing/2012/chart" uri="{CE6537A1-D6FC-4f65-9D91-7224C49458BB}"/>
            </c:extLst>
          </c:dLbls>
          <c:cat>
            <c:strRef>
              <c:f>(RevExp!$Q$11:$Q$12,RevExp!$Q$16:$Q$17)</c:f>
              <c:strCache>
                <c:ptCount val="4"/>
                <c:pt idx="0">
                  <c:v>General Fund (TAX)</c:v>
                </c:pt>
                <c:pt idx="1">
                  <c:v>Non-General Fund (TAX)</c:v>
                </c:pt>
                <c:pt idx="2">
                  <c:v>General Fund (Other Agencies)</c:v>
                </c:pt>
                <c:pt idx="3">
                  <c:v>Non-General Fund (Other Agencies)</c:v>
                </c:pt>
              </c:strCache>
            </c:strRef>
          </c:cat>
          <c:val>
            <c:numRef>
              <c:f>(RevExp!$R$11:$R$12,RevExp!$R$16:$R$17)</c:f>
              <c:numCache>
                <c:formatCode>0.0%</c:formatCode>
                <c:ptCount val="4"/>
                <c:pt idx="0">
                  <c:v>0.36738887503286805</c:v>
                </c:pt>
                <c:pt idx="1">
                  <c:v>2.0384142446654145E-2</c:v>
                </c:pt>
                <c:pt idx="2">
                  <c:v>1.9757900711568133E-2</c:v>
                </c:pt>
                <c:pt idx="3">
                  <c:v>0.59246908180890967</c:v>
                </c:pt>
              </c:numCache>
            </c:numRef>
          </c:val>
          <c:extLst>
            <c:ext xmlns:c16="http://schemas.microsoft.com/office/drawing/2014/chart" uri="{C3380CC4-5D6E-409C-BE32-E72D297353CC}">
              <c16:uniqueId val="{00000007-A08B-4F65-B0D8-986B39E4225F}"/>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pPr>
            <a:r>
              <a:rPr lang="en-US" b="1"/>
              <a:t>General Fund Revenue by Select Tax and Fiscal Year</a:t>
            </a:r>
          </a:p>
        </c:rich>
      </c:tx>
      <c:layout>
        <c:manualLayout>
          <c:xMode val="edge"/>
          <c:yMode val="edge"/>
          <c:x val="0.24161516766808971"/>
          <c:y val="0"/>
        </c:manualLayout>
      </c:layout>
      <c:overlay val="0"/>
      <c:spPr>
        <a:noFill/>
        <a:ln w="25400">
          <a:noFill/>
        </a:ln>
      </c:spPr>
    </c:title>
    <c:autoTitleDeleted val="0"/>
    <c:plotArea>
      <c:layout>
        <c:manualLayout>
          <c:layoutTarget val="inner"/>
          <c:xMode val="edge"/>
          <c:yMode val="edge"/>
          <c:x val="9.5691781982749538E-2"/>
          <c:y val="0.14005207947129997"/>
          <c:w val="0.88837366533371798"/>
          <c:h val="0.77069302679272556"/>
        </c:manualLayout>
      </c:layout>
      <c:barChart>
        <c:barDir val="col"/>
        <c:grouping val="clustered"/>
        <c:varyColors val="0"/>
        <c:ser>
          <c:idx val="0"/>
          <c:order val="0"/>
          <c:tx>
            <c:strRef>
              <c:f>ByAcct!$B$9</c:f>
              <c:strCache>
                <c:ptCount val="1"/>
                <c:pt idx="0">
                  <c:v>Individual Income</c:v>
                </c:pt>
              </c:strCache>
            </c:strRef>
          </c:tx>
          <c:spPr>
            <a:solidFill>
              <a:srgbClr val="008DCE"/>
            </a:solidFill>
            <a:ln w="12700">
              <a:noFill/>
              <a:prstDash val="solid"/>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ByAcct!$H$4:$N$4</c:f>
              <c:strCache>
                <c:ptCount val="7"/>
                <c:pt idx="0">
                  <c:v>FY 2019</c:v>
                </c:pt>
                <c:pt idx="1">
                  <c:v>FY 2020</c:v>
                </c:pt>
                <c:pt idx="2">
                  <c:v>FY 2021</c:v>
                </c:pt>
                <c:pt idx="3">
                  <c:v>FY 2022</c:v>
                </c:pt>
                <c:pt idx="4">
                  <c:v>FY 2023</c:v>
                </c:pt>
                <c:pt idx="5">
                  <c:v>FY 2024</c:v>
                </c:pt>
                <c:pt idx="6">
                  <c:v>FY 2025</c:v>
                </c:pt>
              </c:strCache>
            </c:strRef>
          </c:cat>
          <c:val>
            <c:numRef>
              <c:f>ByAcct!$H$9:$N$9</c:f>
              <c:numCache>
                <c:formatCode>#,##0</c:formatCode>
                <c:ptCount val="7"/>
                <c:pt idx="0">
                  <c:v>15226471000</c:v>
                </c:pt>
                <c:pt idx="1">
                  <c:v>15351592000</c:v>
                </c:pt>
                <c:pt idx="2">
                  <c:v>17303666000</c:v>
                </c:pt>
                <c:pt idx="3">
                  <c:v>20410203000</c:v>
                </c:pt>
                <c:pt idx="4">
                  <c:v>18983555000</c:v>
                </c:pt>
                <c:pt idx="5">
                  <c:v>20310406000</c:v>
                </c:pt>
                <c:pt idx="6">
                  <c:v>21892442000</c:v>
                </c:pt>
              </c:numCache>
            </c:numRef>
          </c:val>
          <c:extLst>
            <c:ext xmlns:c16="http://schemas.microsoft.com/office/drawing/2014/chart" uri="{C3380CC4-5D6E-409C-BE32-E72D297353CC}">
              <c16:uniqueId val="{00000000-3AA1-4E00-9752-C87A24AD6E13}"/>
            </c:ext>
          </c:extLst>
        </c:ser>
        <c:ser>
          <c:idx val="1"/>
          <c:order val="1"/>
          <c:tx>
            <c:v>Sales and Use Tax</c:v>
          </c:tx>
          <c:spPr>
            <a:solidFill>
              <a:srgbClr val="71B330"/>
            </a:solidFill>
            <a:ln w="12700">
              <a:noFill/>
              <a:prstDash val="solid"/>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ByAcct!$H$4:$N$4</c:f>
              <c:strCache>
                <c:ptCount val="7"/>
                <c:pt idx="0">
                  <c:v>FY 2019</c:v>
                </c:pt>
                <c:pt idx="1">
                  <c:v>FY 2020</c:v>
                </c:pt>
                <c:pt idx="2">
                  <c:v>FY 2021</c:v>
                </c:pt>
                <c:pt idx="3">
                  <c:v>FY 2022</c:v>
                </c:pt>
                <c:pt idx="4">
                  <c:v>FY 2023</c:v>
                </c:pt>
                <c:pt idx="5">
                  <c:v>FY 2024</c:v>
                </c:pt>
                <c:pt idx="6">
                  <c:v>FY 2025</c:v>
                </c:pt>
              </c:strCache>
            </c:strRef>
          </c:cat>
          <c:val>
            <c:numRef>
              <c:f>ByAcct!$H$13:$N$13</c:f>
              <c:numCache>
                <c:formatCode>#,##0</c:formatCode>
                <c:ptCount val="7"/>
                <c:pt idx="0">
                  <c:v>3580355000</c:v>
                </c:pt>
                <c:pt idx="1">
                  <c:v>3706817000</c:v>
                </c:pt>
                <c:pt idx="2">
                  <c:v>4166182000</c:v>
                </c:pt>
                <c:pt idx="3">
                  <c:v>4558082000</c:v>
                </c:pt>
                <c:pt idx="4">
                  <c:v>4734549000</c:v>
                </c:pt>
                <c:pt idx="5">
                  <c:v>4709661000</c:v>
                </c:pt>
                <c:pt idx="6">
                  <c:v>4812737000</c:v>
                </c:pt>
              </c:numCache>
            </c:numRef>
          </c:val>
          <c:extLst>
            <c:ext xmlns:c16="http://schemas.microsoft.com/office/drawing/2014/chart" uri="{C3380CC4-5D6E-409C-BE32-E72D297353CC}">
              <c16:uniqueId val="{00000001-3AA1-4E00-9752-C87A24AD6E13}"/>
            </c:ext>
          </c:extLst>
        </c:ser>
        <c:ser>
          <c:idx val="2"/>
          <c:order val="2"/>
          <c:tx>
            <c:strRef>
              <c:f>ByAcct!$B$8</c:f>
              <c:strCache>
                <c:ptCount val="1"/>
                <c:pt idx="0">
                  <c:v>Corporate Income Tax </c:v>
                </c:pt>
              </c:strCache>
            </c:strRef>
          </c:tx>
          <c:spPr>
            <a:solidFill>
              <a:srgbClr val="243459"/>
            </a:solidFill>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ByAcct!$H$4:$N$4</c:f>
              <c:strCache>
                <c:ptCount val="7"/>
                <c:pt idx="0">
                  <c:v>FY 2019</c:v>
                </c:pt>
                <c:pt idx="1">
                  <c:v>FY 2020</c:v>
                </c:pt>
                <c:pt idx="2">
                  <c:v>FY 2021</c:v>
                </c:pt>
                <c:pt idx="3">
                  <c:v>FY 2022</c:v>
                </c:pt>
                <c:pt idx="4">
                  <c:v>FY 2023</c:v>
                </c:pt>
                <c:pt idx="5">
                  <c:v>FY 2024</c:v>
                </c:pt>
                <c:pt idx="6">
                  <c:v>FY 2025</c:v>
                </c:pt>
              </c:strCache>
            </c:strRef>
          </c:cat>
          <c:val>
            <c:numRef>
              <c:f>ByAcct!$H$8:$N$8</c:f>
              <c:numCache>
                <c:formatCode>#,##0</c:formatCode>
                <c:ptCount val="7"/>
                <c:pt idx="0">
                  <c:v>943391000</c:v>
                </c:pt>
                <c:pt idx="1">
                  <c:v>1011650000</c:v>
                </c:pt>
                <c:pt idx="2">
                  <c:v>1515692000</c:v>
                </c:pt>
                <c:pt idx="3">
                  <c:v>1978697000</c:v>
                </c:pt>
                <c:pt idx="4">
                  <c:v>2031120000</c:v>
                </c:pt>
                <c:pt idx="5">
                  <c:v>1907065000</c:v>
                </c:pt>
                <c:pt idx="6">
                  <c:v>1878586000</c:v>
                </c:pt>
              </c:numCache>
            </c:numRef>
          </c:val>
          <c:extLst>
            <c:ext xmlns:c16="http://schemas.microsoft.com/office/drawing/2014/chart" uri="{C3380CC4-5D6E-409C-BE32-E72D297353CC}">
              <c16:uniqueId val="{00000002-3AA1-4E00-9752-C87A24AD6E13}"/>
            </c:ext>
          </c:extLst>
        </c:ser>
        <c:dLbls>
          <c:showLegendKey val="0"/>
          <c:showVal val="0"/>
          <c:showCatName val="0"/>
          <c:showSerName val="0"/>
          <c:showPercent val="0"/>
          <c:showBubbleSize val="0"/>
        </c:dLbls>
        <c:gapWidth val="75"/>
        <c:axId val="74217344"/>
        <c:axId val="74218880"/>
      </c:barChart>
      <c:catAx>
        <c:axId val="74217344"/>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n-US"/>
          </a:p>
        </c:txPr>
        <c:crossAx val="74218880"/>
        <c:crosses val="autoZero"/>
        <c:auto val="1"/>
        <c:lblAlgn val="ctr"/>
        <c:lblOffset val="100"/>
        <c:noMultiLvlLbl val="0"/>
      </c:catAx>
      <c:valAx>
        <c:axId val="74218880"/>
        <c:scaling>
          <c:orientation val="minMax"/>
        </c:scaling>
        <c:delete val="0"/>
        <c:axPos val="l"/>
        <c:majorGridlines>
          <c:spPr>
            <a:ln w="3175">
              <a:solidFill>
                <a:schemeClr val="bg1">
                  <a:lumMod val="85000"/>
                </a:schemeClr>
              </a:solidFill>
              <a:prstDash val="dash"/>
            </a:ln>
          </c:spPr>
        </c:majorGridlines>
        <c:numFmt formatCode="\$#,##0" sourceLinked="0"/>
        <c:majorTickMark val="out"/>
        <c:minorTickMark val="none"/>
        <c:tickLblPos val="nextTo"/>
        <c:spPr>
          <a:ln w="3175">
            <a:solidFill>
              <a:schemeClr val="bg1">
                <a:lumMod val="65000"/>
              </a:schemeClr>
            </a:solidFill>
            <a:prstDash val="solid"/>
          </a:ln>
        </c:spPr>
        <c:txPr>
          <a:bodyPr rot="0" vert="horz"/>
          <a:lstStyle/>
          <a:p>
            <a:pPr>
              <a:defRPr/>
            </a:pPr>
            <a:endParaRPr lang="en-US"/>
          </a:p>
        </c:txPr>
        <c:crossAx val="74217344"/>
        <c:crosses val="autoZero"/>
        <c:crossBetween val="between"/>
        <c:dispUnits>
          <c:builtInUnit val="billions"/>
          <c:dispUnitsLbl>
            <c:layout>
              <c:manualLayout>
                <c:xMode val="edge"/>
                <c:yMode val="edge"/>
                <c:x val="1.3708757609487295E-3"/>
                <c:y val="0.15155697349443589"/>
              </c:manualLayout>
            </c:layout>
          </c:dispUnitsLbl>
        </c:dispUnits>
      </c:valAx>
      <c:spPr>
        <a:solidFill>
          <a:srgbClr val="FFFFFF"/>
        </a:solidFill>
        <a:ln w="12700">
          <a:solidFill>
            <a:schemeClr val="bg1">
              <a:lumMod val="85000"/>
            </a:schemeClr>
          </a:solidFill>
        </a:ln>
      </c:spPr>
    </c:plotArea>
    <c:legend>
      <c:legendPos val="b"/>
      <c:layout>
        <c:manualLayout>
          <c:xMode val="edge"/>
          <c:yMode val="edge"/>
          <c:x val="8.0886889621250929E-2"/>
          <c:y val="6.2407563282018123E-2"/>
          <c:w val="0.86281864550437393"/>
          <c:h val="6.8050114937493231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b="1"/>
              <a:t>Select General Fund Revenue Sources vs. Other Revenue</a:t>
            </a:r>
          </a:p>
          <a:p>
            <a:pPr>
              <a:defRPr/>
            </a:pPr>
            <a:r>
              <a:rPr lang="en-US" sz="1100"/>
              <a:t>Administered by TAX Department</a:t>
            </a:r>
          </a:p>
        </c:rich>
      </c:tx>
      <c:layout>
        <c:manualLayout>
          <c:xMode val="edge"/>
          <c:yMode val="edge"/>
          <c:x val="0.16012207692272751"/>
          <c:y val="2.657420365038759E-3"/>
        </c:manualLayout>
      </c:layout>
      <c:overlay val="0"/>
      <c:spPr>
        <a:noFill/>
        <a:ln w="25400">
          <a:noFill/>
        </a:ln>
      </c:spPr>
    </c:title>
    <c:autoTitleDeleted val="0"/>
    <c:plotArea>
      <c:layout>
        <c:manualLayout>
          <c:layoutTarget val="inner"/>
          <c:xMode val="edge"/>
          <c:yMode val="edge"/>
          <c:x val="0.21765102022653982"/>
          <c:y val="0.12947080373298631"/>
          <c:w val="0.50776239004512291"/>
          <c:h val="0.85824403830632434"/>
        </c:manualLayout>
      </c:layout>
      <c:pieChart>
        <c:varyColors val="1"/>
        <c:ser>
          <c:idx val="0"/>
          <c:order val="0"/>
          <c:tx>
            <c:strRef>
              <c:f>ByAcct!$N$4</c:f>
              <c:strCache>
                <c:ptCount val="1"/>
                <c:pt idx="0">
                  <c:v>FY 2025</c:v>
                </c:pt>
              </c:strCache>
            </c:strRef>
          </c:tx>
          <c:spPr>
            <a:solidFill>
              <a:srgbClr val="9999FF"/>
            </a:solidFill>
            <a:ln w="12700">
              <a:solidFill>
                <a:schemeClr val="bg1">
                  <a:lumMod val="65000"/>
                </a:schemeClr>
              </a:solidFill>
              <a:prstDash val="solid"/>
            </a:ln>
          </c:spPr>
          <c:explosion val="5"/>
          <c:dPt>
            <c:idx val="0"/>
            <c:bubble3D val="0"/>
            <c:spPr>
              <a:solidFill>
                <a:srgbClr val="243459"/>
              </a:solidFill>
              <a:ln w="12700">
                <a:solidFill>
                  <a:schemeClr val="bg1">
                    <a:lumMod val="65000"/>
                  </a:schemeClr>
                </a:solidFill>
                <a:prstDash val="solid"/>
              </a:ln>
            </c:spPr>
            <c:extLst>
              <c:ext xmlns:c16="http://schemas.microsoft.com/office/drawing/2014/chart" uri="{C3380CC4-5D6E-409C-BE32-E72D297353CC}">
                <c16:uniqueId val="{00000006-F59A-43BE-94A4-569B753B3FA7}"/>
              </c:ext>
            </c:extLst>
          </c:dPt>
          <c:dPt>
            <c:idx val="1"/>
            <c:bubble3D val="0"/>
            <c:explosion val="4"/>
            <c:spPr>
              <a:solidFill>
                <a:srgbClr val="71B330"/>
              </a:solidFill>
              <a:ln w="12700">
                <a:solidFill>
                  <a:schemeClr val="bg1">
                    <a:lumMod val="65000"/>
                  </a:schemeClr>
                </a:solidFill>
                <a:prstDash val="solid"/>
              </a:ln>
            </c:spPr>
            <c:extLst>
              <c:ext xmlns:c16="http://schemas.microsoft.com/office/drawing/2014/chart" uri="{C3380CC4-5D6E-409C-BE32-E72D297353CC}">
                <c16:uniqueId val="{00000001-F59A-43BE-94A4-569B753B3FA7}"/>
              </c:ext>
            </c:extLst>
          </c:dPt>
          <c:dPt>
            <c:idx val="2"/>
            <c:bubble3D val="0"/>
            <c:spPr>
              <a:solidFill>
                <a:srgbClr val="008DCE"/>
              </a:solidFill>
              <a:ln w="12700">
                <a:solidFill>
                  <a:schemeClr val="bg1">
                    <a:lumMod val="65000"/>
                  </a:schemeClr>
                </a:solidFill>
                <a:prstDash val="solid"/>
              </a:ln>
            </c:spPr>
            <c:extLst>
              <c:ext xmlns:c16="http://schemas.microsoft.com/office/drawing/2014/chart" uri="{C3380CC4-5D6E-409C-BE32-E72D297353CC}">
                <c16:uniqueId val="{00000003-F59A-43BE-94A4-569B753B3FA7}"/>
              </c:ext>
            </c:extLst>
          </c:dPt>
          <c:dPt>
            <c:idx val="3"/>
            <c:bubble3D val="0"/>
            <c:spPr>
              <a:solidFill>
                <a:srgbClr val="F8D500"/>
              </a:solidFill>
              <a:ln w="12700">
                <a:solidFill>
                  <a:schemeClr val="bg1">
                    <a:lumMod val="65000"/>
                  </a:schemeClr>
                </a:solidFill>
                <a:prstDash val="solid"/>
              </a:ln>
            </c:spPr>
            <c:extLst>
              <c:ext xmlns:c16="http://schemas.microsoft.com/office/drawing/2014/chart" uri="{C3380CC4-5D6E-409C-BE32-E72D297353CC}">
                <c16:uniqueId val="{00000005-F59A-43BE-94A4-569B753B3FA7}"/>
              </c:ext>
            </c:extLst>
          </c:dPt>
          <c:dLbls>
            <c:dLbl>
              <c:idx val="0"/>
              <c:layout>
                <c:manualLayout>
                  <c:x val="-2.0857818070641895E-2"/>
                  <c:y val="4.2986238784683349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F59A-43BE-94A4-569B753B3FA7}"/>
                </c:ext>
              </c:extLst>
            </c:dLbl>
            <c:dLbl>
              <c:idx val="1"/>
              <c:layout>
                <c:manualLayout>
                  <c:x val="-2.6686642186696534E-3"/>
                  <c:y val="-0.19568778546094767"/>
                </c:manualLayout>
              </c:layout>
              <c:numFmt formatCode="0%" sourceLinked="0"/>
              <c:spPr>
                <a:noFill/>
                <a:ln w="25400">
                  <a:noFill/>
                </a:ln>
              </c:spPr>
              <c:txPr>
                <a:bodyPr/>
                <a:lstStyle/>
                <a:p>
                  <a:pPr>
                    <a:defRPr>
                      <a:solidFill>
                        <a:schemeClr val="bg1"/>
                      </a:solidFill>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F59A-43BE-94A4-569B753B3FA7}"/>
                </c:ext>
              </c:extLst>
            </c:dLbl>
            <c:dLbl>
              <c:idx val="2"/>
              <c:layout>
                <c:manualLayout>
                  <c:x val="0.10780888696392163"/>
                  <c:y val="0.20335990799555576"/>
                </c:manualLayout>
              </c:layout>
              <c:numFmt formatCode="0%" sourceLinked="0"/>
              <c:spPr>
                <a:noFill/>
                <a:ln w="25400">
                  <a:noFill/>
                </a:ln>
              </c:spPr>
              <c:txPr>
                <a:bodyPr/>
                <a:lstStyle/>
                <a:p>
                  <a:pPr>
                    <a:defRPr>
                      <a:solidFill>
                        <a:schemeClr val="bg1"/>
                      </a:solidFill>
                    </a:defRPr>
                  </a:pPr>
                  <a:endParaRPr lang="en-US"/>
                </a:p>
              </c:txPr>
              <c:showLegendKey val="0"/>
              <c:showVal val="0"/>
              <c:showCatName val="1"/>
              <c:showSerName val="0"/>
              <c:showPercent val="1"/>
              <c:showBubbleSize val="0"/>
              <c:separator> </c:separator>
              <c:extLst>
                <c:ext xmlns:c15="http://schemas.microsoft.com/office/drawing/2012/chart" uri="{CE6537A1-D6FC-4f65-9D91-7224C49458BB}">
                  <c15:layout>
                    <c:manualLayout>
                      <c:w val="0.15130163204505057"/>
                      <c:h val="0.1226857906646925"/>
                    </c:manualLayout>
                  </c15:layout>
                </c:ext>
                <c:ext xmlns:c16="http://schemas.microsoft.com/office/drawing/2014/chart" uri="{C3380CC4-5D6E-409C-BE32-E72D297353CC}">
                  <c16:uniqueId val="{00000003-F59A-43BE-94A4-569B753B3FA7}"/>
                </c:ext>
              </c:extLst>
            </c:dLbl>
            <c:dLbl>
              <c:idx val="3"/>
              <c:layout>
                <c:manualLayout>
                  <c:x val="-5.35374340779236E-2"/>
                  <c:y val="0.17078195987532044"/>
                </c:manualLayout>
              </c:layout>
              <c:tx>
                <c:rich>
                  <a:bodyPr/>
                  <a:lstStyle/>
                  <a:p>
                    <a:pPr>
                      <a:defRPr b="1"/>
                    </a:pPr>
                    <a:fld id="{FD5BAE60-EB74-4724-A97D-506A8384ABA7}" type="CATEGORYNAME">
                      <a:rPr lang="en-US" b="1"/>
                      <a:pPr>
                        <a:defRPr b="1"/>
                      </a:pPr>
                      <a:t>[CATEGORY NAME]</a:t>
                    </a:fld>
                    <a:r>
                      <a:rPr lang="en-US" b="1"/>
                      <a:t> </a:t>
                    </a:r>
                  </a:p>
                  <a:p>
                    <a:pPr>
                      <a:defRPr b="1"/>
                    </a:pPr>
                    <a:fld id="{D14F5D7B-A43E-491E-89BE-FBF31B4AE054}" type="PERCENTAGE">
                      <a:rPr lang="en-US" b="1"/>
                      <a:pPr>
                        <a:defRPr b="1"/>
                      </a:pPr>
                      <a:t>[PERCENTAGE]</a:t>
                    </a:fld>
                    <a:endParaRPr lang="en-US"/>
                  </a:p>
                </c:rich>
              </c:tx>
              <c:numFmt formatCode="0%" sourceLinked="0"/>
              <c:spPr>
                <a:noFill/>
                <a:ln w="25400">
                  <a:noFill/>
                </a:ln>
              </c:spPr>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F59A-43BE-94A4-569B753B3FA7}"/>
                </c:ext>
              </c:extLst>
            </c:dLbl>
            <c:numFmt formatCode="0%" sourceLinked="0"/>
            <c:spPr>
              <a:noFill/>
              <a:ln w="25400">
                <a:noFill/>
              </a:ln>
            </c:sp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Lit>
              <c:ptCount val="4"/>
              <c:pt idx="0">
                <c:v>Corporate Income Tax </c:v>
              </c:pt>
              <c:pt idx="1">
                <c:v>Individual Income Tax</c:v>
              </c:pt>
              <c:pt idx="2">
                <c:v>Sales &amp; Use Tax</c:v>
              </c:pt>
              <c:pt idx="3">
                <c:v>Other </c:v>
              </c:pt>
            </c:strLit>
          </c:cat>
          <c:val>
            <c:numRef>
              <c:f>(ByAcct!$N$8,ByAcct!$N$9,ByAcct!$N$13,ByAcct!$N$57)</c:f>
              <c:numCache>
                <c:formatCode>#,##0</c:formatCode>
                <c:ptCount val="4"/>
                <c:pt idx="0">
                  <c:v>1878586000</c:v>
                </c:pt>
                <c:pt idx="1">
                  <c:v>21892442000</c:v>
                </c:pt>
                <c:pt idx="2">
                  <c:v>4812737000</c:v>
                </c:pt>
                <c:pt idx="3" formatCode="[$$-409]#,##0">
                  <c:v>2699791000</c:v>
                </c:pt>
              </c:numCache>
            </c:numRef>
          </c:val>
          <c:extLst>
            <c:ext xmlns:c16="http://schemas.microsoft.com/office/drawing/2014/chart" uri="{C3380CC4-5D6E-409C-BE32-E72D297353CC}">
              <c16:uniqueId val="{00000007-F59A-43BE-94A4-569B753B3FA7}"/>
            </c:ext>
          </c:extLst>
        </c:ser>
        <c:dLbls>
          <c:showLegendKey val="0"/>
          <c:showVal val="0"/>
          <c:showCatName val="1"/>
          <c:showSerName val="0"/>
          <c:showPercent val="1"/>
          <c:showBubbleSize val="0"/>
          <c:showLeaderLines val="0"/>
        </c:dLbls>
        <c:firstSliceAng val="33"/>
      </c:pieChart>
    </c:plotArea>
    <c:plotVisOnly val="1"/>
    <c:dispBlanksAs val="zero"/>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alignWithMargins="0"/>
    <c:pageMargins b="1" l="0.75000000000001465" r="0.7500000000000146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a:pPr>
            <a:r>
              <a:rPr lang="en-US" sz="1200" b="1"/>
              <a:t>Individual Income Tax Liability</a:t>
            </a:r>
          </a:p>
        </c:rich>
      </c:tx>
      <c:layout>
        <c:manualLayout>
          <c:xMode val="edge"/>
          <c:yMode val="edge"/>
          <c:x val="0.34122770404007696"/>
          <c:y val="9.4633869193732852E-4"/>
        </c:manualLayout>
      </c:layout>
      <c:overlay val="0"/>
      <c:spPr>
        <a:noFill/>
        <a:ln w="25400">
          <a:noFill/>
        </a:ln>
      </c:spPr>
    </c:title>
    <c:autoTitleDeleted val="0"/>
    <c:plotArea>
      <c:layout>
        <c:manualLayout>
          <c:layoutTarget val="inner"/>
          <c:xMode val="edge"/>
          <c:yMode val="edge"/>
          <c:x val="0.10478436108893154"/>
          <c:y val="9.0234297900028779E-2"/>
          <c:w val="0.88153700356252962"/>
          <c:h val="0.78937096554263031"/>
        </c:manualLayout>
      </c:layout>
      <c:barChart>
        <c:barDir val="col"/>
        <c:grouping val="clustered"/>
        <c:varyColors val="0"/>
        <c:ser>
          <c:idx val="0"/>
          <c:order val="0"/>
          <c:tx>
            <c:strRef>
              <c:f>'1.1'!$D$4</c:f>
              <c:strCache>
                <c:ptCount val="1"/>
                <c:pt idx="0">
                  <c:v>Amount</c:v>
                </c:pt>
              </c:strCache>
            </c:strRef>
          </c:tx>
          <c:spPr>
            <a:solidFill>
              <a:schemeClr val="accent1"/>
            </a:solidFill>
            <a:ln w="12700">
              <a:noFill/>
              <a:prstDash val="solid"/>
            </a:ln>
          </c:spPr>
          <c:invertIfNegative val="0"/>
          <c:dLbls>
            <c:dLbl>
              <c:idx val="0"/>
              <c:numFmt formatCode="&quot;$&quot;#,##0.0" sourceLinked="0"/>
              <c:spPr>
                <a:noFill/>
                <a:ln>
                  <a:noFill/>
                </a:ln>
                <a:effectLst/>
              </c:spPr>
              <c:txPr>
                <a:bodyPr wrap="square" lIns="0" tIns="0" rIns="0" bIns="0" anchor="ctr">
                  <a:spAutoFit/>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7392-48C3-AA18-67C36EB0CC92}"/>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'1.1'!$B$9:$B$19</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'1.1'!$D$9:$D$19</c:f>
              <c:numCache>
                <c:formatCode>#,##0</c:formatCode>
                <c:ptCount val="11"/>
                <c:pt idx="0">
                  <c:v>10586343685</c:v>
                </c:pt>
                <c:pt idx="1">
                  <c:v>11623977320</c:v>
                </c:pt>
                <c:pt idx="2">
                  <c:v>12071058964</c:v>
                </c:pt>
                <c:pt idx="3">
                  <c:v>11800977144.559999</c:v>
                </c:pt>
                <c:pt idx="4">
                  <c:v>12342418241.27</c:v>
                </c:pt>
                <c:pt idx="5">
                  <c:v>14112424787.530001</c:v>
                </c:pt>
                <c:pt idx="6">
                  <c:v>14172033140.65</c:v>
                </c:pt>
                <c:pt idx="7">
                  <c:v>14728931857.1</c:v>
                </c:pt>
                <c:pt idx="8">
                  <c:v>18548295256.189999</c:v>
                </c:pt>
                <c:pt idx="9">
                  <c:v>17671088854.060001</c:v>
                </c:pt>
                <c:pt idx="10">
                  <c:v>18597696234.419998</c:v>
                </c:pt>
              </c:numCache>
            </c:numRef>
          </c:val>
          <c:extLst>
            <c:ext xmlns:c16="http://schemas.microsoft.com/office/drawing/2014/chart" uri="{C3380CC4-5D6E-409C-BE32-E72D297353CC}">
              <c16:uniqueId val="{00000000-CFC2-4F3A-AC71-D370EB114548}"/>
            </c:ext>
          </c:extLst>
        </c:ser>
        <c:dLbls>
          <c:showLegendKey val="0"/>
          <c:showVal val="0"/>
          <c:showCatName val="0"/>
          <c:showSerName val="0"/>
          <c:showPercent val="0"/>
          <c:showBubbleSize val="0"/>
        </c:dLbls>
        <c:gapWidth val="75"/>
        <c:axId val="75302016"/>
        <c:axId val="75303936"/>
      </c:barChart>
      <c:catAx>
        <c:axId val="75302016"/>
        <c:scaling>
          <c:orientation val="minMax"/>
        </c:scaling>
        <c:delete val="0"/>
        <c:axPos val="b"/>
        <c:title>
          <c:tx>
            <c:rich>
              <a:bodyPr/>
              <a:lstStyle/>
              <a:p>
                <a:pPr>
                  <a:defRPr/>
                </a:pPr>
                <a:r>
                  <a:rPr lang="en-US"/>
                  <a:t>Taxable Year</a:t>
                </a:r>
              </a:p>
            </c:rich>
          </c:tx>
          <c:layout>
            <c:manualLayout>
              <c:xMode val="edge"/>
              <c:yMode val="edge"/>
              <c:x val="0.44447394586096972"/>
              <c:y val="0.9454646282005349"/>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n-US"/>
          </a:p>
        </c:txPr>
        <c:crossAx val="75303936"/>
        <c:crosses val="autoZero"/>
        <c:auto val="1"/>
        <c:lblAlgn val="ctr"/>
        <c:lblOffset val="100"/>
        <c:noMultiLvlLbl val="0"/>
      </c:catAx>
      <c:valAx>
        <c:axId val="75303936"/>
        <c:scaling>
          <c:orientation val="minMax"/>
        </c:scaling>
        <c:delete val="0"/>
        <c:axPos val="l"/>
        <c:majorGridlines>
          <c:spPr>
            <a:ln w="3175">
              <a:solidFill>
                <a:schemeClr val="bg1">
                  <a:lumMod val="8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a:pPr>
            <a:endParaRPr lang="en-US"/>
          </a:p>
        </c:txPr>
        <c:crossAx val="75302016"/>
        <c:crosses val="autoZero"/>
        <c:crossBetween val="between"/>
        <c:dispUnits>
          <c:builtInUnit val="billions"/>
          <c:dispUnitsLbl>
            <c:layout>
              <c:manualLayout>
                <c:xMode val="edge"/>
                <c:yMode val="edge"/>
                <c:x val="3.9828663712516256E-3"/>
                <c:y val="9.0234255275447151E-2"/>
              </c:manualLayout>
            </c:layout>
          </c:dispUnitsLbl>
        </c:dispUnits>
      </c:valAx>
      <c:spPr>
        <a:solidFill>
          <a:srgbClr val="FFFFFF"/>
        </a:solidFill>
        <a:ln w="12700">
          <a:solidFill>
            <a:schemeClr val="bg1">
              <a:lumMod val="85000"/>
            </a:schemeClr>
          </a:solid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443830112977401E-2"/>
          <c:y val="1.8717701190784676E-2"/>
          <c:w val="0.59935474474853156"/>
          <c:h val="0.90616310621734875"/>
        </c:manualLayout>
      </c:layout>
      <c:pieChart>
        <c:varyColors val="1"/>
        <c:ser>
          <c:idx val="0"/>
          <c:order val="0"/>
          <c:spPr>
            <a:solidFill>
              <a:srgbClr val="9999FF"/>
            </a:solidFill>
            <a:ln w="12700">
              <a:solidFill>
                <a:schemeClr val="bg1">
                  <a:lumMod val="65000"/>
                </a:schemeClr>
              </a:solidFill>
              <a:prstDash val="solid"/>
            </a:ln>
          </c:spPr>
          <c:dPt>
            <c:idx val="0"/>
            <c:bubble3D val="0"/>
            <c:explosion val="10"/>
            <c:spPr>
              <a:solidFill>
                <a:schemeClr val="accent1"/>
              </a:solidFill>
              <a:ln w="12700">
                <a:solidFill>
                  <a:schemeClr val="bg1">
                    <a:lumMod val="65000"/>
                  </a:schemeClr>
                </a:solidFill>
                <a:prstDash val="solid"/>
              </a:ln>
            </c:spPr>
            <c:extLst>
              <c:ext xmlns:c16="http://schemas.microsoft.com/office/drawing/2014/chart" uri="{C3380CC4-5D6E-409C-BE32-E72D297353CC}">
                <c16:uniqueId val="{00000001-634D-4D66-9A5B-42D45D3A39F2}"/>
              </c:ext>
            </c:extLst>
          </c:dPt>
          <c:dPt>
            <c:idx val="1"/>
            <c:bubble3D val="0"/>
            <c:explosion val="10"/>
            <c:spPr>
              <a:solidFill>
                <a:schemeClr val="accent2"/>
              </a:solidFill>
              <a:ln w="12700">
                <a:solidFill>
                  <a:schemeClr val="bg1">
                    <a:lumMod val="65000"/>
                  </a:schemeClr>
                </a:solidFill>
                <a:prstDash val="solid"/>
              </a:ln>
            </c:spPr>
            <c:extLst>
              <c:ext xmlns:c16="http://schemas.microsoft.com/office/drawing/2014/chart" uri="{C3380CC4-5D6E-409C-BE32-E72D297353CC}">
                <c16:uniqueId val="{00000003-634D-4D66-9A5B-42D45D3A39F2}"/>
              </c:ext>
            </c:extLst>
          </c:dPt>
          <c:dPt>
            <c:idx val="2"/>
            <c:bubble3D val="0"/>
            <c:explosion val="10"/>
            <c:spPr>
              <a:solidFill>
                <a:schemeClr val="accent4"/>
              </a:solidFill>
              <a:ln w="12700">
                <a:solidFill>
                  <a:schemeClr val="bg1">
                    <a:lumMod val="65000"/>
                  </a:schemeClr>
                </a:solidFill>
                <a:prstDash val="solid"/>
              </a:ln>
            </c:spPr>
            <c:extLst>
              <c:ext xmlns:c16="http://schemas.microsoft.com/office/drawing/2014/chart" uri="{C3380CC4-5D6E-409C-BE32-E72D297353CC}">
                <c16:uniqueId val="{00000005-634D-4D66-9A5B-42D45D3A39F2}"/>
              </c:ext>
            </c:extLst>
          </c:dPt>
          <c:dLbls>
            <c:dLbl>
              <c:idx val="0"/>
              <c:layout>
                <c:manualLayout>
                  <c:x val="0.14720869188633787"/>
                  <c:y val="-8.217812061510060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34D-4D66-9A5B-42D45D3A39F2}"/>
                </c:ext>
              </c:extLst>
            </c:dLbl>
            <c:dLbl>
              <c:idx val="1"/>
              <c:layout>
                <c:manualLayout>
                  <c:x val="-0.22014944719425619"/>
                  <c:y val="0.14087037968660196"/>
                </c:manualLayout>
              </c:layout>
              <c:spPr>
                <a:noFill/>
                <a:ln w="25400">
                  <a:noFill/>
                </a:ln>
                <a:effectLst/>
              </c:spPr>
              <c:txPr>
                <a:bodyPr/>
                <a:lstStyle/>
                <a:p>
                  <a:pPr>
                    <a:defRPr sz="1100" b="1">
                      <a:solidFill>
                        <a:schemeClr val="bg1"/>
                      </a:solidFil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34D-4D66-9A5B-42D45D3A39F2}"/>
                </c:ext>
              </c:extLst>
            </c:dLbl>
            <c:dLbl>
              <c:idx val="2"/>
              <c:layout>
                <c:manualLayout>
                  <c:x val="-1.6722598852997959E-2"/>
                  <c:y val="-7.6933095060036007E-4"/>
                </c:manualLayout>
              </c:layout>
              <c:numFmt formatCode="0%" sourceLinked="0"/>
              <c:spPr>
                <a:noFill/>
                <a:ln w="25400">
                  <a:noFill/>
                </a:ln>
              </c:spPr>
              <c:txPr>
                <a:bodyPr/>
                <a:lstStyle/>
                <a:p>
                  <a:pPr>
                    <a:defRPr sz="1100" b="1">
                      <a:solidFill>
                        <a:sysClr val="windowText" lastClr="000000"/>
                      </a:solidFill>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28956917267726756"/>
                      <c:h val="0.1927959473847447"/>
                    </c:manualLayout>
                  </c15:layout>
                </c:ext>
                <c:ext xmlns:c16="http://schemas.microsoft.com/office/drawing/2014/chart" uri="{C3380CC4-5D6E-409C-BE32-E72D297353CC}">
                  <c16:uniqueId val="{00000005-634D-4D66-9A5B-42D45D3A39F2}"/>
                </c:ext>
              </c:extLst>
            </c:dLbl>
            <c:numFmt formatCode="0%" sourceLinked="0"/>
            <c:spPr>
              <a:noFill/>
              <a:ln w="25400">
                <a:noFill/>
              </a:ln>
            </c:spPr>
            <c:txPr>
              <a:bodyPr/>
              <a:lstStyle/>
              <a:p>
                <a:pPr>
                  <a:defRPr sz="1100" b="1">
                    <a:solidFill>
                      <a:schemeClr val="bg1"/>
                    </a:solidFil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'1.3'!$E$5:$G$5</c:f>
              <c:strCache>
                <c:ptCount val="3"/>
                <c:pt idx="0">
                  <c:v>Single 
Returns</c:v>
                </c:pt>
                <c:pt idx="1">
                  <c:v>Married 
Filing Joint </c:v>
                </c:pt>
                <c:pt idx="2">
                  <c:v>Married 
Filing Separately </c:v>
                </c:pt>
              </c:strCache>
            </c:strRef>
          </c:cat>
          <c:val>
            <c:numRef>
              <c:f>'1.3'!$E$31:$G$31</c:f>
              <c:numCache>
                <c:formatCode>#,##0</c:formatCode>
                <c:ptCount val="3"/>
                <c:pt idx="0">
                  <c:v>2502823</c:v>
                </c:pt>
                <c:pt idx="1">
                  <c:v>1522125</c:v>
                </c:pt>
                <c:pt idx="2">
                  <c:v>177038</c:v>
                </c:pt>
              </c:numCache>
            </c:numRef>
          </c:val>
          <c:extLst>
            <c:ext xmlns:c16="http://schemas.microsoft.com/office/drawing/2014/chart" uri="{C3380CC4-5D6E-409C-BE32-E72D297353CC}">
              <c16:uniqueId val="{00000006-634D-4D66-9A5B-42D45D3A39F2}"/>
            </c:ext>
          </c:extLst>
        </c:ser>
        <c:dLbls>
          <c:showLegendKey val="0"/>
          <c:showVal val="0"/>
          <c:showCatName val="1"/>
          <c:showSerName val="0"/>
          <c:showPercent val="1"/>
          <c:showBubbleSize val="0"/>
          <c:showLeaderLines val="0"/>
        </c:dLbls>
        <c:firstSliceAng val="150"/>
      </c:pieChart>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alignWithMargins="0"/>
    <c:pageMargins b="1" l="0.75000000000001465" r="0.75000000000001465"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63716232329164E-2"/>
          <c:y val="4.9034002328656297E-2"/>
          <c:w val="0.73907856408976336"/>
          <c:h val="0.93322536344858253"/>
        </c:manualLayout>
      </c:layout>
      <c:pieChart>
        <c:varyColors val="1"/>
        <c:ser>
          <c:idx val="0"/>
          <c:order val="0"/>
          <c:spPr>
            <a:solidFill>
              <a:srgbClr val="9999FF"/>
            </a:solidFill>
            <a:ln w="12700">
              <a:solidFill>
                <a:schemeClr val="bg1">
                  <a:lumMod val="65000"/>
                </a:schemeClr>
              </a:solidFill>
              <a:prstDash val="solid"/>
            </a:ln>
          </c:spPr>
          <c:explosion val="10"/>
          <c:dPt>
            <c:idx val="0"/>
            <c:bubble3D val="0"/>
            <c:spPr>
              <a:solidFill>
                <a:schemeClr val="accent1"/>
              </a:solidFill>
              <a:ln w="12700">
                <a:solidFill>
                  <a:schemeClr val="bg1">
                    <a:lumMod val="65000"/>
                  </a:schemeClr>
                </a:solidFill>
                <a:prstDash val="solid"/>
              </a:ln>
            </c:spPr>
            <c:extLst>
              <c:ext xmlns:c16="http://schemas.microsoft.com/office/drawing/2014/chart" uri="{C3380CC4-5D6E-409C-BE32-E72D297353CC}">
                <c16:uniqueId val="{00000006-7727-488B-B7BF-B0A2A469B28B}"/>
              </c:ext>
            </c:extLst>
          </c:dPt>
          <c:dPt>
            <c:idx val="1"/>
            <c:bubble3D val="0"/>
            <c:spPr>
              <a:solidFill>
                <a:schemeClr val="accent2"/>
              </a:solidFill>
              <a:ln w="12700">
                <a:solidFill>
                  <a:schemeClr val="bg1">
                    <a:lumMod val="65000"/>
                  </a:schemeClr>
                </a:solidFill>
                <a:prstDash val="solid"/>
              </a:ln>
            </c:spPr>
            <c:extLst>
              <c:ext xmlns:c16="http://schemas.microsoft.com/office/drawing/2014/chart" uri="{C3380CC4-5D6E-409C-BE32-E72D297353CC}">
                <c16:uniqueId val="{00000001-7727-488B-B7BF-B0A2A469B28B}"/>
              </c:ext>
            </c:extLst>
          </c:dPt>
          <c:dPt>
            <c:idx val="2"/>
            <c:bubble3D val="0"/>
            <c:spPr>
              <a:solidFill>
                <a:schemeClr val="accent4"/>
              </a:solidFill>
              <a:ln w="12700">
                <a:solidFill>
                  <a:schemeClr val="bg1">
                    <a:lumMod val="65000"/>
                  </a:schemeClr>
                </a:solidFill>
                <a:prstDash val="solid"/>
              </a:ln>
            </c:spPr>
            <c:extLst>
              <c:ext xmlns:c16="http://schemas.microsoft.com/office/drawing/2014/chart" uri="{C3380CC4-5D6E-409C-BE32-E72D297353CC}">
                <c16:uniqueId val="{00000003-7727-488B-B7BF-B0A2A469B28B}"/>
              </c:ext>
            </c:extLst>
          </c:dPt>
          <c:dPt>
            <c:idx val="3"/>
            <c:bubble3D val="0"/>
            <c:spPr>
              <a:solidFill>
                <a:srgbClr val="CCFFFF"/>
              </a:solidFill>
              <a:ln w="12700">
                <a:solidFill>
                  <a:schemeClr val="bg1">
                    <a:lumMod val="65000"/>
                  </a:schemeClr>
                </a:solidFill>
                <a:prstDash val="solid"/>
              </a:ln>
            </c:spPr>
            <c:extLst>
              <c:ext xmlns:c16="http://schemas.microsoft.com/office/drawing/2014/chart" uri="{C3380CC4-5D6E-409C-BE32-E72D297353CC}">
                <c16:uniqueId val="{00000005-7727-488B-B7BF-B0A2A469B28B}"/>
              </c:ext>
            </c:extLst>
          </c:dPt>
          <c:dLbls>
            <c:dLbl>
              <c:idx val="0"/>
              <c:layout>
                <c:manualLayout>
                  <c:x val="0.12720782591299817"/>
                  <c:y val="-0.14733814226357808"/>
                </c:manualLayout>
              </c:layout>
              <c:numFmt formatCode="0.0%" sourceLinked="0"/>
              <c:spPr>
                <a:noFill/>
                <a:ln w="25400">
                  <a:noFill/>
                </a:ln>
              </c:spPr>
              <c:txPr>
                <a:bodyPr/>
                <a:lstStyle/>
                <a:p>
                  <a:pPr>
                    <a:defRPr b="1">
                      <a:solidFill>
                        <a:schemeClr val="bg1"/>
                      </a:solidFil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727-488B-B7BF-B0A2A469B28B}"/>
                </c:ext>
              </c:extLst>
            </c:dLbl>
            <c:dLbl>
              <c:idx val="1"/>
              <c:layout>
                <c:manualLayout>
                  <c:x val="-0.17872516402368641"/>
                  <c:y val="0.18596486498856732"/>
                </c:manualLayout>
              </c:layout>
              <c:numFmt formatCode="0.0%" sourceLinked="0"/>
              <c:spPr>
                <a:noFill/>
                <a:ln w="25400">
                  <a:noFill/>
                </a:ln>
                <a:effectLst/>
              </c:spPr>
              <c:txPr>
                <a:bodyPr/>
                <a:lstStyle/>
                <a:p>
                  <a:pPr>
                    <a:defRPr b="1">
                      <a:solidFill>
                        <a:schemeClr val="bg1"/>
                      </a:solidFil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727-488B-B7BF-B0A2A469B28B}"/>
                </c:ext>
              </c:extLst>
            </c:dLbl>
            <c:dLbl>
              <c:idx val="2"/>
              <c:layout>
                <c:manualLayout>
                  <c:x val="-0.16014608060285354"/>
                  <c:y val="-6.943998679130679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727-488B-B7BF-B0A2A469B28B}"/>
                </c:ext>
              </c:extLst>
            </c:dLbl>
            <c:dLbl>
              <c:idx val="3"/>
              <c:layout>
                <c:manualLayout>
                  <c:x val="-6.6195741466366267E-2"/>
                  <c:y val="1.012610314630284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727-488B-B7BF-B0A2A469B28B}"/>
                </c:ext>
              </c:extLst>
            </c:dLbl>
            <c:numFmt formatCode="0.0%" sourceLinked="0"/>
            <c:spPr>
              <a:noFill/>
              <a:ln w="25400">
                <a:noFill/>
              </a:ln>
            </c:spPr>
            <c:txPr>
              <a:bodyPr/>
              <a:lstStyle/>
              <a:p>
                <a:pPr>
                  <a:defRPr b="1"/>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'1.4'!$F$5:$I$5</c:f>
              <c:strCache>
                <c:ptCount val="4"/>
                <c:pt idx="0">
                  <c:v>Personal</c:v>
                </c:pt>
                <c:pt idx="1">
                  <c:v>Dependent</c:v>
                </c:pt>
                <c:pt idx="2">
                  <c:v>Age</c:v>
                </c:pt>
                <c:pt idx="3">
                  <c:v>Blindness</c:v>
                </c:pt>
              </c:strCache>
            </c:strRef>
          </c:cat>
          <c:val>
            <c:numRef>
              <c:f>'1.4'!$F$31:$I$31</c:f>
              <c:numCache>
                <c:formatCode>#,##0</c:formatCode>
                <c:ptCount val="4"/>
                <c:pt idx="0">
                  <c:v>5730676</c:v>
                </c:pt>
                <c:pt idx="1">
                  <c:v>2233950</c:v>
                </c:pt>
                <c:pt idx="2">
                  <c:v>1173682</c:v>
                </c:pt>
                <c:pt idx="3">
                  <c:v>8587</c:v>
                </c:pt>
              </c:numCache>
            </c:numRef>
          </c:val>
          <c:extLst>
            <c:ext xmlns:c16="http://schemas.microsoft.com/office/drawing/2014/chart" uri="{C3380CC4-5D6E-409C-BE32-E72D297353CC}">
              <c16:uniqueId val="{00000007-7727-488B-B7BF-B0A2A469B28B}"/>
            </c:ext>
          </c:extLst>
        </c:ser>
        <c:dLbls>
          <c:showLegendKey val="0"/>
          <c:showVal val="0"/>
          <c:showCatName val="1"/>
          <c:showSerName val="0"/>
          <c:showPercent val="1"/>
          <c:showBubbleSize val="0"/>
          <c:showLeaderLines val="0"/>
        </c:dLbls>
        <c:firstSliceAng val="133"/>
      </c:pieChart>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a:pPr>
            <a:r>
              <a:rPr lang="en-US" sz="1200"/>
              <a:t>Refund Match Totals</a:t>
            </a:r>
          </a:p>
        </c:rich>
      </c:tx>
      <c:layout>
        <c:manualLayout>
          <c:xMode val="edge"/>
          <c:yMode val="edge"/>
          <c:x val="0.36511614173228346"/>
          <c:y val="9.4639249230536835E-4"/>
        </c:manualLayout>
      </c:layout>
      <c:overlay val="0"/>
      <c:spPr>
        <a:noFill/>
        <a:ln w="25400">
          <a:noFill/>
        </a:ln>
      </c:spPr>
    </c:title>
    <c:autoTitleDeleted val="0"/>
    <c:plotArea>
      <c:layout>
        <c:manualLayout>
          <c:layoutTarget val="inner"/>
          <c:xMode val="edge"/>
          <c:yMode val="edge"/>
          <c:x val="0.11884674943776573"/>
          <c:y val="9.4907655278263198E-2"/>
          <c:w val="0.86747467893823915"/>
          <c:h val="0.76642497026001255"/>
        </c:manualLayout>
      </c:layout>
      <c:barChart>
        <c:barDir val="col"/>
        <c:grouping val="clustered"/>
        <c:varyColors val="0"/>
        <c:ser>
          <c:idx val="0"/>
          <c:order val="0"/>
          <c:tx>
            <c:strRef>
              <c:f>'1.8-1.9'!$D$28</c:f>
              <c:strCache>
                <c:ptCount val="1"/>
                <c:pt idx="0">
                  <c:v>Total</c:v>
                </c:pt>
              </c:strCache>
            </c:strRef>
          </c:tx>
          <c:spPr>
            <a:solidFill>
              <a:schemeClr val="accent1"/>
            </a:solidFill>
            <a:ln w="12700">
              <a:noFill/>
              <a:prstDash val="solid"/>
            </a:ln>
          </c:spPr>
          <c:invertIfNegative val="0"/>
          <c:dLbls>
            <c:numFmt formatCode="&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numRef>
              <c:f>'1.8-1.9'!$C$30:$C$40</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'1.8-1.9'!$D$30:$D$40</c:f>
              <c:numCache>
                <c:formatCode>#,##0</c:formatCode>
                <c:ptCount val="11"/>
                <c:pt idx="0">
                  <c:v>18211926.469999999</c:v>
                </c:pt>
                <c:pt idx="1">
                  <c:v>19469019.920000002</c:v>
                </c:pt>
                <c:pt idx="2">
                  <c:v>19206043.66</c:v>
                </c:pt>
                <c:pt idx="3">
                  <c:v>16359793.289999999</c:v>
                </c:pt>
                <c:pt idx="4">
                  <c:v>17431562.34</c:v>
                </c:pt>
                <c:pt idx="5">
                  <c:v>16204019.57</c:v>
                </c:pt>
                <c:pt idx="6">
                  <c:v>17428289.379999999</c:v>
                </c:pt>
                <c:pt idx="7">
                  <c:v>18570711.949999999</c:v>
                </c:pt>
                <c:pt idx="8">
                  <c:v>19281706.66</c:v>
                </c:pt>
                <c:pt idx="9">
                  <c:v>27012720.899999999</c:v>
                </c:pt>
                <c:pt idx="10">
                  <c:v>22883149.32</c:v>
                </c:pt>
              </c:numCache>
            </c:numRef>
          </c:val>
          <c:extLst>
            <c:ext xmlns:c16="http://schemas.microsoft.com/office/drawing/2014/chart" uri="{C3380CC4-5D6E-409C-BE32-E72D297353CC}">
              <c16:uniqueId val="{00000000-EE41-40D4-8EA6-16BDA6F443CA}"/>
            </c:ext>
          </c:extLst>
        </c:ser>
        <c:dLbls>
          <c:showLegendKey val="0"/>
          <c:showVal val="0"/>
          <c:showCatName val="0"/>
          <c:showSerName val="0"/>
          <c:showPercent val="0"/>
          <c:showBubbleSize val="0"/>
        </c:dLbls>
        <c:gapWidth val="75"/>
        <c:axId val="75302016"/>
        <c:axId val="75303936"/>
      </c:barChart>
      <c:catAx>
        <c:axId val="75302016"/>
        <c:scaling>
          <c:orientation val="minMax"/>
        </c:scaling>
        <c:delete val="0"/>
        <c:axPos val="b"/>
        <c:title>
          <c:tx>
            <c:rich>
              <a:bodyPr/>
              <a:lstStyle/>
              <a:p>
                <a:pPr>
                  <a:defRPr/>
                </a:pPr>
                <a:r>
                  <a:rPr lang="en-US"/>
                  <a:t>Tax Year</a:t>
                </a:r>
              </a:p>
            </c:rich>
          </c:tx>
          <c:layout>
            <c:manualLayout>
              <c:xMode val="edge"/>
              <c:yMode val="edge"/>
              <c:x val="0.49485739282589675"/>
              <c:y val="0.92707415170226026"/>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n-US"/>
          </a:p>
        </c:txPr>
        <c:crossAx val="75303936"/>
        <c:crosses val="autoZero"/>
        <c:auto val="1"/>
        <c:lblAlgn val="ctr"/>
        <c:lblOffset val="0"/>
        <c:noMultiLvlLbl val="0"/>
      </c:catAx>
      <c:valAx>
        <c:axId val="75303936"/>
        <c:scaling>
          <c:orientation val="minMax"/>
        </c:scaling>
        <c:delete val="0"/>
        <c:axPos val="l"/>
        <c:majorGridlines>
          <c:spPr>
            <a:ln w="3175">
              <a:solidFill>
                <a:schemeClr val="bg1">
                  <a:lumMod val="8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a:pPr>
            <a:endParaRPr lang="en-US"/>
          </a:p>
        </c:txPr>
        <c:crossAx val="75302016"/>
        <c:crosses val="autoZero"/>
        <c:crossBetween val="between"/>
        <c:dispUnits>
          <c:builtInUnit val="millions"/>
          <c:dispUnitsLbl>
            <c:layout>
              <c:manualLayout>
                <c:xMode val="edge"/>
                <c:yMode val="edge"/>
                <c:x val="3.9828663712516256E-3"/>
                <c:y val="9.0234255275447151E-2"/>
              </c:manualLayout>
            </c:layout>
          </c:dispUnitsLbl>
        </c:dispUnits>
      </c:valAx>
      <c:spPr>
        <a:solidFill>
          <a:srgbClr val="FFFFFF"/>
        </a:solidFill>
        <a:ln w="12700">
          <a:solidFill>
            <a:schemeClr val="bg1">
              <a:lumMod val="85000"/>
            </a:schemeClr>
          </a:solid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a:pPr>
            <a:r>
              <a:rPr lang="en-US" sz="1200"/>
              <a:t>Corporate Income Tax Collections</a:t>
            </a:r>
          </a:p>
        </c:rich>
      </c:tx>
      <c:layout>
        <c:manualLayout>
          <c:xMode val="edge"/>
          <c:yMode val="edge"/>
          <c:x val="0.30758914712273866"/>
          <c:y val="9.4634004082822963E-4"/>
        </c:manualLayout>
      </c:layout>
      <c:overlay val="0"/>
      <c:spPr>
        <a:noFill/>
        <a:ln w="25400">
          <a:noFill/>
        </a:ln>
      </c:spPr>
    </c:title>
    <c:autoTitleDeleted val="0"/>
    <c:plotArea>
      <c:layout>
        <c:manualLayout>
          <c:layoutTarget val="inner"/>
          <c:xMode val="edge"/>
          <c:yMode val="edge"/>
          <c:x val="0.13467175607615881"/>
          <c:y val="9.4509417010772728E-2"/>
          <c:w val="0.83167757619109162"/>
          <c:h val="0.77653656108021529"/>
        </c:manualLayout>
      </c:layout>
      <c:barChart>
        <c:barDir val="col"/>
        <c:grouping val="clustered"/>
        <c:varyColors val="0"/>
        <c:ser>
          <c:idx val="0"/>
          <c:order val="0"/>
          <c:tx>
            <c:strRef>
              <c:f>'2.1'!$D$4</c:f>
              <c:strCache>
                <c:ptCount val="1"/>
                <c:pt idx="0">
                  <c:v>Amount</c:v>
                </c:pt>
              </c:strCache>
            </c:strRef>
          </c:tx>
          <c:spPr>
            <a:solidFill>
              <a:schemeClr val="accent1"/>
            </a:solidFill>
            <a:ln w="12700">
              <a:noFill/>
              <a:prstDash val="solid"/>
            </a:ln>
          </c:spPr>
          <c:invertIfNegative val="0"/>
          <c:dLbls>
            <c:numFmt formatCode="&quot;$&quot;#,##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numRef>
              <c:f>'2.1'!$B$5:$B$14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'2.1'!$D$5:$D$14</c:f>
              <c:numCache>
                <c:formatCode>#,##0</c:formatCode>
                <c:ptCount val="10"/>
                <c:pt idx="0" formatCode="&quot;$&quot;#,##0">
                  <c:v>764948013.7700001</c:v>
                </c:pt>
                <c:pt idx="1">
                  <c:v>826960822.31000006</c:v>
                </c:pt>
                <c:pt idx="2">
                  <c:v>861897138.17999983</c:v>
                </c:pt>
                <c:pt idx="3">
                  <c:v>943390660.94999993</c:v>
                </c:pt>
                <c:pt idx="4">
                  <c:v>1011649618.3</c:v>
                </c:pt>
                <c:pt idx="5">
                  <c:v>1515692110.6500001</c:v>
                </c:pt>
                <c:pt idx="6">
                  <c:v>1978697205.29</c:v>
                </c:pt>
                <c:pt idx="7">
                  <c:v>2031120170.5999999</c:v>
                </c:pt>
                <c:pt idx="8">
                  <c:v>1907065381.2499995</c:v>
                </c:pt>
                <c:pt idx="9">
                  <c:v>1878586172.1000001</c:v>
                </c:pt>
              </c:numCache>
            </c:numRef>
          </c:val>
          <c:extLst>
            <c:ext xmlns:c16="http://schemas.microsoft.com/office/drawing/2014/chart" uri="{C3380CC4-5D6E-409C-BE32-E72D297353CC}">
              <c16:uniqueId val="{00000000-1971-4F3C-95F7-78ACE0F46B45}"/>
            </c:ext>
          </c:extLst>
        </c:ser>
        <c:dLbls>
          <c:showLegendKey val="0"/>
          <c:showVal val="0"/>
          <c:showCatName val="0"/>
          <c:showSerName val="0"/>
          <c:showPercent val="0"/>
          <c:showBubbleSize val="0"/>
        </c:dLbls>
        <c:gapWidth val="75"/>
        <c:axId val="75302016"/>
        <c:axId val="75303936"/>
      </c:barChart>
      <c:catAx>
        <c:axId val="75302016"/>
        <c:scaling>
          <c:orientation val="minMax"/>
        </c:scaling>
        <c:delete val="0"/>
        <c:axPos val="b"/>
        <c:title>
          <c:tx>
            <c:rich>
              <a:bodyPr/>
              <a:lstStyle/>
              <a:p>
                <a:pPr>
                  <a:defRPr/>
                </a:pPr>
                <a:r>
                  <a:rPr lang="en-US"/>
                  <a:t>Fiscal Year</a:t>
                </a:r>
              </a:p>
            </c:rich>
          </c:tx>
          <c:layout>
            <c:manualLayout>
              <c:xMode val="edge"/>
              <c:yMode val="edge"/>
              <c:x val="0.4907766405614043"/>
              <c:y val="0.93492849021723523"/>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n-US"/>
          </a:p>
        </c:txPr>
        <c:crossAx val="75303936"/>
        <c:crosses val="autoZero"/>
        <c:auto val="1"/>
        <c:lblAlgn val="ctr"/>
        <c:lblOffset val="0"/>
        <c:noMultiLvlLbl val="0"/>
      </c:catAx>
      <c:valAx>
        <c:axId val="75303936"/>
        <c:scaling>
          <c:orientation val="minMax"/>
        </c:scaling>
        <c:delete val="0"/>
        <c:axPos val="l"/>
        <c:majorGridlines>
          <c:spPr>
            <a:ln w="3175">
              <a:solidFill>
                <a:schemeClr val="bg1">
                  <a:lumMod val="8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a:pPr>
            <a:endParaRPr lang="en-US"/>
          </a:p>
        </c:txPr>
        <c:crossAx val="75302016"/>
        <c:crosses val="autoZero"/>
        <c:crossBetween val="between"/>
        <c:dispUnits>
          <c:builtInUnit val="millions"/>
          <c:dispUnitsLbl>
            <c:layout>
              <c:manualLayout>
                <c:xMode val="edge"/>
                <c:yMode val="edge"/>
                <c:x val="3.9828663712516256E-3"/>
                <c:y val="9.0234255275447151E-2"/>
              </c:manualLayout>
            </c:layout>
          </c:dispUnitsLbl>
        </c:dispUnits>
      </c:valAx>
      <c:spPr>
        <a:solidFill>
          <a:srgbClr val="FFFFFF"/>
        </a:solidFill>
        <a:ln w="12700">
          <a:solidFill>
            <a:schemeClr val="bg1">
              <a:lumMod val="85000"/>
            </a:schemeClr>
          </a:solid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en-US"/>
    </a:p>
  </c:txPr>
  <c:printSettings>
    <c:headerFooter alignWithMargins="0"/>
    <c:pageMargins b="1" l="0.75000000000001465" r="0.75000000000001465" t="1" header="0.5" footer="0.5"/>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189609</xdr:colOff>
      <xdr:row>0</xdr:row>
      <xdr:rowOff>126999</xdr:rowOff>
    </xdr:from>
    <xdr:to>
      <xdr:col>25</xdr:col>
      <xdr:colOff>85401</xdr:colOff>
      <xdr:row>21</xdr:row>
      <xdr:rowOff>143933</xdr:rowOff>
    </xdr:to>
    <xdr:graphicFrame macro="">
      <xdr:nvGraphicFramePr>
        <xdr:cNvPr id="5" name="Chart 1">
          <a:extLst>
            <a:ext uri="{FF2B5EF4-FFF2-40B4-BE49-F238E27FC236}">
              <a16:creationId xmlns:a16="http://schemas.microsoft.com/office/drawing/2014/main" id="{26728F93-74AD-4E7E-B324-76267DD62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208046</xdr:colOff>
      <xdr:row>22</xdr:row>
      <xdr:rowOff>31248</xdr:rowOff>
    </xdr:from>
    <xdr:to>
      <xdr:col>25</xdr:col>
      <xdr:colOff>48327</xdr:colOff>
      <xdr:row>43</xdr:row>
      <xdr:rowOff>55521</xdr:rowOff>
    </xdr:to>
    <xdr:graphicFrame macro="">
      <xdr:nvGraphicFramePr>
        <xdr:cNvPr id="7" name="Chart 2">
          <a:extLst>
            <a:ext uri="{FF2B5EF4-FFF2-40B4-BE49-F238E27FC236}">
              <a16:creationId xmlns:a16="http://schemas.microsoft.com/office/drawing/2014/main" id="{9C08EDAD-2992-41B8-A03F-767394961F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447675</xdr:colOff>
      <xdr:row>2</xdr:row>
      <xdr:rowOff>85725</xdr:rowOff>
    </xdr:from>
    <xdr:to>
      <xdr:col>4</xdr:col>
      <xdr:colOff>5751195</xdr:colOff>
      <xdr:row>24</xdr:row>
      <xdr:rowOff>0</xdr:rowOff>
    </xdr:to>
    <xdr:graphicFrame macro="">
      <xdr:nvGraphicFramePr>
        <xdr:cNvPr id="6" name="Chart 5">
          <a:extLst>
            <a:ext uri="{FF2B5EF4-FFF2-40B4-BE49-F238E27FC236}">
              <a16:creationId xmlns:a16="http://schemas.microsoft.com/office/drawing/2014/main" id="{FDBE3C31-D40C-4BEC-9291-B9E5128BA4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93416</xdr:colOff>
      <xdr:row>1</xdr:row>
      <xdr:rowOff>75810</xdr:rowOff>
    </xdr:from>
    <xdr:to>
      <xdr:col>18</xdr:col>
      <xdr:colOff>5551241</xdr:colOff>
      <xdr:row>21</xdr:row>
      <xdr:rowOff>132817</xdr:rowOff>
    </xdr:to>
    <xdr:graphicFrame macro="">
      <xdr:nvGraphicFramePr>
        <xdr:cNvPr id="8" name="Chart 2">
          <a:extLst>
            <a:ext uri="{FF2B5EF4-FFF2-40B4-BE49-F238E27FC236}">
              <a16:creationId xmlns:a16="http://schemas.microsoft.com/office/drawing/2014/main" id="{7A2CCA02-47DD-4796-A194-C3115F662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66510</xdr:colOff>
      <xdr:row>23</xdr:row>
      <xdr:rowOff>335</xdr:rowOff>
    </xdr:from>
    <xdr:to>
      <xdr:col>21</xdr:col>
      <xdr:colOff>31271</xdr:colOff>
      <xdr:row>46</xdr:row>
      <xdr:rowOff>27242</xdr:rowOff>
    </xdr:to>
    <xdr:graphicFrame macro="">
      <xdr:nvGraphicFramePr>
        <xdr:cNvPr id="11" name="Chart 1">
          <a:extLst>
            <a:ext uri="{FF2B5EF4-FFF2-40B4-BE49-F238E27FC236}">
              <a16:creationId xmlns:a16="http://schemas.microsoft.com/office/drawing/2014/main" id="{ADBF7A7A-565A-483B-B1D4-8DC3F0364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57152</xdr:colOff>
      <xdr:row>0</xdr:row>
      <xdr:rowOff>162984</xdr:rowOff>
    </xdr:from>
    <xdr:to>
      <xdr:col>6</xdr:col>
      <xdr:colOff>5726432</xdr:colOff>
      <xdr:row>20</xdr:row>
      <xdr:rowOff>134409</xdr:rowOff>
    </xdr:to>
    <xdr:graphicFrame macro="">
      <xdr:nvGraphicFramePr>
        <xdr:cNvPr id="5" name="Chart 1">
          <a:extLst>
            <a:ext uri="{FF2B5EF4-FFF2-40B4-BE49-F238E27FC236}">
              <a16:creationId xmlns:a16="http://schemas.microsoft.com/office/drawing/2014/main" id="{2CD1CD40-66CA-44A9-BB1C-1FA83009D7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10587</xdr:colOff>
      <xdr:row>5</xdr:row>
      <xdr:rowOff>46563</xdr:rowOff>
    </xdr:from>
    <xdr:to>
      <xdr:col>9</xdr:col>
      <xdr:colOff>657226</xdr:colOff>
      <xdr:row>23</xdr:row>
      <xdr:rowOff>114300</xdr:rowOff>
    </xdr:to>
    <xdr:graphicFrame macro="">
      <xdr:nvGraphicFramePr>
        <xdr:cNvPr id="5" name="Chart 1">
          <a:extLst>
            <a:ext uri="{FF2B5EF4-FFF2-40B4-BE49-F238E27FC236}">
              <a16:creationId xmlns:a16="http://schemas.microsoft.com/office/drawing/2014/main" id="{C13CE916-1111-450D-B388-A3E95AEACA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90167</xdr:colOff>
      <xdr:row>4</xdr:row>
      <xdr:rowOff>260349</xdr:rowOff>
    </xdr:from>
    <xdr:to>
      <xdr:col>12</xdr:col>
      <xdr:colOff>654894</xdr:colOff>
      <xdr:row>26</xdr:row>
      <xdr:rowOff>103292</xdr:rowOff>
    </xdr:to>
    <xdr:graphicFrame macro="">
      <xdr:nvGraphicFramePr>
        <xdr:cNvPr id="5" name="Chart 1">
          <a:extLst>
            <a:ext uri="{FF2B5EF4-FFF2-40B4-BE49-F238E27FC236}">
              <a16:creationId xmlns:a16="http://schemas.microsoft.com/office/drawing/2014/main" id="{157EEA75-82D1-4C51-B450-616D589B1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596902</xdr:colOff>
      <xdr:row>24</xdr:row>
      <xdr:rowOff>38100</xdr:rowOff>
    </xdr:from>
    <xdr:to>
      <xdr:col>12</xdr:col>
      <xdr:colOff>438152</xdr:colOff>
      <xdr:row>41</xdr:row>
      <xdr:rowOff>0</xdr:rowOff>
    </xdr:to>
    <xdr:graphicFrame macro="">
      <xdr:nvGraphicFramePr>
        <xdr:cNvPr id="3" name="Chart 1">
          <a:extLst>
            <a:ext uri="{FF2B5EF4-FFF2-40B4-BE49-F238E27FC236}">
              <a16:creationId xmlns:a16="http://schemas.microsoft.com/office/drawing/2014/main" id="{849610E3-3F32-404B-ADE0-A5E1DFE6C5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28577</xdr:colOff>
      <xdr:row>1</xdr:row>
      <xdr:rowOff>1059</xdr:rowOff>
    </xdr:from>
    <xdr:to>
      <xdr:col>6</xdr:col>
      <xdr:colOff>5111750</xdr:colOff>
      <xdr:row>16</xdr:row>
      <xdr:rowOff>152400</xdr:rowOff>
    </xdr:to>
    <xdr:graphicFrame macro="">
      <xdr:nvGraphicFramePr>
        <xdr:cNvPr id="3" name="Chart 1">
          <a:extLst>
            <a:ext uri="{FF2B5EF4-FFF2-40B4-BE49-F238E27FC236}">
              <a16:creationId xmlns:a16="http://schemas.microsoft.com/office/drawing/2014/main" id="{7744F413-400A-4B76-926E-107448919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160864</xdr:colOff>
      <xdr:row>25</xdr:row>
      <xdr:rowOff>17990</xdr:rowOff>
    </xdr:from>
    <xdr:to>
      <xdr:col>17</xdr:col>
      <xdr:colOff>102656</xdr:colOff>
      <xdr:row>37</xdr:row>
      <xdr:rowOff>10582</xdr:rowOff>
    </xdr:to>
    <xdr:graphicFrame macro="">
      <xdr:nvGraphicFramePr>
        <xdr:cNvPr id="2" name="Chart 1">
          <a:extLst>
            <a:ext uri="{FF2B5EF4-FFF2-40B4-BE49-F238E27FC236}">
              <a16:creationId xmlns:a16="http://schemas.microsoft.com/office/drawing/2014/main" id="{C594F228-A259-D68E-3EE9-6FCD3EE997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169333</xdr:colOff>
      <xdr:row>30</xdr:row>
      <xdr:rowOff>76199</xdr:rowOff>
    </xdr:from>
    <xdr:to>
      <xdr:col>7</xdr:col>
      <xdr:colOff>75141</xdr:colOff>
      <xdr:row>47</xdr:row>
      <xdr:rowOff>116416</xdr:rowOff>
    </xdr:to>
    <xdr:graphicFrame macro="">
      <xdr:nvGraphicFramePr>
        <xdr:cNvPr id="4" name="Chart 1">
          <a:extLst>
            <a:ext uri="{FF2B5EF4-FFF2-40B4-BE49-F238E27FC236}">
              <a16:creationId xmlns:a16="http://schemas.microsoft.com/office/drawing/2014/main" id="{43466BEA-FC7B-4EFC-9A02-D9663EEA1A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VAtax">
      <a:dk1>
        <a:sysClr val="windowText" lastClr="000000"/>
      </a:dk1>
      <a:lt1>
        <a:sysClr val="window" lastClr="FFFFFF"/>
      </a:lt1>
      <a:dk2>
        <a:srgbClr val="243459"/>
      </a:dk2>
      <a:lt2>
        <a:srgbClr val="E0E0E0"/>
      </a:lt2>
      <a:accent1>
        <a:srgbClr val="008DCE"/>
      </a:accent1>
      <a:accent2>
        <a:srgbClr val="71B330"/>
      </a:accent2>
      <a:accent3>
        <a:srgbClr val="243459"/>
      </a:accent3>
      <a:accent4>
        <a:srgbClr val="F8D500"/>
      </a:accent4>
      <a:accent5>
        <a:srgbClr val="E88D19"/>
      </a:accent5>
      <a:accent6>
        <a:srgbClr val="DA3D2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VAtax">
    <a:dk1>
      <a:sysClr val="windowText" lastClr="000000"/>
    </a:dk1>
    <a:lt1>
      <a:sysClr val="window" lastClr="FFFFFF"/>
    </a:lt1>
    <a:dk2>
      <a:srgbClr val="243459"/>
    </a:dk2>
    <a:lt2>
      <a:srgbClr val="E0E0E0"/>
    </a:lt2>
    <a:accent1>
      <a:srgbClr val="008DCE"/>
    </a:accent1>
    <a:accent2>
      <a:srgbClr val="71B330"/>
    </a:accent2>
    <a:accent3>
      <a:srgbClr val="243459"/>
    </a:accent3>
    <a:accent4>
      <a:srgbClr val="F8D500"/>
    </a:accent4>
    <a:accent5>
      <a:srgbClr val="E88D19"/>
    </a:accent5>
    <a:accent6>
      <a:srgbClr val="DA3D2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www.coopercenter.org/" TargetMode="External"/><Relationship Id="rId1" Type="http://schemas.openxmlformats.org/officeDocument/2006/relationships/hyperlink" Target="http://www.tax.virginia.gov/" TargetMode="External"/><Relationship Id="rId4" Type="http://schemas.openxmlformats.org/officeDocument/2006/relationships/vmlDrawing" Target="../drawings/vmlDrawing3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0BA12-8B9E-4EA3-84D3-EF5415401EEF}">
  <sheetPr codeName="Sheet1"/>
  <dimension ref="A1:A12"/>
  <sheetViews>
    <sheetView tabSelected="1" zoomScale="110" zoomScaleNormal="110" workbookViewId="0"/>
  </sheetViews>
  <sheetFormatPr defaultRowHeight="13"/>
  <cols>
    <col min="1" max="1" width="126.8984375" style="1" bestFit="1" customWidth="1"/>
    <col min="2" max="2" width="1.69921875" customWidth="1"/>
  </cols>
  <sheetData>
    <row r="1" spans="1:1" ht="15.5">
      <c r="A1" s="235"/>
    </row>
    <row r="2" spans="1:1" ht="46">
      <c r="A2" s="236" t="s">
        <v>0</v>
      </c>
    </row>
    <row r="3" spans="1:1" ht="46">
      <c r="A3" s="236" t="s">
        <v>1</v>
      </c>
    </row>
    <row r="4" spans="1:1" ht="46">
      <c r="A4" s="236" t="s">
        <v>1222</v>
      </c>
    </row>
    <row r="5" spans="1:1" s="2" customFormat="1" ht="24" customHeight="1">
      <c r="A5" s="226"/>
    </row>
    <row r="6" spans="1:1" ht="35" customHeight="1">
      <c r="A6" s="237" t="s">
        <v>3</v>
      </c>
    </row>
    <row r="7" spans="1:1" ht="35" customHeight="1">
      <c r="A7" s="237" t="s">
        <v>2</v>
      </c>
    </row>
    <row r="8" spans="1:1" s="2" customFormat="1" ht="24" customHeight="1">
      <c r="A8" s="235"/>
    </row>
    <row r="9" spans="1:1" ht="25" customHeight="1">
      <c r="A9" s="238" t="s">
        <v>1473</v>
      </c>
    </row>
    <row r="10" spans="1:1" ht="25" customHeight="1">
      <c r="A10" s="238" t="s">
        <v>1474</v>
      </c>
    </row>
    <row r="11" spans="1:1" ht="25" customHeight="1">
      <c r="A11" s="238" t="s">
        <v>1471</v>
      </c>
    </row>
    <row r="12" spans="1:1">
      <c r="A12" s="230"/>
    </row>
  </sheetData>
  <printOptions horizontalCentered="1" verticalCentered="1"/>
  <pageMargins left="0.5" right="0.5" top="0.4" bottom="0.5" header="0.25" footer="0.35"/>
  <pageSetup orientation="landscape" cellComments="asDisplayed" r:id="rId1"/>
  <headerFooter scaleWithDoc="0">
    <oddFooter>&amp;R&amp;G&amp;L© 2025 Virginia Department of Taxation, All Rights Reserved</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F731-EBEB-46EC-B282-68ACC05C5EDA}">
  <sheetPr codeName="Sheet18"/>
  <dimension ref="A1:P182"/>
  <sheetViews>
    <sheetView zoomScaleNormal="100" workbookViewId="0"/>
  </sheetViews>
  <sheetFormatPr defaultRowHeight="13"/>
  <cols>
    <col min="1" max="1" width="4.19921875" customWidth="1"/>
    <col min="2" max="2" width="15.69921875" customWidth="1"/>
    <col min="3" max="3" width="0.19921875" style="245" customWidth="1"/>
    <col min="4" max="4" width="11.69921875" style="4" customWidth="1"/>
    <col min="5" max="5" width="15.69921875" style="4" customWidth="1"/>
    <col min="6" max="6" width="1.69921875" style="4" customWidth="1"/>
    <col min="7" max="8" width="11.69921875" style="4" customWidth="1"/>
    <col min="9" max="9" width="16.69921875" style="4" customWidth="1"/>
    <col min="10" max="10" width="11.69921875" style="4" customWidth="1"/>
    <col min="11" max="11" width="1.69921875" style="4" customWidth="1"/>
    <col min="12" max="12" width="11.69921875" style="4" customWidth="1"/>
    <col min="13" max="13" width="13.69921875" style="4" customWidth="1"/>
    <col min="14" max="14" width="15.69921875" style="9" customWidth="1"/>
    <col min="15" max="15" width="1.69921875" customWidth="1"/>
    <col min="16" max="16" width="5.19921875" customWidth="1"/>
  </cols>
  <sheetData>
    <row r="1" spans="1:16" ht="15.5">
      <c r="A1" s="813" t="s">
        <v>42</v>
      </c>
      <c r="B1" s="63" t="s">
        <v>791</v>
      </c>
      <c r="C1" s="239"/>
      <c r="D1" s="100"/>
      <c r="E1" s="100"/>
      <c r="F1" s="100"/>
      <c r="G1" s="100"/>
      <c r="H1" s="100"/>
      <c r="I1" s="100"/>
      <c r="J1" s="100"/>
      <c r="K1" s="100"/>
      <c r="L1" s="100"/>
      <c r="M1" s="100"/>
      <c r="N1" s="174"/>
      <c r="P1" s="8"/>
    </row>
    <row r="2" spans="1:16">
      <c r="B2" s="64" t="s">
        <v>1230</v>
      </c>
      <c r="C2" s="240"/>
      <c r="D2" s="100"/>
      <c r="E2" s="100"/>
      <c r="F2" s="100"/>
      <c r="G2" s="100"/>
      <c r="H2" s="100"/>
      <c r="I2" s="100"/>
      <c r="J2" s="100"/>
      <c r="K2" s="100"/>
      <c r="L2" s="100"/>
      <c r="M2" s="100"/>
      <c r="N2" s="174"/>
    </row>
    <row r="3" spans="1:16" ht="3" customHeight="1" thickBot="1">
      <c r="B3" s="64"/>
      <c r="C3" s="240"/>
      <c r="D3" s="100"/>
      <c r="E3" s="100"/>
      <c r="F3" s="100"/>
      <c r="G3" s="100"/>
      <c r="H3" s="100"/>
      <c r="I3" s="100"/>
      <c r="J3" s="100"/>
      <c r="K3" s="100"/>
      <c r="L3" s="100"/>
      <c r="M3" s="100"/>
      <c r="N3" s="174"/>
    </row>
    <row r="4" spans="1:16">
      <c r="B4" s="175"/>
      <c r="C4" s="256"/>
      <c r="D4" s="176" t="s">
        <v>792</v>
      </c>
      <c r="E4" s="176"/>
      <c r="F4" s="258"/>
      <c r="G4" s="176" t="s">
        <v>793</v>
      </c>
      <c r="H4" s="176"/>
      <c r="I4" s="176"/>
      <c r="J4" s="176"/>
      <c r="K4" s="258"/>
      <c r="L4" s="176" t="s">
        <v>794</v>
      </c>
      <c r="M4" s="176"/>
      <c r="N4" s="176"/>
    </row>
    <row r="5" spans="1:16" ht="24" customHeight="1">
      <c r="B5" s="179" t="s">
        <v>125</v>
      </c>
      <c r="C5" s="262" t="s">
        <v>252</v>
      </c>
      <c r="D5" s="263" t="s">
        <v>795</v>
      </c>
      <c r="E5" s="263" t="s">
        <v>796</v>
      </c>
      <c r="F5" s="259"/>
      <c r="G5" s="263" t="s">
        <v>797</v>
      </c>
      <c r="H5" s="263" t="s">
        <v>798</v>
      </c>
      <c r="I5" s="263" t="s">
        <v>796</v>
      </c>
      <c r="J5" s="263" t="s">
        <v>799</v>
      </c>
      <c r="K5" s="259"/>
      <c r="L5" s="263" t="s">
        <v>800</v>
      </c>
      <c r="M5" s="263" t="s">
        <v>801</v>
      </c>
      <c r="N5" s="263" t="s">
        <v>802</v>
      </c>
    </row>
    <row r="6" spans="1:16" ht="21" customHeight="1">
      <c r="B6" s="66" t="s">
        <v>255</v>
      </c>
      <c r="C6" s="242" t="s">
        <v>651</v>
      </c>
      <c r="D6" s="182">
        <v>169484</v>
      </c>
      <c r="E6" s="260">
        <v>152315948.53999999</v>
      </c>
      <c r="F6" s="264"/>
      <c r="G6" s="182">
        <v>71566</v>
      </c>
      <c r="H6" s="182">
        <v>20032</v>
      </c>
      <c r="I6" s="260">
        <v>1468747819.98</v>
      </c>
      <c r="J6" s="182">
        <v>91598</v>
      </c>
      <c r="K6" s="264"/>
      <c r="L6" s="182">
        <v>62716</v>
      </c>
      <c r="M6" s="182">
        <v>24697</v>
      </c>
      <c r="N6" s="182">
        <v>4185</v>
      </c>
    </row>
    <row r="7" spans="1:16">
      <c r="B7" s="66" t="s">
        <v>258</v>
      </c>
      <c r="C7" s="242" t="s">
        <v>652</v>
      </c>
      <c r="D7" s="182">
        <v>22785</v>
      </c>
      <c r="E7" s="182">
        <v>20690043.629999999</v>
      </c>
      <c r="F7" s="265"/>
      <c r="G7" s="182">
        <v>10741</v>
      </c>
      <c r="H7" s="182">
        <v>444</v>
      </c>
      <c r="I7" s="182">
        <v>153316805.84</v>
      </c>
      <c r="J7" s="182">
        <v>11185</v>
      </c>
      <c r="K7" s="265"/>
      <c r="L7" s="182">
        <v>6728</v>
      </c>
      <c r="M7" s="182">
        <v>3257</v>
      </c>
      <c r="N7" s="182">
        <v>1200</v>
      </c>
    </row>
    <row r="8" spans="1:16">
      <c r="B8" s="66" t="s">
        <v>261</v>
      </c>
      <c r="C8" s="242" t="s">
        <v>653</v>
      </c>
      <c r="D8" s="182">
        <v>6179</v>
      </c>
      <c r="E8" s="182">
        <v>5576475.8399999999</v>
      </c>
      <c r="F8" s="265"/>
      <c r="G8" s="182">
        <v>2715</v>
      </c>
      <c r="H8" s="182">
        <v>111</v>
      </c>
      <c r="I8" s="182">
        <v>47823778.409999996</v>
      </c>
      <c r="J8" s="182">
        <v>2826</v>
      </c>
      <c r="K8" s="265"/>
      <c r="L8" s="182">
        <v>1720</v>
      </c>
      <c r="M8" s="182">
        <v>1036</v>
      </c>
      <c r="N8" s="182">
        <v>70</v>
      </c>
    </row>
    <row r="9" spans="1:16">
      <c r="B9" s="66" t="s">
        <v>264</v>
      </c>
      <c r="C9" s="242" t="s">
        <v>654</v>
      </c>
      <c r="D9" s="182">
        <v>40442</v>
      </c>
      <c r="E9" s="182">
        <v>36463827.75</v>
      </c>
      <c r="F9" s="265"/>
      <c r="G9" s="182">
        <v>18743</v>
      </c>
      <c r="H9" s="182">
        <v>2476</v>
      </c>
      <c r="I9" s="182">
        <v>347632456.66000003</v>
      </c>
      <c r="J9" s="182">
        <v>21219</v>
      </c>
      <c r="K9" s="265"/>
      <c r="L9" s="182">
        <v>14495</v>
      </c>
      <c r="M9" s="182">
        <v>5844</v>
      </c>
      <c r="N9" s="182">
        <v>880</v>
      </c>
    </row>
    <row r="10" spans="1:16">
      <c r="B10" s="66" t="s">
        <v>181</v>
      </c>
      <c r="C10" s="242" t="s">
        <v>655</v>
      </c>
      <c r="D10" s="182">
        <v>243424</v>
      </c>
      <c r="E10" s="182">
        <v>220529122.87</v>
      </c>
      <c r="F10" s="265"/>
      <c r="G10" s="182">
        <v>94828</v>
      </c>
      <c r="H10" s="182">
        <v>14562</v>
      </c>
      <c r="I10" s="182">
        <v>1535979927.6500001</v>
      </c>
      <c r="J10" s="182">
        <v>109390</v>
      </c>
      <c r="K10" s="265"/>
      <c r="L10" s="182">
        <v>64072</v>
      </c>
      <c r="M10" s="182">
        <v>40127</v>
      </c>
      <c r="N10" s="182">
        <v>5191</v>
      </c>
    </row>
    <row r="11" spans="1:16" ht="24" customHeight="1">
      <c r="B11" s="66" t="s">
        <v>269</v>
      </c>
      <c r="C11" s="242" t="s">
        <v>656</v>
      </c>
      <c r="D11" s="182">
        <v>18192</v>
      </c>
      <c r="E11" s="182">
        <v>16495871.49</v>
      </c>
      <c r="F11" s="265"/>
      <c r="G11" s="182">
        <v>7861</v>
      </c>
      <c r="H11" s="182">
        <v>625</v>
      </c>
      <c r="I11" s="182">
        <v>100052264.8</v>
      </c>
      <c r="J11" s="182">
        <v>8486</v>
      </c>
      <c r="K11" s="265"/>
      <c r="L11" s="182">
        <v>5753</v>
      </c>
      <c r="M11" s="182">
        <v>2503</v>
      </c>
      <c r="N11" s="182">
        <v>230</v>
      </c>
    </row>
    <row r="12" spans="1:16">
      <c r="B12" s="66" t="s">
        <v>272</v>
      </c>
      <c r="C12" s="242" t="s">
        <v>657</v>
      </c>
      <c r="D12" s="182">
        <v>5640</v>
      </c>
      <c r="E12" s="182">
        <v>5114283</v>
      </c>
      <c r="F12" s="265"/>
      <c r="G12" s="182">
        <v>2603</v>
      </c>
      <c r="H12" s="182">
        <v>61</v>
      </c>
      <c r="I12" s="182">
        <v>51087594.93</v>
      </c>
      <c r="J12" s="182">
        <v>2664</v>
      </c>
      <c r="K12" s="265"/>
      <c r="L12" s="182">
        <v>1810</v>
      </c>
      <c r="M12" s="182">
        <v>798</v>
      </c>
      <c r="N12" s="182">
        <v>56</v>
      </c>
    </row>
    <row r="13" spans="1:16">
      <c r="B13" s="66" t="s">
        <v>275</v>
      </c>
      <c r="C13" s="242" t="s">
        <v>658</v>
      </c>
      <c r="D13" s="182">
        <v>41300</v>
      </c>
      <c r="E13" s="182">
        <v>37517709.25</v>
      </c>
      <c r="F13" s="265"/>
      <c r="G13" s="182">
        <v>18229</v>
      </c>
      <c r="H13" s="182">
        <v>1240</v>
      </c>
      <c r="I13" s="182">
        <v>224543491.44</v>
      </c>
      <c r="J13" s="182">
        <v>19469</v>
      </c>
      <c r="K13" s="265"/>
      <c r="L13" s="182">
        <v>13682</v>
      </c>
      <c r="M13" s="182">
        <v>4786</v>
      </c>
      <c r="N13" s="182">
        <v>1001</v>
      </c>
    </row>
    <row r="14" spans="1:16">
      <c r="B14" s="66" t="s">
        <v>277</v>
      </c>
      <c r="C14" s="242" t="s">
        <v>659</v>
      </c>
      <c r="D14" s="182">
        <v>4889</v>
      </c>
      <c r="E14" s="182">
        <v>4468117.38</v>
      </c>
      <c r="F14" s="265"/>
      <c r="G14" s="182">
        <v>2222</v>
      </c>
      <c r="H14" s="182">
        <v>147</v>
      </c>
      <c r="I14" s="182">
        <v>25031643.59</v>
      </c>
      <c r="J14" s="182">
        <v>2369</v>
      </c>
      <c r="K14" s="265"/>
      <c r="L14" s="182">
        <v>1867</v>
      </c>
      <c r="M14" s="182">
        <v>398</v>
      </c>
      <c r="N14" s="182">
        <v>104</v>
      </c>
    </row>
    <row r="15" spans="1:16">
      <c r="B15" s="66" t="s">
        <v>280</v>
      </c>
      <c r="C15" s="242" t="s">
        <v>660</v>
      </c>
      <c r="D15" s="182">
        <v>35090</v>
      </c>
      <c r="E15" s="182">
        <v>31797213.350000001</v>
      </c>
      <c r="F15" s="265"/>
      <c r="G15" s="182">
        <v>13868</v>
      </c>
      <c r="H15" s="182">
        <v>3302</v>
      </c>
      <c r="I15" s="182">
        <v>283877970.38</v>
      </c>
      <c r="J15" s="182">
        <v>17170</v>
      </c>
      <c r="K15" s="265"/>
      <c r="L15" s="182">
        <v>10339</v>
      </c>
      <c r="M15" s="182">
        <v>6044</v>
      </c>
      <c r="N15" s="182">
        <v>787</v>
      </c>
    </row>
    <row r="16" spans="1:16" ht="24" customHeight="1">
      <c r="B16" s="66" t="s">
        <v>133</v>
      </c>
      <c r="C16" s="242" t="s">
        <v>661</v>
      </c>
      <c r="D16" s="182">
        <v>20134</v>
      </c>
      <c r="E16" s="182">
        <v>18119076.050000001</v>
      </c>
      <c r="F16" s="265"/>
      <c r="G16" s="182">
        <v>7038</v>
      </c>
      <c r="H16" s="182">
        <v>2134</v>
      </c>
      <c r="I16" s="182">
        <v>181470643.25</v>
      </c>
      <c r="J16" s="182">
        <v>9172</v>
      </c>
      <c r="K16" s="265"/>
      <c r="L16" s="182">
        <v>5335</v>
      </c>
      <c r="M16" s="182">
        <v>3471</v>
      </c>
      <c r="N16" s="182">
        <v>366</v>
      </c>
    </row>
    <row r="17" spans="2:14">
      <c r="B17" s="66" t="s">
        <v>285</v>
      </c>
      <c r="C17" s="242" t="s">
        <v>662</v>
      </c>
      <c r="D17" s="182">
        <v>7814</v>
      </c>
      <c r="E17" s="182">
        <v>7077546.9800000004</v>
      </c>
      <c r="F17" s="265"/>
      <c r="G17" s="182">
        <v>3205</v>
      </c>
      <c r="H17" s="182">
        <v>304</v>
      </c>
      <c r="I17" s="182">
        <v>44580307.420000002</v>
      </c>
      <c r="J17" s="182">
        <v>3509</v>
      </c>
      <c r="K17" s="265"/>
      <c r="L17" s="182">
        <v>2499</v>
      </c>
      <c r="M17" s="182">
        <v>870</v>
      </c>
      <c r="N17" s="182">
        <v>140</v>
      </c>
    </row>
    <row r="18" spans="2:14">
      <c r="B18" s="66" t="s">
        <v>288</v>
      </c>
      <c r="C18" s="242" t="s">
        <v>663</v>
      </c>
      <c r="D18" s="182">
        <v>28835</v>
      </c>
      <c r="E18" s="182">
        <v>26140285.620000001</v>
      </c>
      <c r="F18" s="265"/>
      <c r="G18" s="182">
        <v>12535</v>
      </c>
      <c r="H18" s="182">
        <v>1932</v>
      </c>
      <c r="I18" s="182">
        <v>188298835.75</v>
      </c>
      <c r="J18" s="182">
        <v>14467</v>
      </c>
      <c r="K18" s="265"/>
      <c r="L18" s="182">
        <v>9901</v>
      </c>
      <c r="M18" s="182">
        <v>4005</v>
      </c>
      <c r="N18" s="182">
        <v>561</v>
      </c>
    </row>
    <row r="19" spans="2:14">
      <c r="B19" s="66" t="s">
        <v>290</v>
      </c>
      <c r="C19" s="242" t="s">
        <v>664</v>
      </c>
      <c r="D19" s="182">
        <v>7004</v>
      </c>
      <c r="E19" s="182">
        <v>6363534.1299999999</v>
      </c>
      <c r="F19" s="265"/>
      <c r="G19" s="182">
        <v>3038</v>
      </c>
      <c r="H19" s="182">
        <v>119</v>
      </c>
      <c r="I19" s="182">
        <v>37296175</v>
      </c>
      <c r="J19" s="182">
        <v>3157</v>
      </c>
      <c r="K19" s="265"/>
      <c r="L19" s="182">
        <v>1989</v>
      </c>
      <c r="M19" s="182">
        <v>1076</v>
      </c>
      <c r="N19" s="182">
        <v>92</v>
      </c>
    </row>
    <row r="20" spans="2:14">
      <c r="B20" s="66" t="s">
        <v>136</v>
      </c>
      <c r="C20" s="242" t="s">
        <v>665</v>
      </c>
      <c r="D20" s="182">
        <v>116014</v>
      </c>
      <c r="E20" s="182">
        <v>104948780.31</v>
      </c>
      <c r="F20" s="265"/>
      <c r="G20" s="182">
        <v>51283</v>
      </c>
      <c r="H20" s="182">
        <v>5079</v>
      </c>
      <c r="I20" s="182">
        <v>773801285.60000002</v>
      </c>
      <c r="J20" s="182">
        <v>56362</v>
      </c>
      <c r="K20" s="265"/>
      <c r="L20" s="182">
        <v>39398</v>
      </c>
      <c r="M20" s="182">
        <v>14652</v>
      </c>
      <c r="N20" s="182">
        <v>2312</v>
      </c>
    </row>
    <row r="21" spans="2:14" s="3" customFormat="1" ht="24" customHeight="1">
      <c r="B21" s="66" t="s">
        <v>182</v>
      </c>
      <c r="C21" s="242" t="s">
        <v>666</v>
      </c>
      <c r="D21" s="182">
        <v>38348</v>
      </c>
      <c r="E21" s="182">
        <v>34890271.560000002</v>
      </c>
      <c r="F21" s="265"/>
      <c r="G21" s="182">
        <v>18095</v>
      </c>
      <c r="H21" s="182">
        <v>961</v>
      </c>
      <c r="I21" s="182">
        <v>215360158.00999999</v>
      </c>
      <c r="J21" s="182">
        <v>19056</v>
      </c>
      <c r="K21" s="265"/>
      <c r="L21" s="182">
        <v>13398</v>
      </c>
      <c r="M21" s="182">
        <v>5186</v>
      </c>
      <c r="N21" s="182">
        <v>472</v>
      </c>
    </row>
    <row r="22" spans="2:14" s="3" customFormat="1">
      <c r="B22" s="66" t="s">
        <v>297</v>
      </c>
      <c r="C22" s="242" t="s">
        <v>667</v>
      </c>
      <c r="D22" s="182">
        <v>19386</v>
      </c>
      <c r="E22" s="182">
        <v>17673839.960000001</v>
      </c>
      <c r="F22" s="265"/>
      <c r="G22" s="182">
        <v>8863</v>
      </c>
      <c r="H22" s="182">
        <v>628</v>
      </c>
      <c r="I22" s="182">
        <v>106111008.45999999</v>
      </c>
      <c r="J22" s="182">
        <v>9491</v>
      </c>
      <c r="K22" s="265"/>
      <c r="L22" s="182">
        <v>7198</v>
      </c>
      <c r="M22" s="182">
        <v>2001</v>
      </c>
      <c r="N22" s="182">
        <v>292</v>
      </c>
    </row>
    <row r="23" spans="2:14" s="3" customFormat="1">
      <c r="B23" s="66" t="s">
        <v>300</v>
      </c>
      <c r="C23" s="242" t="s">
        <v>668</v>
      </c>
      <c r="D23" s="182">
        <v>6026</v>
      </c>
      <c r="E23" s="182">
        <v>5365184.67</v>
      </c>
      <c r="F23" s="265"/>
      <c r="G23" s="182">
        <v>2408</v>
      </c>
      <c r="H23" s="182">
        <v>319</v>
      </c>
      <c r="I23" s="182">
        <v>37625410.990000002</v>
      </c>
      <c r="J23" s="182">
        <v>2727</v>
      </c>
      <c r="K23" s="265"/>
      <c r="L23" s="182">
        <v>1665</v>
      </c>
      <c r="M23" s="182">
        <v>984</v>
      </c>
      <c r="N23" s="182">
        <v>78</v>
      </c>
    </row>
    <row r="24" spans="2:14" s="3" customFormat="1">
      <c r="B24" s="66" t="s">
        <v>302</v>
      </c>
      <c r="C24" s="242" t="s">
        <v>669</v>
      </c>
      <c r="D24" s="182">
        <v>68552</v>
      </c>
      <c r="E24" s="182">
        <v>61952135.590000004</v>
      </c>
      <c r="F24" s="265"/>
      <c r="G24" s="182">
        <v>30915</v>
      </c>
      <c r="H24" s="182">
        <v>2202</v>
      </c>
      <c r="I24" s="182">
        <v>394898637.06</v>
      </c>
      <c r="J24" s="182">
        <v>33117</v>
      </c>
      <c r="K24" s="265"/>
      <c r="L24" s="182">
        <v>22110</v>
      </c>
      <c r="M24" s="182">
        <v>10058</v>
      </c>
      <c r="N24" s="182">
        <v>949</v>
      </c>
    </row>
    <row r="25" spans="2:14" s="3" customFormat="1">
      <c r="B25" s="66" t="s">
        <v>183</v>
      </c>
      <c r="C25" s="242" t="s">
        <v>670</v>
      </c>
      <c r="D25" s="182">
        <v>45082</v>
      </c>
      <c r="E25" s="182">
        <v>41230615.93</v>
      </c>
      <c r="F25" s="265"/>
      <c r="G25" s="182">
        <v>18890</v>
      </c>
      <c r="H25" s="182">
        <v>3066</v>
      </c>
      <c r="I25" s="182">
        <v>294556737.95999998</v>
      </c>
      <c r="J25" s="182">
        <v>21956</v>
      </c>
      <c r="K25" s="265"/>
      <c r="L25" s="182">
        <v>14525</v>
      </c>
      <c r="M25" s="182">
        <v>6600</v>
      </c>
      <c r="N25" s="182">
        <v>831</v>
      </c>
    </row>
    <row r="26" spans="2:14" s="3" customFormat="1" ht="24" customHeight="1">
      <c r="B26" s="66" t="s">
        <v>306</v>
      </c>
      <c r="C26" s="242" t="s">
        <v>671</v>
      </c>
      <c r="D26" s="182">
        <v>18576</v>
      </c>
      <c r="E26" s="182">
        <v>17044502.120000001</v>
      </c>
      <c r="F26" s="265"/>
      <c r="G26" s="182">
        <v>8226</v>
      </c>
      <c r="H26" s="182">
        <v>1195</v>
      </c>
      <c r="I26" s="182">
        <v>115026130.45999999</v>
      </c>
      <c r="J26" s="182">
        <v>9421</v>
      </c>
      <c r="K26" s="265"/>
      <c r="L26" s="182">
        <v>6404</v>
      </c>
      <c r="M26" s="182">
        <v>2639</v>
      </c>
      <c r="N26" s="182">
        <v>378</v>
      </c>
    </row>
    <row r="27" spans="2:14" s="3" customFormat="1">
      <c r="B27" s="66" t="s">
        <v>185</v>
      </c>
      <c r="C27" s="242" t="s">
        <v>672</v>
      </c>
      <c r="D27" s="182">
        <v>12671</v>
      </c>
      <c r="E27" s="182">
        <v>11504598</v>
      </c>
      <c r="F27" s="265"/>
      <c r="G27" s="182">
        <v>5624</v>
      </c>
      <c r="H27" s="182">
        <v>330</v>
      </c>
      <c r="I27" s="182">
        <v>70921927.480000004</v>
      </c>
      <c r="J27" s="182">
        <v>5954</v>
      </c>
      <c r="K27" s="265"/>
      <c r="L27" s="182">
        <v>4254</v>
      </c>
      <c r="M27" s="182">
        <v>1486</v>
      </c>
      <c r="N27" s="182">
        <v>214</v>
      </c>
    </row>
    <row r="28" spans="2:14" s="3" customFormat="1">
      <c r="B28" s="66" t="s">
        <v>310</v>
      </c>
      <c r="C28" s="242" t="s">
        <v>673</v>
      </c>
      <c r="D28" s="182">
        <v>155751</v>
      </c>
      <c r="E28" s="182">
        <v>141335263.06999999</v>
      </c>
      <c r="F28" s="265"/>
      <c r="G28" s="182">
        <v>69612</v>
      </c>
      <c r="H28" s="182">
        <v>6665</v>
      </c>
      <c r="I28" s="182">
        <v>911655838.58000004</v>
      </c>
      <c r="J28" s="182">
        <v>76277</v>
      </c>
      <c r="K28" s="265"/>
      <c r="L28" s="182">
        <v>53539</v>
      </c>
      <c r="M28" s="182">
        <v>19678</v>
      </c>
      <c r="N28" s="182">
        <v>3060</v>
      </c>
    </row>
    <row r="29" spans="2:14" s="3" customFormat="1">
      <c r="B29" s="66" t="s">
        <v>313</v>
      </c>
      <c r="C29" s="242" t="s">
        <v>674</v>
      </c>
      <c r="D29" s="182">
        <v>176480</v>
      </c>
      <c r="E29" s="182">
        <v>159892313.31999999</v>
      </c>
      <c r="F29" s="265"/>
      <c r="G29" s="182">
        <v>81205</v>
      </c>
      <c r="H29" s="182">
        <v>8447</v>
      </c>
      <c r="I29" s="182">
        <v>1085664422.1400001</v>
      </c>
      <c r="J29" s="182">
        <v>89652</v>
      </c>
      <c r="K29" s="265"/>
      <c r="L29" s="182">
        <v>63438</v>
      </c>
      <c r="M29" s="182">
        <v>21831</v>
      </c>
      <c r="N29" s="182">
        <v>4383</v>
      </c>
    </row>
    <row r="30" spans="2:14" s="3" customFormat="1">
      <c r="B30" s="66" t="s">
        <v>316</v>
      </c>
      <c r="C30" s="242" t="s">
        <v>675</v>
      </c>
      <c r="D30" s="182">
        <v>4028</v>
      </c>
      <c r="E30" s="182">
        <v>3654667.38</v>
      </c>
      <c r="F30" s="265"/>
      <c r="G30" s="182">
        <v>1764</v>
      </c>
      <c r="H30" s="182">
        <v>57</v>
      </c>
      <c r="I30" s="182">
        <v>21068954.449999999</v>
      </c>
      <c r="J30" s="182">
        <v>1821</v>
      </c>
      <c r="K30" s="265"/>
      <c r="L30" s="182">
        <v>1083</v>
      </c>
      <c r="M30" s="182">
        <v>659</v>
      </c>
      <c r="N30" s="182">
        <v>79</v>
      </c>
    </row>
    <row r="31" spans="2:14" s="3" customFormat="1" ht="24" customHeight="1">
      <c r="B31" s="66" t="s">
        <v>143</v>
      </c>
      <c r="C31" s="242" t="s">
        <v>676</v>
      </c>
      <c r="D31" s="182">
        <v>26500</v>
      </c>
      <c r="E31" s="182">
        <v>24115588.25</v>
      </c>
      <c r="F31" s="265"/>
      <c r="G31" s="182">
        <v>12519</v>
      </c>
      <c r="H31" s="182">
        <v>1122</v>
      </c>
      <c r="I31" s="182">
        <v>156073044.40000001</v>
      </c>
      <c r="J31" s="182">
        <v>13641</v>
      </c>
      <c r="K31" s="265"/>
      <c r="L31" s="182">
        <v>11370</v>
      </c>
      <c r="M31" s="182">
        <v>1821</v>
      </c>
      <c r="N31" s="182">
        <v>450</v>
      </c>
    </row>
    <row r="32" spans="2:14" s="3" customFormat="1">
      <c r="B32" s="66" t="s">
        <v>320</v>
      </c>
      <c r="C32" s="242" t="s">
        <v>677</v>
      </c>
      <c r="D32" s="182">
        <v>13550</v>
      </c>
      <c r="E32" s="182">
        <v>12232801.07</v>
      </c>
      <c r="F32" s="265"/>
      <c r="G32" s="182">
        <v>4808</v>
      </c>
      <c r="H32" s="182">
        <v>799</v>
      </c>
      <c r="I32" s="182">
        <v>81526732.700000003</v>
      </c>
      <c r="J32" s="182">
        <v>5607</v>
      </c>
      <c r="K32" s="265"/>
      <c r="L32" s="182">
        <v>2758</v>
      </c>
      <c r="M32" s="182">
        <v>2688</v>
      </c>
      <c r="N32" s="182">
        <v>161</v>
      </c>
    </row>
    <row r="33" spans="2:14" s="3" customFormat="1">
      <c r="B33" s="66" t="s">
        <v>144</v>
      </c>
      <c r="C33" s="242" t="s">
        <v>678</v>
      </c>
      <c r="D33" s="182">
        <v>79949</v>
      </c>
      <c r="E33" s="182">
        <v>72645593.370000005</v>
      </c>
      <c r="F33" s="265"/>
      <c r="G33" s="182">
        <v>35354</v>
      </c>
      <c r="H33" s="182">
        <v>3895</v>
      </c>
      <c r="I33" s="182">
        <v>456023206.98000002</v>
      </c>
      <c r="J33" s="182">
        <v>39249</v>
      </c>
      <c r="K33" s="265"/>
      <c r="L33" s="182">
        <v>28469</v>
      </c>
      <c r="M33" s="182">
        <v>9082</v>
      </c>
      <c r="N33" s="182">
        <v>1698</v>
      </c>
    </row>
    <row r="34" spans="2:14" s="3" customFormat="1">
      <c r="B34" s="66" t="s">
        <v>325</v>
      </c>
      <c r="C34" s="242" t="s">
        <v>679</v>
      </c>
      <c r="D34" s="182">
        <v>11616</v>
      </c>
      <c r="E34" s="182">
        <v>10545986.76</v>
      </c>
      <c r="F34" s="265"/>
      <c r="G34" s="182">
        <v>5625</v>
      </c>
      <c r="H34" s="182">
        <v>246</v>
      </c>
      <c r="I34" s="182">
        <v>71105960.680000007</v>
      </c>
      <c r="J34" s="182">
        <v>5871</v>
      </c>
      <c r="K34" s="265"/>
      <c r="L34" s="182">
        <v>3943</v>
      </c>
      <c r="M34" s="182">
        <v>1759</v>
      </c>
      <c r="N34" s="182">
        <v>169</v>
      </c>
    </row>
    <row r="35" spans="2:14" s="3" customFormat="1">
      <c r="B35" s="66" t="s">
        <v>328</v>
      </c>
      <c r="C35" s="242" t="s">
        <v>680</v>
      </c>
      <c r="D35" s="182">
        <v>190075</v>
      </c>
      <c r="E35" s="182">
        <v>172368801.86000001</v>
      </c>
      <c r="F35" s="265"/>
      <c r="G35" s="182">
        <v>94355</v>
      </c>
      <c r="H35" s="182">
        <v>12244</v>
      </c>
      <c r="I35" s="182">
        <v>5647078976.7200003</v>
      </c>
      <c r="J35" s="182">
        <v>106599</v>
      </c>
      <c r="K35" s="265"/>
      <c r="L35" s="182">
        <v>81245</v>
      </c>
      <c r="M35" s="182">
        <v>21816</v>
      </c>
      <c r="N35" s="182">
        <v>3538</v>
      </c>
    </row>
    <row r="36" spans="2:14" s="3" customFormat="1" ht="15.5">
      <c r="B36" s="63" t="str">
        <f>B1&amp;", continued"</f>
        <v>Table 1.6, continued</v>
      </c>
      <c r="C36" s="239"/>
      <c r="D36" s="100"/>
      <c r="E36" s="100"/>
      <c r="F36" s="100"/>
      <c r="G36" s="100"/>
      <c r="H36" s="100"/>
      <c r="I36" s="100"/>
      <c r="J36" s="100"/>
      <c r="K36" s="100"/>
      <c r="L36" s="100"/>
      <c r="M36" s="100"/>
      <c r="N36" s="174"/>
    </row>
    <row r="37" spans="2:14" s="3" customFormat="1">
      <c r="B37" s="64" t="str">
        <f>$B$2</f>
        <v>Exemptions, Standard and Itemized Deductions, and Number of Returns by Filing Status/Locality, Taxable Year 2023</v>
      </c>
      <c r="C37" s="240"/>
      <c r="D37" s="100"/>
      <c r="E37" s="100"/>
      <c r="F37" s="100"/>
      <c r="G37" s="100"/>
      <c r="H37" s="100"/>
      <c r="I37" s="100"/>
      <c r="J37" s="100"/>
      <c r="K37" s="100"/>
      <c r="L37" s="100"/>
      <c r="M37" s="100"/>
      <c r="N37" s="174"/>
    </row>
    <row r="38" spans="2:14" s="3" customFormat="1" ht="3" customHeight="1" thickBot="1">
      <c r="B38" s="64"/>
      <c r="C38" s="240"/>
      <c r="D38" s="100"/>
      <c r="E38" s="100"/>
      <c r="F38" s="100"/>
      <c r="G38" s="100"/>
      <c r="H38" s="100"/>
      <c r="I38" s="100"/>
      <c r="J38" s="100"/>
      <c r="K38" s="100"/>
      <c r="L38" s="100"/>
      <c r="M38" s="100"/>
      <c r="N38" s="174"/>
    </row>
    <row r="39" spans="2:14" s="3" customFormat="1">
      <c r="B39" s="175"/>
      <c r="C39" s="256"/>
      <c r="D39" s="176" t="str">
        <f>D$4</f>
        <v>Exemptions</v>
      </c>
      <c r="E39" s="176"/>
      <c r="F39" s="258"/>
      <c r="G39" s="176" t="str">
        <f>G$4</f>
        <v>Deductions</v>
      </c>
      <c r="H39" s="176"/>
      <c r="I39" s="176"/>
      <c r="J39" s="176"/>
      <c r="K39" s="258"/>
      <c r="L39" s="176" t="str">
        <f>L$4</f>
        <v>Filing Status</v>
      </c>
      <c r="M39" s="176"/>
      <c r="N39" s="176"/>
    </row>
    <row r="40" spans="2:14" s="3" customFormat="1" ht="24" customHeight="1">
      <c r="B40" s="179" t="s">
        <v>125</v>
      </c>
      <c r="C40" s="262" t="str">
        <f>C$5</f>
        <v>FIPS</v>
      </c>
      <c r="D40" s="263" t="str">
        <f>D$5</f>
        <v>Number</v>
      </c>
      <c r="E40" s="263" t="str">
        <f>E$5</f>
        <v>Amount</v>
      </c>
      <c r="F40" s="259"/>
      <c r="G40" s="263" t="str">
        <f>G$5</f>
        <v>Standard</v>
      </c>
      <c r="H40" s="263" t="str">
        <f>H$5</f>
        <v>Itemized</v>
      </c>
      <c r="I40" s="263" t="str">
        <f>I$5</f>
        <v>Amount</v>
      </c>
      <c r="J40" s="263" t="str">
        <f>J$5</f>
        <v>Total 
Returns</v>
      </c>
      <c r="K40" s="259"/>
      <c r="L40" s="263" t="str">
        <f>L$5</f>
        <v>Individual</v>
      </c>
      <c r="M40" s="263" t="str">
        <f>M$5</f>
        <v>Married 
Filing Joint</v>
      </c>
      <c r="N40" s="263" t="str">
        <f>N$5</f>
        <v>Married 
Filing Separately</v>
      </c>
    </row>
    <row r="41" spans="2:14" s="3" customFormat="1" ht="21" customHeight="1">
      <c r="B41" s="66" t="s">
        <v>331</v>
      </c>
      <c r="C41" s="242" t="s">
        <v>686</v>
      </c>
      <c r="D41" s="182">
        <v>89664</v>
      </c>
      <c r="E41" s="182">
        <v>81353655.579999998</v>
      </c>
      <c r="F41" s="264"/>
      <c r="G41" s="182">
        <v>42446</v>
      </c>
      <c r="H41" s="182">
        <v>2682</v>
      </c>
      <c r="I41" s="182">
        <v>544072671.07000005</v>
      </c>
      <c r="J41" s="182">
        <v>45128</v>
      </c>
      <c r="K41" s="264"/>
      <c r="L41" s="182">
        <v>32687</v>
      </c>
      <c r="M41" s="182">
        <v>11130</v>
      </c>
      <c r="N41" s="182">
        <v>1311</v>
      </c>
    </row>
    <row r="42" spans="2:14" s="3" customFormat="1">
      <c r="B42" s="66" t="s">
        <v>147</v>
      </c>
      <c r="C42" s="242" t="s">
        <v>687</v>
      </c>
      <c r="D42" s="182">
        <v>26740</v>
      </c>
      <c r="E42" s="182">
        <v>24137379.84</v>
      </c>
      <c r="F42" s="265"/>
      <c r="G42" s="182">
        <v>11174</v>
      </c>
      <c r="H42" s="182">
        <v>877</v>
      </c>
      <c r="I42" s="182">
        <v>152071353.36000001</v>
      </c>
      <c r="J42" s="182">
        <v>12051</v>
      </c>
      <c r="K42" s="265"/>
      <c r="L42" s="182">
        <v>7210</v>
      </c>
      <c r="M42" s="182">
        <v>4490</v>
      </c>
      <c r="N42" s="182">
        <v>351</v>
      </c>
    </row>
    <row r="43" spans="2:14" s="3" customFormat="1">
      <c r="B43" s="66" t="s">
        <v>336</v>
      </c>
      <c r="C43" s="242" t="s">
        <v>688</v>
      </c>
      <c r="D43" s="182">
        <v>25750</v>
      </c>
      <c r="E43" s="182">
        <v>23209155.530000001</v>
      </c>
      <c r="F43" s="265"/>
      <c r="G43" s="182">
        <v>11631</v>
      </c>
      <c r="H43" s="182">
        <v>711</v>
      </c>
      <c r="I43" s="182">
        <v>143799452.43000001</v>
      </c>
      <c r="J43" s="182">
        <v>12342</v>
      </c>
      <c r="K43" s="265"/>
      <c r="L43" s="182">
        <v>7945</v>
      </c>
      <c r="M43" s="182">
        <v>3989</v>
      </c>
      <c r="N43" s="182">
        <v>408</v>
      </c>
    </row>
    <row r="44" spans="2:14" s="3" customFormat="1">
      <c r="B44" s="66" t="s">
        <v>188</v>
      </c>
      <c r="C44" s="242" t="s">
        <v>689</v>
      </c>
      <c r="D44" s="182">
        <v>95277</v>
      </c>
      <c r="E44" s="182">
        <v>86312432.359999999</v>
      </c>
      <c r="F44" s="265"/>
      <c r="G44" s="182">
        <v>36580</v>
      </c>
      <c r="H44" s="182">
        <v>6512</v>
      </c>
      <c r="I44" s="182">
        <v>593620955.64999998</v>
      </c>
      <c r="J44" s="182">
        <v>43092</v>
      </c>
      <c r="K44" s="265"/>
      <c r="L44" s="182">
        <v>25920</v>
      </c>
      <c r="M44" s="182">
        <v>15152</v>
      </c>
      <c r="N44" s="182">
        <v>2020</v>
      </c>
    </row>
    <row r="45" spans="2:14" s="3" customFormat="1">
      <c r="B45" s="66" t="s">
        <v>341</v>
      </c>
      <c r="C45" s="242" t="s">
        <v>690</v>
      </c>
      <c r="D45" s="182">
        <v>433791</v>
      </c>
      <c r="E45" s="182">
        <v>391938176.14999998</v>
      </c>
      <c r="F45" s="265"/>
      <c r="G45" s="182">
        <v>178103</v>
      </c>
      <c r="H45" s="182">
        <v>24825</v>
      </c>
      <c r="I45" s="182">
        <v>3495461337.75</v>
      </c>
      <c r="J45" s="182">
        <v>202928</v>
      </c>
      <c r="K45" s="265"/>
      <c r="L45" s="182">
        <v>123686</v>
      </c>
      <c r="M45" s="182">
        <v>70318</v>
      </c>
      <c r="N45" s="182">
        <v>8924</v>
      </c>
    </row>
    <row r="46" spans="2:14" s="3" customFormat="1" ht="24" customHeight="1">
      <c r="B46" s="66" t="s">
        <v>344</v>
      </c>
      <c r="C46" s="242" t="s">
        <v>691</v>
      </c>
      <c r="D46" s="182">
        <v>22823</v>
      </c>
      <c r="E46" s="182">
        <v>20643049.940000001</v>
      </c>
      <c r="F46" s="265"/>
      <c r="G46" s="182">
        <v>10333</v>
      </c>
      <c r="H46" s="182">
        <v>571</v>
      </c>
      <c r="I46" s="182">
        <v>124506846.34</v>
      </c>
      <c r="J46" s="182">
        <v>10904</v>
      </c>
      <c r="K46" s="265"/>
      <c r="L46" s="182">
        <v>7185</v>
      </c>
      <c r="M46" s="182">
        <v>3397</v>
      </c>
      <c r="N46" s="182">
        <v>322</v>
      </c>
    </row>
    <row r="47" spans="2:14" s="3" customFormat="1">
      <c r="B47" s="66" t="s">
        <v>347</v>
      </c>
      <c r="C47" s="242" t="s">
        <v>692</v>
      </c>
      <c r="D47" s="182">
        <v>14642</v>
      </c>
      <c r="E47" s="182">
        <v>13091464.23</v>
      </c>
      <c r="F47" s="265"/>
      <c r="G47" s="182">
        <v>6529</v>
      </c>
      <c r="H47" s="182">
        <v>862</v>
      </c>
      <c r="I47" s="182">
        <v>94223305.959999993</v>
      </c>
      <c r="J47" s="182">
        <v>7391</v>
      </c>
      <c r="K47" s="265"/>
      <c r="L47" s="182">
        <v>4948</v>
      </c>
      <c r="M47" s="182">
        <v>2142</v>
      </c>
      <c r="N47" s="182">
        <v>301</v>
      </c>
    </row>
    <row r="48" spans="2:14" s="3" customFormat="1">
      <c r="B48" s="66" t="s">
        <v>350</v>
      </c>
      <c r="C48" s="242" t="s">
        <v>693</v>
      </c>
      <c r="D48" s="182">
        <v>28465</v>
      </c>
      <c r="E48" s="182">
        <v>25765612.489999998</v>
      </c>
      <c r="F48" s="265"/>
      <c r="G48" s="182">
        <v>13035</v>
      </c>
      <c r="H48" s="182">
        <v>1065</v>
      </c>
      <c r="I48" s="182">
        <v>172146914.72</v>
      </c>
      <c r="J48" s="182">
        <v>14100</v>
      </c>
      <c r="K48" s="265"/>
      <c r="L48" s="182">
        <v>9815</v>
      </c>
      <c r="M48" s="182">
        <v>3856</v>
      </c>
      <c r="N48" s="182">
        <v>429</v>
      </c>
    </row>
    <row r="49" spans="2:14" s="3" customFormat="1">
      <c r="B49" s="66"/>
      <c r="C49" s="242"/>
      <c r="D49" s="182"/>
      <c r="E49" s="182"/>
      <c r="F49" s="266"/>
      <c r="G49" s="182"/>
      <c r="H49" s="182"/>
      <c r="I49" s="182"/>
      <c r="J49" s="182"/>
      <c r="K49" s="266"/>
      <c r="L49" s="182"/>
      <c r="M49" s="182"/>
      <c r="N49" s="182"/>
    </row>
    <row r="50" spans="2:14" s="3" customFormat="1">
      <c r="B50" s="106" t="s">
        <v>152</v>
      </c>
      <c r="C50" s="243"/>
      <c r="D50" s="183">
        <f>SUM(D6:D35,D41:D48)</f>
        <v>2370968</v>
      </c>
      <c r="E50" s="261">
        <f>SUM(E6:E35,E41:E48)</f>
        <v>2146520925.2199996</v>
      </c>
      <c r="F50" s="267"/>
      <c r="G50" s="183">
        <f>SUM(G6:G35,G41:G48)</f>
        <v>1028569</v>
      </c>
      <c r="H50" s="183">
        <f t="shared" ref="H50:I50" si="0">SUM(H6:H35,H41:H48)</f>
        <v>132849</v>
      </c>
      <c r="I50" s="261">
        <f t="shared" si="0"/>
        <v>20448140985.049999</v>
      </c>
      <c r="J50" s="183">
        <f>SUM(J6:J35,J41:J48)</f>
        <v>1161418</v>
      </c>
      <c r="K50" s="267"/>
      <c r="L50" s="183">
        <f>SUM(L6:L35,L41:L48)</f>
        <v>777099</v>
      </c>
      <c r="M50" s="183">
        <f>SUM(M6:M35,M41:M48)</f>
        <v>336326</v>
      </c>
      <c r="N50" s="183">
        <f>SUM(N6:N35,N41:N48)</f>
        <v>47993</v>
      </c>
    </row>
    <row r="51" spans="2:14" ht="8" customHeight="1">
      <c r="B51" s="66"/>
      <c r="C51" s="242"/>
      <c r="D51" s="100"/>
      <c r="E51" s="100"/>
      <c r="F51" s="100"/>
      <c r="G51" s="100"/>
      <c r="H51" s="100"/>
      <c r="I51" s="100"/>
      <c r="J51" s="100"/>
      <c r="K51" s="100"/>
      <c r="L51" s="100"/>
      <c r="M51" s="100"/>
      <c r="N51" s="174"/>
    </row>
    <row r="52" spans="2:14" s="10" customFormat="1" ht="8" customHeight="1">
      <c r="B52" s="184"/>
      <c r="C52" s="257"/>
      <c r="D52" s="185"/>
      <c r="E52" s="185"/>
      <c r="F52" s="185"/>
      <c r="G52" s="185"/>
      <c r="H52" s="185"/>
      <c r="I52" s="185"/>
      <c r="J52" s="185"/>
      <c r="K52" s="185"/>
      <c r="L52" s="185"/>
      <c r="M52" s="185"/>
      <c r="N52" s="186"/>
    </row>
    <row r="53" spans="2:14" s="3" customFormat="1" ht="15.5">
      <c r="B53" s="63" t="str">
        <f>$B$36</f>
        <v>Table 1.6, continued</v>
      </c>
      <c r="C53" s="239"/>
      <c r="D53" s="100"/>
      <c r="E53" s="100"/>
      <c r="F53" s="100"/>
      <c r="G53" s="100"/>
      <c r="H53" s="100"/>
      <c r="I53" s="100"/>
      <c r="J53" s="100"/>
      <c r="K53" s="100"/>
      <c r="L53" s="100"/>
      <c r="M53" s="100"/>
      <c r="N53" s="174"/>
    </row>
    <row r="54" spans="2:14" s="3" customFormat="1">
      <c r="B54" s="64" t="str">
        <f>$B$2</f>
        <v>Exemptions, Standard and Itemized Deductions, and Number of Returns by Filing Status/Locality, Taxable Year 2023</v>
      </c>
      <c r="C54" s="240"/>
      <c r="D54" s="100"/>
      <c r="E54" s="100"/>
      <c r="F54" s="100"/>
      <c r="G54" s="100"/>
      <c r="H54" s="100"/>
      <c r="I54" s="100"/>
      <c r="J54" s="100"/>
      <c r="K54" s="100"/>
      <c r="L54" s="100"/>
      <c r="M54" s="100"/>
      <c r="N54" s="174"/>
    </row>
    <row r="55" spans="2:14" s="3" customFormat="1" ht="3" customHeight="1" thickBot="1">
      <c r="B55" s="64"/>
      <c r="C55" s="240"/>
      <c r="D55" s="100"/>
      <c r="E55" s="100"/>
      <c r="F55" s="100"/>
      <c r="G55" s="100"/>
      <c r="H55" s="100"/>
      <c r="I55" s="100"/>
      <c r="J55" s="100"/>
      <c r="K55" s="100"/>
      <c r="L55" s="100"/>
      <c r="M55" s="100"/>
      <c r="N55" s="174"/>
    </row>
    <row r="56" spans="2:14" s="3" customFormat="1">
      <c r="B56" s="175"/>
      <c r="C56" s="256"/>
      <c r="D56" s="176" t="str">
        <f>D$4</f>
        <v>Exemptions</v>
      </c>
      <c r="E56" s="176"/>
      <c r="F56" s="258"/>
      <c r="G56" s="176" t="str">
        <f>G$4</f>
        <v>Deductions</v>
      </c>
      <c r="H56" s="176"/>
      <c r="I56" s="176"/>
      <c r="J56" s="176"/>
      <c r="K56" s="258"/>
      <c r="L56" s="176" t="str">
        <f>L$4</f>
        <v>Filing Status</v>
      </c>
      <c r="M56" s="176"/>
      <c r="N56" s="176"/>
    </row>
    <row r="57" spans="2:14" s="3" customFormat="1" ht="24" customHeight="1">
      <c r="B57" s="179" t="s">
        <v>43</v>
      </c>
      <c r="C57" s="262" t="str">
        <f>C$5</f>
        <v>FIPS</v>
      </c>
      <c r="D57" s="263" t="str">
        <f>D$5</f>
        <v>Number</v>
      </c>
      <c r="E57" s="263" t="str">
        <f>E$5</f>
        <v>Amount</v>
      </c>
      <c r="F57" s="259"/>
      <c r="G57" s="263" t="str">
        <f>G$5</f>
        <v>Standard</v>
      </c>
      <c r="H57" s="263" t="str">
        <f>H$5</f>
        <v>Itemized</v>
      </c>
      <c r="I57" s="263" t="str">
        <f>I$5</f>
        <v>Amount</v>
      </c>
      <c r="J57" s="263" t="str">
        <f>J$5</f>
        <v>Total 
Returns</v>
      </c>
      <c r="K57" s="259"/>
      <c r="L57" s="263" t="str">
        <f>L$5</f>
        <v>Individual</v>
      </c>
      <c r="M57" s="263" t="str">
        <f>M$5</f>
        <v>Married 
Filing Joint</v>
      </c>
      <c r="N57" s="263" t="str">
        <f>N$5</f>
        <v>Married 
Filing Separately</v>
      </c>
    </row>
    <row r="58" spans="2:14" s="3" customFormat="1" ht="21" customHeight="1">
      <c r="B58" s="66" t="s">
        <v>254</v>
      </c>
      <c r="C58" s="242" t="s">
        <v>694</v>
      </c>
      <c r="D58" s="182">
        <v>46567</v>
      </c>
      <c r="E58" s="182">
        <v>42171256.840000004</v>
      </c>
      <c r="F58" s="264"/>
      <c r="G58" s="182">
        <v>18847</v>
      </c>
      <c r="H58" s="182">
        <v>1975</v>
      </c>
      <c r="I58" s="182">
        <v>370818597.45999998</v>
      </c>
      <c r="J58" s="182">
        <v>20822</v>
      </c>
      <c r="K58" s="264"/>
      <c r="L58" s="182">
        <v>12459</v>
      </c>
      <c r="M58" s="182">
        <v>7497</v>
      </c>
      <c r="N58" s="182">
        <v>866</v>
      </c>
    </row>
    <row r="59" spans="2:14" s="3" customFormat="1">
      <c r="B59" s="66" t="s">
        <v>256</v>
      </c>
      <c r="C59" s="242" t="s">
        <v>695</v>
      </c>
      <c r="D59" s="182">
        <v>123731</v>
      </c>
      <c r="E59" s="182">
        <v>111038588.84999999</v>
      </c>
      <c r="F59" s="265"/>
      <c r="G59" s="182">
        <v>45931</v>
      </c>
      <c r="H59" s="182">
        <v>8175</v>
      </c>
      <c r="I59" s="182">
        <v>915553942.57000005</v>
      </c>
      <c r="J59" s="182">
        <v>54106</v>
      </c>
      <c r="K59" s="265"/>
      <c r="L59" s="182">
        <v>30279</v>
      </c>
      <c r="M59" s="182">
        <v>21998</v>
      </c>
      <c r="N59" s="182">
        <v>1829</v>
      </c>
    </row>
    <row r="60" spans="2:14" s="3" customFormat="1">
      <c r="B60" s="66" t="s">
        <v>259</v>
      </c>
      <c r="C60" s="242" t="s">
        <v>696</v>
      </c>
      <c r="D60" s="182">
        <v>16316</v>
      </c>
      <c r="E60" s="182">
        <v>14752247.41</v>
      </c>
      <c r="F60" s="265"/>
      <c r="G60" s="182">
        <v>6864</v>
      </c>
      <c r="H60" s="182">
        <v>304</v>
      </c>
      <c r="I60" s="182">
        <v>89400398.819999993</v>
      </c>
      <c r="J60" s="182">
        <v>7168</v>
      </c>
      <c r="K60" s="265"/>
      <c r="L60" s="182">
        <v>4008</v>
      </c>
      <c r="M60" s="182">
        <v>2931</v>
      </c>
      <c r="N60" s="182">
        <v>229</v>
      </c>
    </row>
    <row r="61" spans="2:14" s="3" customFormat="1">
      <c r="B61" s="66" t="s">
        <v>262</v>
      </c>
      <c r="C61" s="242" t="s">
        <v>697</v>
      </c>
      <c r="D61" s="182">
        <v>14279</v>
      </c>
      <c r="E61" s="182">
        <v>12960108.039999999</v>
      </c>
      <c r="F61" s="265"/>
      <c r="G61" s="182">
        <v>5760</v>
      </c>
      <c r="H61" s="182">
        <v>458</v>
      </c>
      <c r="I61" s="182">
        <v>82457554.689999998</v>
      </c>
      <c r="J61" s="182">
        <v>6218</v>
      </c>
      <c r="K61" s="265"/>
      <c r="L61" s="182">
        <v>3481</v>
      </c>
      <c r="M61" s="182">
        <v>2552</v>
      </c>
      <c r="N61" s="182">
        <v>185</v>
      </c>
    </row>
    <row r="62" spans="2:14" s="3" customFormat="1">
      <c r="B62" s="66" t="s">
        <v>265</v>
      </c>
      <c r="C62" s="242" t="s">
        <v>698</v>
      </c>
      <c r="D62" s="182">
        <v>31373</v>
      </c>
      <c r="E62" s="182">
        <v>28463171.66</v>
      </c>
      <c r="F62" s="265"/>
      <c r="G62" s="182">
        <v>13071</v>
      </c>
      <c r="H62" s="182">
        <v>621</v>
      </c>
      <c r="I62" s="182">
        <v>163432558.50999999</v>
      </c>
      <c r="J62" s="182">
        <v>13692</v>
      </c>
      <c r="K62" s="265"/>
      <c r="L62" s="182">
        <v>7758</v>
      </c>
      <c r="M62" s="182">
        <v>5544</v>
      </c>
      <c r="N62" s="182">
        <v>390</v>
      </c>
    </row>
    <row r="63" spans="2:14" s="3" customFormat="1" ht="21" customHeight="1">
      <c r="B63" s="66" t="s">
        <v>267</v>
      </c>
      <c r="C63" s="242" t="s">
        <v>699</v>
      </c>
      <c r="D63" s="182">
        <v>17235</v>
      </c>
      <c r="E63" s="182">
        <v>15646592.75</v>
      </c>
      <c r="F63" s="265"/>
      <c r="G63" s="182">
        <v>6772</v>
      </c>
      <c r="H63" s="182">
        <v>400</v>
      </c>
      <c r="I63" s="182">
        <v>89463461.819999993</v>
      </c>
      <c r="J63" s="182">
        <v>7172</v>
      </c>
      <c r="K63" s="265"/>
      <c r="L63" s="182">
        <v>3804</v>
      </c>
      <c r="M63" s="182">
        <v>3132</v>
      </c>
      <c r="N63" s="182">
        <v>236</v>
      </c>
    </row>
    <row r="64" spans="2:14" s="3" customFormat="1">
      <c r="B64" s="66" t="s">
        <v>270</v>
      </c>
      <c r="C64" s="242" t="s">
        <v>700</v>
      </c>
      <c r="D64" s="182">
        <v>245999</v>
      </c>
      <c r="E64" s="182">
        <v>220785309.46000001</v>
      </c>
      <c r="F64" s="265"/>
      <c r="G64" s="182">
        <v>109395</v>
      </c>
      <c r="H64" s="182">
        <v>27140</v>
      </c>
      <c r="I64" s="182">
        <v>2103097264.46</v>
      </c>
      <c r="J64" s="182">
        <v>136535</v>
      </c>
      <c r="K64" s="265"/>
      <c r="L64" s="182">
        <v>94448</v>
      </c>
      <c r="M64" s="182">
        <v>36379</v>
      </c>
      <c r="N64" s="182">
        <v>5708</v>
      </c>
    </row>
    <row r="65" spans="2:14" s="3" customFormat="1">
      <c r="B65" s="66" t="s">
        <v>273</v>
      </c>
      <c r="C65" s="242" t="s">
        <v>701</v>
      </c>
      <c r="D65" s="182">
        <v>84322</v>
      </c>
      <c r="E65" s="182">
        <v>76304814.480000004</v>
      </c>
      <c r="F65" s="265"/>
      <c r="G65" s="182">
        <v>34207</v>
      </c>
      <c r="H65" s="182">
        <v>2336</v>
      </c>
      <c r="I65" s="182">
        <v>484518801.95999998</v>
      </c>
      <c r="J65" s="182">
        <v>36543</v>
      </c>
      <c r="K65" s="265"/>
      <c r="L65" s="182">
        <v>19751</v>
      </c>
      <c r="M65" s="182">
        <v>15826</v>
      </c>
      <c r="N65" s="182">
        <v>966</v>
      </c>
    </row>
    <row r="66" spans="2:14" s="3" customFormat="1">
      <c r="B66" s="66" t="s">
        <v>165</v>
      </c>
      <c r="C66" s="242" t="s">
        <v>702</v>
      </c>
      <c r="D66" s="182">
        <v>5315</v>
      </c>
      <c r="E66" s="182">
        <v>4793628.46</v>
      </c>
      <c r="F66" s="265"/>
      <c r="G66" s="182">
        <v>2231</v>
      </c>
      <c r="H66" s="182">
        <v>151</v>
      </c>
      <c r="I66" s="182">
        <v>157228370.46000001</v>
      </c>
      <c r="J66" s="182">
        <v>2382</v>
      </c>
      <c r="K66" s="265"/>
      <c r="L66" s="182">
        <v>1342</v>
      </c>
      <c r="M66" s="182">
        <v>962</v>
      </c>
      <c r="N66" s="182">
        <v>78</v>
      </c>
    </row>
    <row r="67" spans="2:14" s="3" customFormat="1">
      <c r="B67" s="66" t="s">
        <v>278</v>
      </c>
      <c r="C67" s="242" t="s">
        <v>703</v>
      </c>
      <c r="D67" s="182">
        <v>88492</v>
      </c>
      <c r="E67" s="182">
        <v>79851022.180000007</v>
      </c>
      <c r="F67" s="265"/>
      <c r="G67" s="182">
        <v>33599</v>
      </c>
      <c r="H67" s="182">
        <v>3110</v>
      </c>
      <c r="I67" s="182">
        <v>500674710.57999998</v>
      </c>
      <c r="J67" s="182">
        <v>36709</v>
      </c>
      <c r="K67" s="265"/>
      <c r="L67" s="182">
        <v>18168</v>
      </c>
      <c r="M67" s="182">
        <v>17547</v>
      </c>
      <c r="N67" s="182">
        <v>994</v>
      </c>
    </row>
    <row r="68" spans="2:14" s="3" customFormat="1" ht="21" customHeight="1">
      <c r="B68" s="66" t="s">
        <v>281</v>
      </c>
      <c r="C68" s="242" t="s">
        <v>704</v>
      </c>
      <c r="D68" s="182">
        <v>5955</v>
      </c>
      <c r="E68" s="182">
        <v>5382678.0800000001</v>
      </c>
      <c r="F68" s="265"/>
      <c r="G68" s="182">
        <v>2474</v>
      </c>
      <c r="H68" s="182">
        <v>76</v>
      </c>
      <c r="I68" s="182">
        <v>32054684.969999999</v>
      </c>
      <c r="J68" s="182">
        <v>2550</v>
      </c>
      <c r="K68" s="265"/>
      <c r="L68" s="182">
        <v>1247</v>
      </c>
      <c r="M68" s="182">
        <v>1227</v>
      </c>
      <c r="N68" s="182">
        <v>76</v>
      </c>
    </row>
    <row r="69" spans="2:14" s="3" customFormat="1">
      <c r="B69" s="66" t="s">
        <v>283</v>
      </c>
      <c r="C69" s="242" t="s">
        <v>705</v>
      </c>
      <c r="D69" s="182">
        <v>36985</v>
      </c>
      <c r="E69" s="182">
        <v>33397723.239999998</v>
      </c>
      <c r="F69" s="265"/>
      <c r="G69" s="182">
        <v>14166</v>
      </c>
      <c r="H69" s="182">
        <v>1350</v>
      </c>
      <c r="I69" s="182">
        <v>211443617.21000001</v>
      </c>
      <c r="J69" s="182">
        <v>15516</v>
      </c>
      <c r="K69" s="265"/>
      <c r="L69" s="182">
        <v>7660</v>
      </c>
      <c r="M69" s="182">
        <v>7453</v>
      </c>
      <c r="N69" s="182">
        <v>403</v>
      </c>
    </row>
    <row r="70" spans="2:14" s="3" customFormat="1">
      <c r="B70" s="66" t="s">
        <v>286</v>
      </c>
      <c r="C70" s="242" t="s">
        <v>706</v>
      </c>
      <c r="D70" s="182">
        <v>13657</v>
      </c>
      <c r="E70" s="182">
        <v>12369893.16</v>
      </c>
      <c r="F70" s="265"/>
      <c r="G70" s="182">
        <v>5721</v>
      </c>
      <c r="H70" s="182">
        <v>455</v>
      </c>
      <c r="I70" s="182">
        <v>78039226.700000003</v>
      </c>
      <c r="J70" s="182">
        <v>6176</v>
      </c>
      <c r="K70" s="265"/>
      <c r="L70" s="182">
        <v>4059</v>
      </c>
      <c r="M70" s="182">
        <v>1888</v>
      </c>
      <c r="N70" s="182">
        <v>229</v>
      </c>
    </row>
    <row r="71" spans="2:14" s="3" customFormat="1">
      <c r="B71" s="66" t="s">
        <v>289</v>
      </c>
      <c r="C71" s="242" t="s">
        <v>707</v>
      </c>
      <c r="D71" s="182">
        <v>14627</v>
      </c>
      <c r="E71" s="182">
        <v>13314556.26</v>
      </c>
      <c r="F71" s="265"/>
      <c r="G71" s="182">
        <v>6003</v>
      </c>
      <c r="H71" s="182">
        <v>157</v>
      </c>
      <c r="I71" s="182">
        <v>77019178.670000002</v>
      </c>
      <c r="J71" s="182">
        <v>6160</v>
      </c>
      <c r="K71" s="265"/>
      <c r="L71" s="182">
        <v>3168</v>
      </c>
      <c r="M71" s="182">
        <v>2859</v>
      </c>
      <c r="N71" s="182">
        <v>133</v>
      </c>
    </row>
    <row r="72" spans="2:14" s="3" customFormat="1">
      <c r="B72" s="66" t="s">
        <v>291</v>
      </c>
      <c r="C72" s="242" t="s">
        <v>708</v>
      </c>
      <c r="D72" s="182">
        <v>13987</v>
      </c>
      <c r="E72" s="182">
        <v>12693980.9</v>
      </c>
      <c r="F72" s="265"/>
      <c r="G72" s="182">
        <v>5796</v>
      </c>
      <c r="H72" s="182">
        <v>317</v>
      </c>
      <c r="I72" s="182">
        <v>72851580.769999996</v>
      </c>
      <c r="J72" s="182">
        <v>6113</v>
      </c>
      <c r="K72" s="265"/>
      <c r="L72" s="182">
        <v>3680</v>
      </c>
      <c r="M72" s="182">
        <v>2182</v>
      </c>
      <c r="N72" s="182">
        <v>251</v>
      </c>
    </row>
    <row r="73" spans="2:14" s="3" customFormat="1" ht="15.5">
      <c r="B73" s="63" t="str">
        <f>$B$36</f>
        <v>Table 1.6, continued</v>
      </c>
      <c r="C73" s="239"/>
      <c r="D73" s="100"/>
      <c r="E73" s="100"/>
      <c r="F73" s="100"/>
      <c r="G73" s="100"/>
      <c r="H73" s="100"/>
      <c r="I73" s="100"/>
      <c r="J73" s="100"/>
      <c r="K73" s="100"/>
      <c r="L73" s="100"/>
      <c r="M73" s="100"/>
      <c r="N73" s="174"/>
    </row>
    <row r="74" spans="2:14" s="3" customFormat="1">
      <c r="B74" s="64" t="str">
        <f>$B$2</f>
        <v>Exemptions, Standard and Itemized Deductions, and Number of Returns by Filing Status/Locality, Taxable Year 2023</v>
      </c>
      <c r="C74" s="240"/>
      <c r="D74" s="100"/>
      <c r="E74" s="100"/>
      <c r="F74" s="100"/>
      <c r="G74" s="100"/>
      <c r="H74" s="100"/>
      <c r="I74" s="100"/>
      <c r="J74" s="100"/>
      <c r="K74" s="100"/>
      <c r="L74" s="100"/>
      <c r="M74" s="100"/>
      <c r="N74" s="174"/>
    </row>
    <row r="75" spans="2:14" s="3" customFormat="1" ht="3" customHeight="1" thickBot="1">
      <c r="B75" s="64"/>
      <c r="C75" s="240"/>
      <c r="D75" s="100"/>
      <c r="E75" s="100"/>
      <c r="F75" s="100"/>
      <c r="G75" s="100"/>
      <c r="H75" s="100"/>
      <c r="I75" s="100"/>
      <c r="J75" s="100"/>
      <c r="K75" s="100"/>
      <c r="L75" s="100"/>
      <c r="M75" s="100"/>
      <c r="N75" s="174"/>
    </row>
    <row r="76" spans="2:14" s="3" customFormat="1">
      <c r="B76" s="175"/>
      <c r="C76" s="256"/>
      <c r="D76" s="176" t="str">
        <f>D$4</f>
        <v>Exemptions</v>
      </c>
      <c r="E76" s="176"/>
      <c r="F76" s="258"/>
      <c r="G76" s="176" t="str">
        <f>G$4</f>
        <v>Deductions</v>
      </c>
      <c r="H76" s="176"/>
      <c r="I76" s="176"/>
      <c r="J76" s="176"/>
      <c r="K76" s="258"/>
      <c r="L76" s="176" t="str">
        <f>L$4</f>
        <v>Filing Status</v>
      </c>
      <c r="M76" s="176"/>
      <c r="N76" s="176"/>
    </row>
    <row r="77" spans="2:14" s="3" customFormat="1" ht="24" customHeight="1">
      <c r="B77" s="179" t="s">
        <v>43</v>
      </c>
      <c r="C77" s="262" t="str">
        <f>C$5</f>
        <v>FIPS</v>
      </c>
      <c r="D77" s="263" t="str">
        <f>D$5</f>
        <v>Number</v>
      </c>
      <c r="E77" s="263" t="str">
        <f>E$5</f>
        <v>Amount</v>
      </c>
      <c r="F77" s="259"/>
      <c r="G77" s="263" t="str">
        <f>G$5</f>
        <v>Standard</v>
      </c>
      <c r="H77" s="263" t="str">
        <f>H$5</f>
        <v>Itemized</v>
      </c>
      <c r="I77" s="263" t="str">
        <f>I$5</f>
        <v>Amount</v>
      </c>
      <c r="J77" s="263" t="str">
        <f>J$5</f>
        <v>Total 
Returns</v>
      </c>
      <c r="K77" s="259"/>
      <c r="L77" s="263" t="str">
        <f>L$5</f>
        <v>Individual</v>
      </c>
      <c r="M77" s="263" t="str">
        <f>M$5</f>
        <v>Married 
Filing Joint</v>
      </c>
      <c r="N77" s="263" t="str">
        <f>N$5</f>
        <v>Married 
Filing Separately</v>
      </c>
    </row>
    <row r="78" spans="2:14" s="3" customFormat="1" ht="21" customHeight="1">
      <c r="B78" s="66" t="s">
        <v>293</v>
      </c>
      <c r="C78" s="242" t="s">
        <v>709</v>
      </c>
      <c r="D78" s="182">
        <v>55263</v>
      </c>
      <c r="E78" s="182">
        <v>50096916.189999998</v>
      </c>
      <c r="F78" s="264"/>
      <c r="G78" s="182">
        <v>23288</v>
      </c>
      <c r="H78" s="182">
        <v>1113</v>
      </c>
      <c r="I78" s="182">
        <v>296699171.39999998</v>
      </c>
      <c r="J78" s="182">
        <v>24401</v>
      </c>
      <c r="K78" s="264"/>
      <c r="L78" s="182">
        <v>13981</v>
      </c>
      <c r="M78" s="182">
        <v>9714</v>
      </c>
      <c r="N78" s="182">
        <v>706</v>
      </c>
    </row>
    <row r="79" spans="2:14" s="3" customFormat="1">
      <c r="B79" s="66" t="s">
        <v>295</v>
      </c>
      <c r="C79" s="242" t="s">
        <v>710</v>
      </c>
      <c r="D79" s="182">
        <v>32273</v>
      </c>
      <c r="E79" s="182">
        <v>29326177.77</v>
      </c>
      <c r="F79" s="265"/>
      <c r="G79" s="182">
        <v>13190</v>
      </c>
      <c r="H79" s="182">
        <v>1528</v>
      </c>
      <c r="I79" s="182">
        <v>183792744.78999999</v>
      </c>
      <c r="J79" s="182">
        <v>14718</v>
      </c>
      <c r="K79" s="265"/>
      <c r="L79" s="182">
        <v>8955</v>
      </c>
      <c r="M79" s="182">
        <v>5214</v>
      </c>
      <c r="N79" s="182">
        <v>549</v>
      </c>
    </row>
    <row r="80" spans="2:14" s="3" customFormat="1">
      <c r="B80" s="66" t="s">
        <v>298</v>
      </c>
      <c r="C80" s="242" t="s">
        <v>711</v>
      </c>
      <c r="D80" s="182">
        <v>28045</v>
      </c>
      <c r="E80" s="182">
        <v>25331499.460000001</v>
      </c>
      <c r="F80" s="265"/>
      <c r="G80" s="182">
        <v>11858</v>
      </c>
      <c r="H80" s="182">
        <v>368</v>
      </c>
      <c r="I80" s="182">
        <v>154768708.58000001</v>
      </c>
      <c r="J80" s="182">
        <v>12226</v>
      </c>
      <c r="K80" s="265"/>
      <c r="L80" s="182">
        <v>6409</v>
      </c>
      <c r="M80" s="182">
        <v>5400</v>
      </c>
      <c r="N80" s="182">
        <v>417</v>
      </c>
    </row>
    <row r="81" spans="2:14" s="3" customFormat="1">
      <c r="B81" s="66" t="s">
        <v>166</v>
      </c>
      <c r="C81" s="242" t="s">
        <v>712</v>
      </c>
      <c r="D81" s="182">
        <v>7254</v>
      </c>
      <c r="E81" s="182">
        <v>6566430</v>
      </c>
      <c r="F81" s="265"/>
      <c r="G81" s="182">
        <v>3060</v>
      </c>
      <c r="H81" s="182">
        <v>354</v>
      </c>
      <c r="I81" s="182">
        <v>116412381.44</v>
      </c>
      <c r="J81" s="182">
        <v>3414</v>
      </c>
      <c r="K81" s="265"/>
      <c r="L81" s="182">
        <v>2064</v>
      </c>
      <c r="M81" s="182">
        <v>1180</v>
      </c>
      <c r="N81" s="182">
        <v>170</v>
      </c>
    </row>
    <row r="82" spans="2:14" s="3" customFormat="1">
      <c r="B82" s="66" t="s">
        <v>303</v>
      </c>
      <c r="C82" s="242" t="s">
        <v>713</v>
      </c>
      <c r="D82" s="182">
        <v>11819</v>
      </c>
      <c r="E82" s="182">
        <v>10729331.689999999</v>
      </c>
      <c r="F82" s="265"/>
      <c r="G82" s="182">
        <v>4762</v>
      </c>
      <c r="H82" s="182">
        <v>291</v>
      </c>
      <c r="I82" s="182">
        <v>104076070.20999999</v>
      </c>
      <c r="J82" s="182">
        <v>5053</v>
      </c>
      <c r="K82" s="265"/>
      <c r="L82" s="182">
        <v>2921</v>
      </c>
      <c r="M82" s="182">
        <v>1941</v>
      </c>
      <c r="N82" s="182">
        <v>191</v>
      </c>
    </row>
    <row r="83" spans="2:14" s="3" customFormat="1" ht="24" customHeight="1">
      <c r="B83" s="66" t="s">
        <v>304</v>
      </c>
      <c r="C83" s="242" t="s">
        <v>714</v>
      </c>
      <c r="D83" s="182">
        <v>397971</v>
      </c>
      <c r="E83" s="182">
        <v>360961639.31</v>
      </c>
      <c r="F83" s="265"/>
      <c r="G83" s="182">
        <v>152311</v>
      </c>
      <c r="H83" s="182">
        <v>22484</v>
      </c>
      <c r="I83" s="182">
        <v>3316103550.4499998</v>
      </c>
      <c r="J83" s="182">
        <v>174795</v>
      </c>
      <c r="K83" s="265"/>
      <c r="L83" s="182">
        <v>101833</v>
      </c>
      <c r="M83" s="182">
        <v>67183</v>
      </c>
      <c r="N83" s="182">
        <v>5779</v>
      </c>
    </row>
    <row r="84" spans="2:14" s="3" customFormat="1">
      <c r="B84" s="66" t="s">
        <v>307</v>
      </c>
      <c r="C84" s="242" t="s">
        <v>715</v>
      </c>
      <c r="D84" s="182">
        <v>17737</v>
      </c>
      <c r="E84" s="182">
        <v>15987586.02</v>
      </c>
      <c r="F84" s="265"/>
      <c r="G84" s="182">
        <v>6560</v>
      </c>
      <c r="H84" s="182">
        <v>1165</v>
      </c>
      <c r="I84" s="182">
        <v>112081171.20999999</v>
      </c>
      <c r="J84" s="182">
        <v>7725</v>
      </c>
      <c r="K84" s="265"/>
      <c r="L84" s="182">
        <v>4184</v>
      </c>
      <c r="M84" s="182">
        <v>3292</v>
      </c>
      <c r="N84" s="182">
        <v>249</v>
      </c>
    </row>
    <row r="85" spans="2:14" s="3" customFormat="1">
      <c r="B85" s="66" t="s">
        <v>308</v>
      </c>
      <c r="C85" s="242" t="s">
        <v>716</v>
      </c>
      <c r="D85" s="182">
        <v>5219</v>
      </c>
      <c r="E85" s="182">
        <v>4728784</v>
      </c>
      <c r="F85" s="265"/>
      <c r="G85" s="182">
        <v>2162</v>
      </c>
      <c r="H85" s="182">
        <v>88</v>
      </c>
      <c r="I85" s="182">
        <v>27859722.399999999</v>
      </c>
      <c r="J85" s="182">
        <v>2250</v>
      </c>
      <c r="K85" s="265"/>
      <c r="L85" s="182">
        <v>1122</v>
      </c>
      <c r="M85" s="182">
        <v>1054</v>
      </c>
      <c r="N85" s="182">
        <v>74</v>
      </c>
    </row>
    <row r="86" spans="2:14" s="3" customFormat="1">
      <c r="B86" s="66" t="s">
        <v>311</v>
      </c>
      <c r="C86" s="242" t="s">
        <v>717</v>
      </c>
      <c r="D86" s="182">
        <v>57030</v>
      </c>
      <c r="E86" s="182">
        <v>51812925.740000002</v>
      </c>
      <c r="F86" s="265"/>
      <c r="G86" s="182">
        <v>21945</v>
      </c>
      <c r="H86" s="182">
        <v>2800</v>
      </c>
      <c r="I86" s="182">
        <v>373993510.25</v>
      </c>
      <c r="J86" s="182">
        <v>24745</v>
      </c>
      <c r="K86" s="265"/>
      <c r="L86" s="182">
        <v>14121</v>
      </c>
      <c r="M86" s="182">
        <v>9859</v>
      </c>
      <c r="N86" s="182">
        <v>765</v>
      </c>
    </row>
    <row r="87" spans="2:14" s="3" customFormat="1">
      <c r="B87" s="66" t="s">
        <v>314</v>
      </c>
      <c r="C87" s="242" t="s">
        <v>718</v>
      </c>
      <c r="D87" s="182">
        <v>9643</v>
      </c>
      <c r="E87" s="182">
        <v>8760731.3599999994</v>
      </c>
      <c r="F87" s="265"/>
      <c r="G87" s="182">
        <v>3948</v>
      </c>
      <c r="H87" s="182">
        <v>289</v>
      </c>
      <c r="I87" s="182">
        <v>52780018.390000001</v>
      </c>
      <c r="J87" s="182">
        <v>4237</v>
      </c>
      <c r="K87" s="265"/>
      <c r="L87" s="182">
        <v>2451</v>
      </c>
      <c r="M87" s="182">
        <v>1602</v>
      </c>
      <c r="N87" s="182">
        <v>184</v>
      </c>
    </row>
    <row r="88" spans="2:14" s="3" customFormat="1" ht="24" customHeight="1">
      <c r="B88" s="66" t="s">
        <v>317</v>
      </c>
      <c r="C88" s="242" t="s">
        <v>719</v>
      </c>
      <c r="D88" s="182">
        <v>10927</v>
      </c>
      <c r="E88" s="182">
        <v>9946902</v>
      </c>
      <c r="F88" s="265"/>
      <c r="G88" s="182">
        <v>4497</v>
      </c>
      <c r="H88" s="182">
        <v>61</v>
      </c>
      <c r="I88" s="182">
        <v>53926249</v>
      </c>
      <c r="J88" s="182">
        <v>4558</v>
      </c>
      <c r="K88" s="265"/>
      <c r="L88" s="182">
        <v>2342</v>
      </c>
      <c r="M88" s="182">
        <v>2097</v>
      </c>
      <c r="N88" s="182">
        <v>119</v>
      </c>
    </row>
    <row r="89" spans="2:14" s="3" customFormat="1">
      <c r="B89" s="66" t="s">
        <v>318</v>
      </c>
      <c r="C89" s="242" t="s">
        <v>720</v>
      </c>
      <c r="D89" s="182">
        <v>27403</v>
      </c>
      <c r="E89" s="182">
        <v>24916482.510000002</v>
      </c>
      <c r="F89" s="265"/>
      <c r="G89" s="182">
        <v>11266</v>
      </c>
      <c r="H89" s="182">
        <v>1192</v>
      </c>
      <c r="I89" s="182">
        <v>1109495547.4200001</v>
      </c>
      <c r="J89" s="182">
        <v>12458</v>
      </c>
      <c r="K89" s="265"/>
      <c r="L89" s="182">
        <v>7667</v>
      </c>
      <c r="M89" s="182">
        <v>4333</v>
      </c>
      <c r="N89" s="182">
        <v>458</v>
      </c>
    </row>
    <row r="90" spans="2:14" s="3" customFormat="1">
      <c r="B90" s="66" t="s">
        <v>321</v>
      </c>
      <c r="C90" s="242" t="s">
        <v>721</v>
      </c>
      <c r="D90" s="182">
        <v>11358</v>
      </c>
      <c r="E90" s="182">
        <v>10279406.15</v>
      </c>
      <c r="F90" s="265"/>
      <c r="G90" s="182">
        <v>4704</v>
      </c>
      <c r="H90" s="182">
        <v>429</v>
      </c>
      <c r="I90" s="182">
        <v>63867173.670000002</v>
      </c>
      <c r="J90" s="182">
        <v>5133</v>
      </c>
      <c r="K90" s="265"/>
      <c r="L90" s="182">
        <v>3236</v>
      </c>
      <c r="M90" s="182">
        <v>1710</v>
      </c>
      <c r="N90" s="182">
        <v>187</v>
      </c>
    </row>
    <row r="91" spans="2:14" s="3" customFormat="1">
      <c r="B91" s="66" t="s">
        <v>323</v>
      </c>
      <c r="C91" s="242" t="s">
        <v>722</v>
      </c>
      <c r="D91" s="182">
        <v>1239104</v>
      </c>
      <c r="E91" s="182">
        <v>1122238699.9100001</v>
      </c>
      <c r="F91" s="265"/>
      <c r="G91" s="182">
        <v>439869</v>
      </c>
      <c r="H91" s="182">
        <v>124326</v>
      </c>
      <c r="I91" s="182">
        <v>10772702478.49</v>
      </c>
      <c r="J91" s="182">
        <v>564195</v>
      </c>
      <c r="K91" s="265"/>
      <c r="L91" s="182">
        <v>321411</v>
      </c>
      <c r="M91" s="182">
        <v>220807</v>
      </c>
      <c r="N91" s="182">
        <v>21977</v>
      </c>
    </row>
    <row r="92" spans="2:14" s="3" customFormat="1">
      <c r="B92" s="66" t="s">
        <v>326</v>
      </c>
      <c r="C92" s="242" t="s">
        <v>723</v>
      </c>
      <c r="D92" s="182">
        <v>82601</v>
      </c>
      <c r="E92" s="182">
        <v>74920397.980000004</v>
      </c>
      <c r="F92" s="265"/>
      <c r="G92" s="182">
        <v>28999</v>
      </c>
      <c r="H92" s="182">
        <v>6680</v>
      </c>
      <c r="I92" s="182">
        <v>619969069.89999998</v>
      </c>
      <c r="J92" s="182">
        <v>35679</v>
      </c>
      <c r="K92" s="265"/>
      <c r="L92" s="182">
        <v>19220</v>
      </c>
      <c r="M92" s="182">
        <v>15362</v>
      </c>
      <c r="N92" s="182">
        <v>1097</v>
      </c>
    </row>
    <row r="93" spans="2:14" s="3" customFormat="1" ht="24" customHeight="1">
      <c r="B93" s="66" t="s">
        <v>329</v>
      </c>
      <c r="C93" s="242" t="s">
        <v>724</v>
      </c>
      <c r="D93" s="182">
        <v>15843</v>
      </c>
      <c r="E93" s="182">
        <v>14323380.73</v>
      </c>
      <c r="F93" s="265"/>
      <c r="G93" s="182">
        <v>6512</v>
      </c>
      <c r="H93" s="182">
        <v>292</v>
      </c>
      <c r="I93" s="182">
        <v>86261864.640000001</v>
      </c>
      <c r="J93" s="182">
        <v>6804</v>
      </c>
      <c r="K93" s="265"/>
      <c r="L93" s="182">
        <v>3493</v>
      </c>
      <c r="M93" s="182">
        <v>3157</v>
      </c>
      <c r="N93" s="182">
        <v>154</v>
      </c>
    </row>
    <row r="94" spans="2:14" s="3" customFormat="1">
      <c r="B94" s="66" t="s">
        <v>332</v>
      </c>
      <c r="C94" s="242" t="s">
        <v>725</v>
      </c>
      <c r="D94" s="182">
        <v>29668</v>
      </c>
      <c r="E94" s="182">
        <v>26749439.02</v>
      </c>
      <c r="F94" s="265"/>
      <c r="G94" s="182">
        <v>11695</v>
      </c>
      <c r="H94" s="182">
        <v>1079</v>
      </c>
      <c r="I94" s="182">
        <v>163368887.78</v>
      </c>
      <c r="J94" s="182">
        <v>12774</v>
      </c>
      <c r="K94" s="265"/>
      <c r="L94" s="182">
        <v>6820</v>
      </c>
      <c r="M94" s="182">
        <v>5504</v>
      </c>
      <c r="N94" s="182">
        <v>450</v>
      </c>
    </row>
    <row r="95" spans="2:14" s="3" customFormat="1">
      <c r="B95" s="66" t="s">
        <v>334</v>
      </c>
      <c r="C95" s="242" t="s">
        <v>726</v>
      </c>
      <c r="D95" s="182">
        <v>56431</v>
      </c>
      <c r="E95" s="182">
        <v>50908979.159999996</v>
      </c>
      <c r="F95" s="265"/>
      <c r="G95" s="182">
        <v>22585</v>
      </c>
      <c r="H95" s="182">
        <v>1582</v>
      </c>
      <c r="I95" s="182">
        <v>315941074.43000001</v>
      </c>
      <c r="J95" s="182">
        <v>24167</v>
      </c>
      <c r="K95" s="265"/>
      <c r="L95" s="182">
        <v>12866</v>
      </c>
      <c r="M95" s="182">
        <v>10598</v>
      </c>
      <c r="N95" s="182">
        <v>703</v>
      </c>
    </row>
    <row r="96" spans="2:14" s="3" customFormat="1">
      <c r="B96" s="66" t="s">
        <v>337</v>
      </c>
      <c r="C96" s="242" t="s">
        <v>727</v>
      </c>
      <c r="D96" s="182">
        <v>108204</v>
      </c>
      <c r="E96" s="182">
        <v>97829016.739999995</v>
      </c>
      <c r="F96" s="265"/>
      <c r="G96" s="182">
        <v>42193</v>
      </c>
      <c r="H96" s="182">
        <v>5209</v>
      </c>
      <c r="I96" s="182">
        <v>633900767.25</v>
      </c>
      <c r="J96" s="182">
        <v>47402</v>
      </c>
      <c r="K96" s="265"/>
      <c r="L96" s="182">
        <v>26477</v>
      </c>
      <c r="M96" s="182">
        <v>19490</v>
      </c>
      <c r="N96" s="182">
        <v>1435</v>
      </c>
    </row>
    <row r="97" spans="2:14" s="3" customFormat="1">
      <c r="B97" s="66" t="s">
        <v>339</v>
      </c>
      <c r="C97" s="242" t="s">
        <v>728</v>
      </c>
      <c r="D97" s="182">
        <v>16817</v>
      </c>
      <c r="E97" s="182">
        <v>15230836.810000001</v>
      </c>
      <c r="F97" s="265"/>
      <c r="G97" s="182">
        <v>7262</v>
      </c>
      <c r="H97" s="182">
        <v>231</v>
      </c>
      <c r="I97" s="182">
        <v>87252257.400000006</v>
      </c>
      <c r="J97" s="182">
        <v>7493</v>
      </c>
      <c r="K97" s="265"/>
      <c r="L97" s="182">
        <v>4231</v>
      </c>
      <c r="M97" s="182">
        <v>3044</v>
      </c>
      <c r="N97" s="182">
        <v>218</v>
      </c>
    </row>
    <row r="98" spans="2:14" s="3" customFormat="1" ht="24" customHeight="1">
      <c r="B98" s="66" t="s">
        <v>342</v>
      </c>
      <c r="C98" s="242" t="s">
        <v>729</v>
      </c>
      <c r="D98" s="182">
        <v>40690</v>
      </c>
      <c r="E98" s="182">
        <v>36734392.75</v>
      </c>
      <c r="F98" s="265"/>
      <c r="G98" s="182">
        <v>16428</v>
      </c>
      <c r="H98" s="182">
        <v>1427</v>
      </c>
      <c r="I98" s="182">
        <v>228702540.63</v>
      </c>
      <c r="J98" s="182">
        <v>17855</v>
      </c>
      <c r="K98" s="265"/>
      <c r="L98" s="182">
        <v>9662</v>
      </c>
      <c r="M98" s="182">
        <v>7579</v>
      </c>
      <c r="N98" s="182">
        <v>614</v>
      </c>
    </row>
    <row r="99" spans="2:14" s="3" customFormat="1">
      <c r="B99" s="66" t="s">
        <v>345</v>
      </c>
      <c r="C99" s="242" t="s">
        <v>730</v>
      </c>
      <c r="D99" s="182">
        <v>33200</v>
      </c>
      <c r="E99" s="182">
        <v>29762431.780000001</v>
      </c>
      <c r="F99" s="265"/>
      <c r="G99" s="182">
        <v>11138</v>
      </c>
      <c r="H99" s="182">
        <v>2502</v>
      </c>
      <c r="I99" s="182">
        <v>248301552.22999999</v>
      </c>
      <c r="J99" s="182">
        <v>13640</v>
      </c>
      <c r="K99" s="265"/>
      <c r="L99" s="182">
        <v>6481</v>
      </c>
      <c r="M99" s="182">
        <v>6755</v>
      </c>
      <c r="N99" s="182">
        <v>404</v>
      </c>
    </row>
    <row r="100" spans="2:14" s="3" customFormat="1">
      <c r="B100" s="66" t="s">
        <v>348</v>
      </c>
      <c r="C100" s="242" t="s">
        <v>731</v>
      </c>
      <c r="D100" s="182">
        <v>14613</v>
      </c>
      <c r="E100" s="182">
        <v>13203752.220000001</v>
      </c>
      <c r="F100" s="265"/>
      <c r="G100" s="182">
        <v>6199</v>
      </c>
      <c r="H100" s="182">
        <v>189</v>
      </c>
      <c r="I100" s="182">
        <v>80466197.239999995</v>
      </c>
      <c r="J100" s="182">
        <v>6388</v>
      </c>
      <c r="K100" s="265"/>
      <c r="L100" s="182">
        <v>3317</v>
      </c>
      <c r="M100" s="182">
        <v>2816</v>
      </c>
      <c r="N100" s="182">
        <v>255</v>
      </c>
    </row>
    <row r="101" spans="2:14" s="3" customFormat="1">
      <c r="B101" s="66" t="s">
        <v>351</v>
      </c>
      <c r="C101" s="242" t="s">
        <v>732</v>
      </c>
      <c r="D101" s="182">
        <v>21434</v>
      </c>
      <c r="E101" s="182">
        <v>19414722.27</v>
      </c>
      <c r="F101" s="265"/>
      <c r="G101" s="182">
        <v>8651</v>
      </c>
      <c r="H101" s="182">
        <v>744</v>
      </c>
      <c r="I101" s="182">
        <v>118864912.81</v>
      </c>
      <c r="J101" s="182">
        <v>9395</v>
      </c>
      <c r="K101" s="265"/>
      <c r="L101" s="182">
        <v>5240</v>
      </c>
      <c r="M101" s="182">
        <v>3863</v>
      </c>
      <c r="N101" s="182">
        <v>292</v>
      </c>
    </row>
    <row r="102" spans="2:14" s="3" customFormat="1">
      <c r="B102" s="66" t="s">
        <v>353</v>
      </c>
      <c r="C102" s="242" t="s">
        <v>733</v>
      </c>
      <c r="D102" s="182">
        <v>10227</v>
      </c>
      <c r="E102" s="182">
        <v>9303835</v>
      </c>
      <c r="F102" s="265"/>
      <c r="G102" s="182">
        <v>4336</v>
      </c>
      <c r="H102" s="182">
        <v>397</v>
      </c>
      <c r="I102" s="182">
        <v>56759702.950000003</v>
      </c>
      <c r="J102" s="182">
        <v>4733</v>
      </c>
      <c r="K102" s="265"/>
      <c r="L102" s="182">
        <v>3304</v>
      </c>
      <c r="M102" s="182">
        <v>1222</v>
      </c>
      <c r="N102" s="182">
        <v>207</v>
      </c>
    </row>
    <row r="103" spans="2:14" s="3" customFormat="1" ht="24" customHeight="1">
      <c r="B103" s="66" t="s">
        <v>78</v>
      </c>
      <c r="C103" s="242" t="s">
        <v>734</v>
      </c>
      <c r="D103" s="182">
        <v>33176</v>
      </c>
      <c r="E103" s="182">
        <v>30057653.469999999</v>
      </c>
      <c r="F103" s="265"/>
      <c r="G103" s="182">
        <v>14252</v>
      </c>
      <c r="H103" s="182">
        <v>610</v>
      </c>
      <c r="I103" s="182">
        <v>172813749.86000001</v>
      </c>
      <c r="J103" s="182">
        <v>14862</v>
      </c>
      <c r="K103" s="265"/>
      <c r="L103" s="182">
        <v>9307</v>
      </c>
      <c r="M103" s="182">
        <v>4921</v>
      </c>
      <c r="N103" s="182">
        <v>634</v>
      </c>
    </row>
    <row r="104" spans="2:14" s="3" customFormat="1">
      <c r="B104" s="66" t="s">
        <v>356</v>
      </c>
      <c r="C104" s="242" t="s">
        <v>735</v>
      </c>
      <c r="D104" s="182">
        <v>126576</v>
      </c>
      <c r="E104" s="182">
        <v>114672055.55</v>
      </c>
      <c r="F104" s="265"/>
      <c r="G104" s="182">
        <v>47043</v>
      </c>
      <c r="H104" s="182">
        <v>6842</v>
      </c>
      <c r="I104" s="182">
        <v>778639779.36000001</v>
      </c>
      <c r="J104" s="182">
        <v>53885</v>
      </c>
      <c r="K104" s="265"/>
      <c r="L104" s="182">
        <v>27998</v>
      </c>
      <c r="M104" s="182">
        <v>24334</v>
      </c>
      <c r="N104" s="182">
        <v>1553</v>
      </c>
    </row>
    <row r="105" spans="2:14" s="3" customFormat="1">
      <c r="B105" s="66" t="s">
        <v>358</v>
      </c>
      <c r="C105" s="242" t="s">
        <v>736</v>
      </c>
      <c r="D105" s="182">
        <v>343889</v>
      </c>
      <c r="E105" s="182">
        <v>311963780.18000001</v>
      </c>
      <c r="F105" s="265"/>
      <c r="G105" s="182">
        <v>140141</v>
      </c>
      <c r="H105" s="182">
        <v>20058</v>
      </c>
      <c r="I105" s="182">
        <v>2174032949.8200002</v>
      </c>
      <c r="J105" s="182">
        <v>160199</v>
      </c>
      <c r="K105" s="265"/>
      <c r="L105" s="182">
        <v>101943</v>
      </c>
      <c r="M105" s="182">
        <v>52960</v>
      </c>
      <c r="N105" s="182">
        <v>5296</v>
      </c>
    </row>
    <row r="106" spans="2:14" s="3" customFormat="1">
      <c r="B106" s="66" t="s">
        <v>360</v>
      </c>
      <c r="C106" s="242" t="s">
        <v>737</v>
      </c>
      <c r="D106" s="182">
        <v>48521</v>
      </c>
      <c r="E106" s="182">
        <v>44017930.100000001</v>
      </c>
      <c r="F106" s="265"/>
      <c r="G106" s="182">
        <v>21048</v>
      </c>
      <c r="H106" s="182">
        <v>860</v>
      </c>
      <c r="I106" s="182">
        <v>255992252.05000001</v>
      </c>
      <c r="J106" s="182">
        <v>21908</v>
      </c>
      <c r="K106" s="265"/>
      <c r="L106" s="182">
        <v>13497</v>
      </c>
      <c r="M106" s="182">
        <v>7636</v>
      </c>
      <c r="N106" s="182">
        <v>775</v>
      </c>
    </row>
    <row r="107" spans="2:14" s="3" customFormat="1">
      <c r="B107" s="66" t="s">
        <v>362</v>
      </c>
      <c r="C107" s="242" t="s">
        <v>738</v>
      </c>
      <c r="D107" s="182">
        <v>2809</v>
      </c>
      <c r="E107" s="182">
        <v>2515350</v>
      </c>
      <c r="F107" s="265"/>
      <c r="G107" s="182">
        <v>1044</v>
      </c>
      <c r="H107" s="182">
        <v>53</v>
      </c>
      <c r="I107" s="182">
        <v>14500910.109999999</v>
      </c>
      <c r="J107" s="182">
        <v>1097</v>
      </c>
      <c r="K107" s="265"/>
      <c r="L107" s="182">
        <v>492</v>
      </c>
      <c r="M107" s="182">
        <v>561</v>
      </c>
      <c r="N107" s="182">
        <v>44</v>
      </c>
    </row>
    <row r="108" spans="2:14" s="3" customFormat="1" ht="15.5">
      <c r="B108" s="63" t="str">
        <f>$B$36</f>
        <v>Table 1.6, continued</v>
      </c>
      <c r="C108" s="239"/>
      <c r="D108" s="100"/>
      <c r="E108" s="100"/>
      <c r="F108" s="100"/>
      <c r="G108" s="100"/>
      <c r="H108" s="100"/>
      <c r="I108" s="100"/>
      <c r="J108" s="100"/>
      <c r="K108" s="100"/>
      <c r="L108" s="100"/>
      <c r="M108" s="100"/>
      <c r="N108" s="174"/>
    </row>
    <row r="109" spans="2:14" s="3" customFormat="1">
      <c r="B109" s="64" t="str">
        <f>$B$2</f>
        <v>Exemptions, Standard and Itemized Deductions, and Number of Returns by Filing Status/Locality, Taxable Year 2023</v>
      </c>
      <c r="C109" s="240"/>
      <c r="D109" s="100"/>
      <c r="E109" s="100"/>
      <c r="F109" s="100"/>
      <c r="G109" s="100"/>
      <c r="H109" s="100"/>
      <c r="I109" s="100"/>
      <c r="J109" s="100"/>
      <c r="K109" s="100"/>
      <c r="L109" s="100"/>
      <c r="M109" s="100"/>
      <c r="N109" s="174"/>
    </row>
    <row r="110" spans="2:14" s="3" customFormat="1" ht="3" customHeight="1" thickBot="1">
      <c r="B110" s="64"/>
      <c r="C110" s="240"/>
      <c r="D110" s="100"/>
      <c r="E110" s="100"/>
      <c r="F110" s="100"/>
      <c r="G110" s="100"/>
      <c r="H110" s="100"/>
      <c r="I110" s="100"/>
      <c r="J110" s="100"/>
      <c r="K110" s="100"/>
      <c r="L110" s="100"/>
      <c r="M110" s="100"/>
      <c r="N110" s="174"/>
    </row>
    <row r="111" spans="2:14" s="3" customFormat="1">
      <c r="B111" s="175"/>
      <c r="C111" s="256"/>
      <c r="D111" s="176" t="str">
        <f>D$4</f>
        <v>Exemptions</v>
      </c>
      <c r="E111" s="176"/>
      <c r="F111" s="258"/>
      <c r="G111" s="176" t="str">
        <f>G$4</f>
        <v>Deductions</v>
      </c>
      <c r="H111" s="176"/>
      <c r="I111" s="176"/>
      <c r="J111" s="176"/>
      <c r="K111" s="258"/>
      <c r="L111" s="176" t="str">
        <f>L$4</f>
        <v>Filing Status</v>
      </c>
      <c r="M111" s="176"/>
      <c r="N111" s="176"/>
    </row>
    <row r="112" spans="2:14" s="3" customFormat="1" ht="24" customHeight="1">
      <c r="B112" s="179" t="s">
        <v>43</v>
      </c>
      <c r="C112" s="262" t="str">
        <f>C$5</f>
        <v>FIPS</v>
      </c>
      <c r="D112" s="263" t="str">
        <f>D$5</f>
        <v>Number</v>
      </c>
      <c r="E112" s="263" t="str">
        <f>E$5</f>
        <v>Amount</v>
      </c>
      <c r="F112" s="259"/>
      <c r="G112" s="263" t="str">
        <f>G$5</f>
        <v>Standard</v>
      </c>
      <c r="H112" s="263" t="str">
        <f>H$5</f>
        <v>Itemized</v>
      </c>
      <c r="I112" s="263" t="str">
        <f>I$5</f>
        <v>Amount</v>
      </c>
      <c r="J112" s="263" t="str">
        <f>J$5</f>
        <v>Total 
Returns</v>
      </c>
      <c r="K112" s="259"/>
      <c r="L112" s="263" t="str">
        <f>L$5</f>
        <v>Individual</v>
      </c>
      <c r="M112" s="263" t="str">
        <f>M$5</f>
        <v>Married 
Filing Joint</v>
      </c>
      <c r="N112" s="263" t="str">
        <f>N$5</f>
        <v>Married 
Filing Separately</v>
      </c>
    </row>
    <row r="113" spans="2:14" s="3" customFormat="1" ht="21" customHeight="1">
      <c r="B113" s="66" t="s">
        <v>364</v>
      </c>
      <c r="C113" s="242" t="s">
        <v>739</v>
      </c>
      <c r="D113" s="182">
        <v>42145</v>
      </c>
      <c r="E113" s="182">
        <v>38055389.579999998</v>
      </c>
      <c r="F113" s="264"/>
      <c r="G113" s="182">
        <v>15625</v>
      </c>
      <c r="H113" s="182">
        <v>2401</v>
      </c>
      <c r="I113" s="182">
        <v>249947597.28999999</v>
      </c>
      <c r="J113" s="182">
        <v>18026</v>
      </c>
      <c r="K113" s="264"/>
      <c r="L113" s="182">
        <v>9467</v>
      </c>
      <c r="M113" s="182">
        <v>7893</v>
      </c>
      <c r="N113" s="182">
        <v>666</v>
      </c>
    </row>
    <row r="114" spans="2:14" s="3" customFormat="1">
      <c r="B114" s="66" t="s">
        <v>83</v>
      </c>
      <c r="C114" s="242" t="s">
        <v>740</v>
      </c>
      <c r="D114" s="182">
        <v>94590</v>
      </c>
      <c r="E114" s="182">
        <v>84470302.230000004</v>
      </c>
      <c r="F114" s="265"/>
      <c r="G114" s="182">
        <v>33263</v>
      </c>
      <c r="H114" s="182">
        <v>5684</v>
      </c>
      <c r="I114" s="182">
        <v>609746392.25999999</v>
      </c>
      <c r="J114" s="182">
        <v>38947</v>
      </c>
      <c r="K114" s="265"/>
      <c r="L114" s="182">
        <v>20079</v>
      </c>
      <c r="M114" s="182">
        <v>17686</v>
      </c>
      <c r="N114" s="182">
        <v>1182</v>
      </c>
    </row>
    <row r="115" spans="2:14" s="3" customFormat="1">
      <c r="B115" s="66" t="s">
        <v>365</v>
      </c>
      <c r="C115" s="242" t="s">
        <v>741</v>
      </c>
      <c r="D115" s="182">
        <v>7043</v>
      </c>
      <c r="E115" s="182">
        <v>6380410</v>
      </c>
      <c r="F115" s="265"/>
      <c r="G115" s="182">
        <v>3018</v>
      </c>
      <c r="H115" s="182">
        <v>215</v>
      </c>
      <c r="I115" s="182">
        <v>39767749.149999999</v>
      </c>
      <c r="J115" s="182">
        <v>3233</v>
      </c>
      <c r="K115" s="265"/>
      <c r="L115" s="182">
        <v>1971</v>
      </c>
      <c r="M115" s="182">
        <v>1151</v>
      </c>
      <c r="N115" s="182">
        <v>111</v>
      </c>
    </row>
    <row r="116" spans="2:14" s="3" customFormat="1">
      <c r="B116" s="66" t="s">
        <v>366</v>
      </c>
      <c r="C116" s="242" t="s">
        <v>742</v>
      </c>
      <c r="D116" s="182">
        <v>29309</v>
      </c>
      <c r="E116" s="182">
        <v>26555415.899999999</v>
      </c>
      <c r="F116" s="265"/>
      <c r="G116" s="182">
        <v>10749</v>
      </c>
      <c r="H116" s="182">
        <v>1879</v>
      </c>
      <c r="I116" s="182">
        <v>173868386.69999999</v>
      </c>
      <c r="J116" s="182">
        <v>12628</v>
      </c>
      <c r="K116" s="265"/>
      <c r="L116" s="182">
        <v>6799</v>
      </c>
      <c r="M116" s="182">
        <v>5289</v>
      </c>
      <c r="N116" s="182">
        <v>540</v>
      </c>
    </row>
    <row r="117" spans="2:14" s="3" customFormat="1">
      <c r="B117" s="66" t="s">
        <v>86</v>
      </c>
      <c r="C117" s="242" t="s">
        <v>743</v>
      </c>
      <c r="D117" s="182">
        <v>19789</v>
      </c>
      <c r="E117" s="182">
        <v>18011548.129999999</v>
      </c>
      <c r="F117" s="265"/>
      <c r="G117" s="182">
        <v>8164</v>
      </c>
      <c r="H117" s="182">
        <v>625</v>
      </c>
      <c r="I117" s="182">
        <v>111357804.95</v>
      </c>
      <c r="J117" s="182">
        <v>8789</v>
      </c>
      <c r="K117" s="265"/>
      <c r="L117" s="182">
        <v>4857</v>
      </c>
      <c r="M117" s="182">
        <v>3668</v>
      </c>
      <c r="N117" s="182">
        <v>264</v>
      </c>
    </row>
    <row r="118" spans="2:14" s="3" customFormat="1" ht="24" customHeight="1">
      <c r="B118" s="66" t="s">
        <v>171</v>
      </c>
      <c r="C118" s="242" t="s">
        <v>744</v>
      </c>
      <c r="D118" s="182">
        <v>13152</v>
      </c>
      <c r="E118" s="182">
        <v>11705628.470000001</v>
      </c>
      <c r="F118" s="265"/>
      <c r="G118" s="182">
        <v>4694</v>
      </c>
      <c r="H118" s="182">
        <v>860</v>
      </c>
      <c r="I118" s="182">
        <v>91312000.739999995</v>
      </c>
      <c r="J118" s="182">
        <v>5554</v>
      </c>
      <c r="K118" s="265"/>
      <c r="L118" s="182">
        <v>3214</v>
      </c>
      <c r="M118" s="182">
        <v>2182</v>
      </c>
      <c r="N118" s="182">
        <v>158</v>
      </c>
    </row>
    <row r="119" spans="2:14" s="3" customFormat="1">
      <c r="B119" s="66" t="s">
        <v>257</v>
      </c>
      <c r="C119" s="242" t="s">
        <v>745</v>
      </c>
      <c r="D119" s="182">
        <v>18008</v>
      </c>
      <c r="E119" s="182">
        <v>16316630.439999999</v>
      </c>
      <c r="F119" s="265"/>
      <c r="G119" s="182">
        <v>7400</v>
      </c>
      <c r="H119" s="182">
        <v>184</v>
      </c>
      <c r="I119" s="182">
        <v>89053886.340000004</v>
      </c>
      <c r="J119" s="182">
        <v>7584</v>
      </c>
      <c r="K119" s="265"/>
      <c r="L119" s="182">
        <v>4099</v>
      </c>
      <c r="M119" s="182">
        <v>3231</v>
      </c>
      <c r="N119" s="182">
        <v>254</v>
      </c>
    </row>
    <row r="120" spans="2:14" s="3" customFormat="1">
      <c r="B120" s="66" t="s">
        <v>260</v>
      </c>
      <c r="C120" s="242" t="s">
        <v>746</v>
      </c>
      <c r="D120" s="182">
        <v>486860</v>
      </c>
      <c r="E120" s="182">
        <v>443621798.77999997</v>
      </c>
      <c r="F120" s="265"/>
      <c r="G120" s="182">
        <v>157960</v>
      </c>
      <c r="H120" s="182">
        <v>48676</v>
      </c>
      <c r="I120" s="182">
        <v>3540585146.8200002</v>
      </c>
      <c r="J120" s="182">
        <v>206636</v>
      </c>
      <c r="K120" s="265"/>
      <c r="L120" s="182">
        <v>104732</v>
      </c>
      <c r="M120" s="182">
        <v>94638</v>
      </c>
      <c r="N120" s="182">
        <v>7266</v>
      </c>
    </row>
    <row r="121" spans="2:14" s="3" customFormat="1">
      <c r="B121" s="66" t="s">
        <v>263</v>
      </c>
      <c r="C121" s="242" t="s">
        <v>747</v>
      </c>
      <c r="D121" s="182">
        <v>42202</v>
      </c>
      <c r="E121" s="182">
        <v>38174646.159999996</v>
      </c>
      <c r="F121" s="265"/>
      <c r="G121" s="182">
        <v>16567</v>
      </c>
      <c r="H121" s="182">
        <v>1744</v>
      </c>
      <c r="I121" s="182">
        <v>262851217.52000001</v>
      </c>
      <c r="J121" s="182">
        <v>18311</v>
      </c>
      <c r="K121" s="265"/>
      <c r="L121" s="182">
        <v>9865</v>
      </c>
      <c r="M121" s="182">
        <v>7834</v>
      </c>
      <c r="N121" s="182">
        <v>612</v>
      </c>
    </row>
    <row r="122" spans="2:14" s="3" customFormat="1">
      <c r="B122" s="66" t="s">
        <v>266</v>
      </c>
      <c r="C122" s="242" t="s">
        <v>748</v>
      </c>
      <c r="D122" s="182">
        <v>10397</v>
      </c>
      <c r="E122" s="182">
        <v>9405055.0399999991</v>
      </c>
      <c r="F122" s="265"/>
      <c r="G122" s="182">
        <v>4248</v>
      </c>
      <c r="H122" s="182">
        <v>204</v>
      </c>
      <c r="I122" s="182">
        <v>53530378.869999997</v>
      </c>
      <c r="J122" s="182">
        <v>4452</v>
      </c>
      <c r="K122" s="265"/>
      <c r="L122" s="182">
        <v>2710</v>
      </c>
      <c r="M122" s="182">
        <v>1593</v>
      </c>
      <c r="N122" s="182">
        <v>149</v>
      </c>
    </row>
    <row r="123" spans="2:14" s="3" customFormat="1" ht="24" customHeight="1">
      <c r="B123" s="66" t="s">
        <v>268</v>
      </c>
      <c r="C123" s="242" t="s">
        <v>749</v>
      </c>
      <c r="D123" s="182">
        <v>14356</v>
      </c>
      <c r="E123" s="182">
        <v>12992723.07</v>
      </c>
      <c r="F123" s="265"/>
      <c r="G123" s="182">
        <v>5702</v>
      </c>
      <c r="H123" s="182">
        <v>477</v>
      </c>
      <c r="I123" s="182">
        <v>81169365.170000002</v>
      </c>
      <c r="J123" s="182">
        <v>6179</v>
      </c>
      <c r="K123" s="265"/>
      <c r="L123" s="182">
        <v>3336</v>
      </c>
      <c r="M123" s="182">
        <v>2662</v>
      </c>
      <c r="N123" s="182">
        <v>181</v>
      </c>
    </row>
    <row r="124" spans="2:14" s="3" customFormat="1">
      <c r="B124" s="66" t="s">
        <v>271</v>
      </c>
      <c r="C124" s="242" t="s">
        <v>750</v>
      </c>
      <c r="D124" s="182">
        <v>9943</v>
      </c>
      <c r="E124" s="182">
        <v>8925000</v>
      </c>
      <c r="F124" s="265"/>
      <c r="G124" s="182">
        <v>3817</v>
      </c>
      <c r="H124" s="182">
        <v>337</v>
      </c>
      <c r="I124" s="182">
        <v>57726032.780000001</v>
      </c>
      <c r="J124" s="182">
        <v>4154</v>
      </c>
      <c r="K124" s="265"/>
      <c r="L124" s="182">
        <v>2117</v>
      </c>
      <c r="M124" s="182">
        <v>1920</v>
      </c>
      <c r="N124" s="182">
        <v>117</v>
      </c>
    </row>
    <row r="125" spans="2:14" s="3" customFormat="1">
      <c r="B125" s="66" t="s">
        <v>274</v>
      </c>
      <c r="C125" s="242" t="s">
        <v>751</v>
      </c>
      <c r="D125" s="182">
        <v>32114</v>
      </c>
      <c r="E125" s="182">
        <v>28973816.41</v>
      </c>
      <c r="F125" s="265"/>
      <c r="G125" s="182">
        <v>13309</v>
      </c>
      <c r="H125" s="182">
        <v>873</v>
      </c>
      <c r="I125" s="182">
        <v>170526487.66999999</v>
      </c>
      <c r="J125" s="182">
        <v>14182</v>
      </c>
      <c r="K125" s="265"/>
      <c r="L125" s="182">
        <v>8611</v>
      </c>
      <c r="M125" s="182">
        <v>5048</v>
      </c>
      <c r="N125" s="182">
        <v>523</v>
      </c>
    </row>
    <row r="126" spans="2:14" s="3" customFormat="1">
      <c r="B126" s="66" t="s">
        <v>276</v>
      </c>
      <c r="C126" s="242" t="s">
        <v>752</v>
      </c>
      <c r="D126" s="182">
        <v>12000</v>
      </c>
      <c r="E126" s="182">
        <v>10756426.5</v>
      </c>
      <c r="F126" s="265"/>
      <c r="G126" s="182">
        <v>4603</v>
      </c>
      <c r="H126" s="182">
        <v>440</v>
      </c>
      <c r="I126" s="182">
        <v>69972626.670000002</v>
      </c>
      <c r="J126" s="182">
        <v>5043</v>
      </c>
      <c r="K126" s="265"/>
      <c r="L126" s="182">
        <v>2694</v>
      </c>
      <c r="M126" s="182">
        <v>2179</v>
      </c>
      <c r="N126" s="182">
        <v>170</v>
      </c>
    </row>
    <row r="127" spans="2:14" s="3" customFormat="1">
      <c r="B127" s="66" t="s">
        <v>279</v>
      </c>
      <c r="C127" s="242" t="s">
        <v>753</v>
      </c>
      <c r="D127" s="182">
        <v>79883</v>
      </c>
      <c r="E127" s="182">
        <v>72112420.599999994</v>
      </c>
      <c r="F127" s="265"/>
      <c r="G127" s="182">
        <v>35397</v>
      </c>
      <c r="H127" s="182">
        <v>3137</v>
      </c>
      <c r="I127" s="182">
        <v>479152281.58999997</v>
      </c>
      <c r="J127" s="182">
        <v>38534</v>
      </c>
      <c r="K127" s="265"/>
      <c r="L127" s="182">
        <v>23319</v>
      </c>
      <c r="M127" s="182">
        <v>13910</v>
      </c>
      <c r="N127" s="182">
        <v>1305</v>
      </c>
    </row>
    <row r="128" spans="2:14" s="3" customFormat="1" ht="24" customHeight="1">
      <c r="B128" s="66" t="s">
        <v>282</v>
      </c>
      <c r="C128" s="242" t="s">
        <v>754</v>
      </c>
      <c r="D128" s="182">
        <v>17153</v>
      </c>
      <c r="E128" s="182">
        <v>15391173.619999999</v>
      </c>
      <c r="F128" s="265"/>
      <c r="G128" s="182">
        <v>6773</v>
      </c>
      <c r="H128" s="182">
        <v>595</v>
      </c>
      <c r="I128" s="182">
        <v>96894700.870000005</v>
      </c>
      <c r="J128" s="182">
        <v>7368</v>
      </c>
      <c r="K128" s="265"/>
      <c r="L128" s="182">
        <v>4037</v>
      </c>
      <c r="M128" s="182">
        <v>3135</v>
      </c>
      <c r="N128" s="182">
        <v>196</v>
      </c>
    </row>
    <row r="129" spans="2:14" s="3" customFormat="1">
      <c r="B129" s="66" t="s">
        <v>284</v>
      </c>
      <c r="C129" s="242" t="s">
        <v>755</v>
      </c>
      <c r="D129" s="182">
        <v>29680</v>
      </c>
      <c r="E129" s="182">
        <v>26768400</v>
      </c>
      <c r="F129" s="265"/>
      <c r="G129" s="182">
        <v>10800</v>
      </c>
      <c r="H129" s="182">
        <v>1628</v>
      </c>
      <c r="I129" s="182">
        <v>174771153.97999999</v>
      </c>
      <c r="J129" s="182">
        <v>12428</v>
      </c>
      <c r="K129" s="265"/>
      <c r="L129" s="182">
        <v>5989</v>
      </c>
      <c r="M129" s="182">
        <v>5982</v>
      </c>
      <c r="N129" s="182">
        <v>457</v>
      </c>
    </row>
    <row r="130" spans="2:14" s="3" customFormat="1">
      <c r="B130" s="66" t="s">
        <v>287</v>
      </c>
      <c r="C130" s="242" t="s">
        <v>756</v>
      </c>
      <c r="D130" s="182">
        <v>12659</v>
      </c>
      <c r="E130" s="182">
        <v>11366318.880000001</v>
      </c>
      <c r="F130" s="265"/>
      <c r="G130" s="182">
        <v>5111</v>
      </c>
      <c r="H130" s="182">
        <v>501</v>
      </c>
      <c r="I130" s="182">
        <v>78875428.579999998</v>
      </c>
      <c r="J130" s="182">
        <v>5612</v>
      </c>
      <c r="K130" s="265"/>
      <c r="L130" s="182">
        <v>3481</v>
      </c>
      <c r="M130" s="182">
        <v>1944</v>
      </c>
      <c r="N130" s="182">
        <v>187</v>
      </c>
    </row>
    <row r="131" spans="2:14" s="3" customFormat="1">
      <c r="B131" s="66" t="s">
        <v>173</v>
      </c>
      <c r="C131" s="242" t="s">
        <v>757</v>
      </c>
      <c r="D131" s="182">
        <v>14522</v>
      </c>
      <c r="E131" s="182">
        <v>12929173.26</v>
      </c>
      <c r="F131" s="265"/>
      <c r="G131" s="182">
        <v>5293</v>
      </c>
      <c r="H131" s="182">
        <v>727</v>
      </c>
      <c r="I131" s="182">
        <v>84412808.599999994</v>
      </c>
      <c r="J131" s="182">
        <v>6020</v>
      </c>
      <c r="K131" s="265"/>
      <c r="L131" s="182">
        <v>3223</v>
      </c>
      <c r="M131" s="182">
        <v>2611</v>
      </c>
      <c r="N131" s="182">
        <v>186</v>
      </c>
    </row>
    <row r="132" spans="2:14" s="3" customFormat="1">
      <c r="B132" s="66" t="s">
        <v>292</v>
      </c>
      <c r="C132" s="242" t="s">
        <v>758</v>
      </c>
      <c r="D132" s="182">
        <v>12961</v>
      </c>
      <c r="E132" s="182">
        <v>11764460.800000001</v>
      </c>
      <c r="F132" s="265"/>
      <c r="G132" s="182">
        <v>5424</v>
      </c>
      <c r="H132" s="182">
        <v>287</v>
      </c>
      <c r="I132" s="182">
        <v>67564649.980000004</v>
      </c>
      <c r="J132" s="182">
        <v>5711</v>
      </c>
      <c r="K132" s="265"/>
      <c r="L132" s="182">
        <v>3601</v>
      </c>
      <c r="M132" s="182">
        <v>1943</v>
      </c>
      <c r="N132" s="182">
        <v>167</v>
      </c>
    </row>
    <row r="133" spans="2:14" s="3" customFormat="1" ht="24" customHeight="1">
      <c r="B133" s="66" t="s">
        <v>294</v>
      </c>
      <c r="C133" s="242" t="s">
        <v>759</v>
      </c>
      <c r="D133" s="182">
        <v>42443</v>
      </c>
      <c r="E133" s="182">
        <v>38343937.25</v>
      </c>
      <c r="F133" s="265"/>
      <c r="G133" s="182">
        <v>16651</v>
      </c>
      <c r="H133" s="182">
        <v>1877</v>
      </c>
      <c r="I133" s="182">
        <v>254837961.66</v>
      </c>
      <c r="J133" s="182">
        <v>18528</v>
      </c>
      <c r="K133" s="265"/>
      <c r="L133" s="182">
        <v>10489</v>
      </c>
      <c r="M133" s="182">
        <v>7422</v>
      </c>
      <c r="N133" s="182">
        <v>617</v>
      </c>
    </row>
    <row r="134" spans="2:14" s="3" customFormat="1">
      <c r="B134" s="66" t="s">
        <v>296</v>
      </c>
      <c r="C134" s="242" t="s">
        <v>760</v>
      </c>
      <c r="D134" s="182">
        <v>23823</v>
      </c>
      <c r="E134" s="182">
        <v>21637620.530000001</v>
      </c>
      <c r="F134" s="265"/>
      <c r="G134" s="182">
        <v>10273</v>
      </c>
      <c r="H134" s="182">
        <v>487</v>
      </c>
      <c r="I134" s="182">
        <v>127928948.48999999</v>
      </c>
      <c r="J134" s="182">
        <v>10760</v>
      </c>
      <c r="K134" s="265"/>
      <c r="L134" s="182">
        <v>6260</v>
      </c>
      <c r="M134" s="182">
        <v>4225</v>
      </c>
      <c r="N134" s="182">
        <v>275</v>
      </c>
    </row>
    <row r="135" spans="2:14" s="3" customFormat="1">
      <c r="B135" s="66" t="s">
        <v>299</v>
      </c>
      <c r="C135" s="242" t="s">
        <v>761</v>
      </c>
      <c r="D135" s="182">
        <v>16190</v>
      </c>
      <c r="E135" s="182">
        <v>14622366.029999999</v>
      </c>
      <c r="F135" s="265"/>
      <c r="G135" s="182">
        <v>6795</v>
      </c>
      <c r="H135" s="182">
        <v>227</v>
      </c>
      <c r="I135" s="182">
        <v>83791186.739999995</v>
      </c>
      <c r="J135" s="182">
        <v>7022</v>
      </c>
      <c r="K135" s="265"/>
      <c r="L135" s="182">
        <v>3743</v>
      </c>
      <c r="M135" s="182">
        <v>3040</v>
      </c>
      <c r="N135" s="182">
        <v>239</v>
      </c>
    </row>
    <row r="136" spans="2:14" s="3" customFormat="1">
      <c r="B136" s="66" t="s">
        <v>301</v>
      </c>
      <c r="C136" s="242" t="s">
        <v>762</v>
      </c>
      <c r="D136" s="182">
        <v>60200</v>
      </c>
      <c r="E136" s="182">
        <v>54595678.509999998</v>
      </c>
      <c r="F136" s="265"/>
      <c r="G136" s="182">
        <v>25210</v>
      </c>
      <c r="H136" s="182">
        <v>1279</v>
      </c>
      <c r="I136" s="182">
        <v>327987155.57999998</v>
      </c>
      <c r="J136" s="182">
        <v>26489</v>
      </c>
      <c r="K136" s="265"/>
      <c r="L136" s="182">
        <v>15249</v>
      </c>
      <c r="M136" s="182">
        <v>10370</v>
      </c>
      <c r="N136" s="182">
        <v>870</v>
      </c>
    </row>
    <row r="137" spans="2:14" s="3" customFormat="1">
      <c r="B137" s="66" t="s">
        <v>174</v>
      </c>
      <c r="C137" s="242" t="s">
        <v>763</v>
      </c>
      <c r="D137" s="182">
        <v>35509</v>
      </c>
      <c r="E137" s="182">
        <v>32161308.550000001</v>
      </c>
      <c r="F137" s="265"/>
      <c r="G137" s="182">
        <v>12816</v>
      </c>
      <c r="H137" s="182">
        <v>1882</v>
      </c>
      <c r="I137" s="182">
        <v>214837720.37</v>
      </c>
      <c r="J137" s="182">
        <v>14698</v>
      </c>
      <c r="K137" s="265"/>
      <c r="L137" s="182">
        <v>7018</v>
      </c>
      <c r="M137" s="182">
        <v>7302</v>
      </c>
      <c r="N137" s="182">
        <v>378</v>
      </c>
    </row>
    <row r="138" spans="2:14" s="3" customFormat="1" ht="24" customHeight="1">
      <c r="B138" s="66" t="s">
        <v>305</v>
      </c>
      <c r="C138" s="242" t="s">
        <v>764</v>
      </c>
      <c r="D138" s="182">
        <v>17349</v>
      </c>
      <c r="E138" s="182">
        <v>15698209.26</v>
      </c>
      <c r="F138" s="265"/>
      <c r="G138" s="182">
        <v>7459</v>
      </c>
      <c r="H138" s="182">
        <v>467</v>
      </c>
      <c r="I138" s="182">
        <v>94793795.549999997</v>
      </c>
      <c r="J138" s="182">
        <v>7926</v>
      </c>
      <c r="K138" s="265"/>
      <c r="L138" s="182">
        <v>5051</v>
      </c>
      <c r="M138" s="182">
        <v>2570</v>
      </c>
      <c r="N138" s="182">
        <v>305</v>
      </c>
    </row>
    <row r="139" spans="2:14" s="3" customFormat="1">
      <c r="B139" s="66" t="s">
        <v>175</v>
      </c>
      <c r="C139" s="242" t="s">
        <v>765</v>
      </c>
      <c r="D139" s="182">
        <v>33442</v>
      </c>
      <c r="E139" s="182">
        <v>30248073.390000001</v>
      </c>
      <c r="F139" s="265"/>
      <c r="G139" s="182">
        <v>13330</v>
      </c>
      <c r="H139" s="182">
        <v>1491</v>
      </c>
      <c r="I139" s="182">
        <v>211732047.72</v>
      </c>
      <c r="J139" s="182">
        <v>14821</v>
      </c>
      <c r="K139" s="265"/>
      <c r="L139" s="182">
        <v>8765</v>
      </c>
      <c r="M139" s="182">
        <v>5450</v>
      </c>
      <c r="N139" s="182">
        <v>606</v>
      </c>
    </row>
    <row r="140" spans="2:14" s="3" customFormat="1">
      <c r="B140" s="66" t="s">
        <v>309</v>
      </c>
      <c r="C140" s="242" t="s">
        <v>766</v>
      </c>
      <c r="D140" s="182">
        <v>506597</v>
      </c>
      <c r="E140" s="182">
        <v>462145012.30000001</v>
      </c>
      <c r="F140" s="265"/>
      <c r="G140" s="182">
        <v>184389</v>
      </c>
      <c r="H140" s="182">
        <v>43827</v>
      </c>
      <c r="I140" s="182">
        <v>3780724863.8200002</v>
      </c>
      <c r="J140" s="182">
        <v>228216</v>
      </c>
      <c r="K140" s="265"/>
      <c r="L140" s="182">
        <v>135342</v>
      </c>
      <c r="M140" s="182">
        <v>84122</v>
      </c>
      <c r="N140" s="182">
        <v>8752</v>
      </c>
    </row>
    <row r="141" spans="2:14" s="3" customFormat="1">
      <c r="B141" s="66" t="s">
        <v>312</v>
      </c>
      <c r="C141" s="242" t="s">
        <v>767</v>
      </c>
      <c r="D141" s="182">
        <v>30447</v>
      </c>
      <c r="E141" s="182">
        <v>27571869.739999998</v>
      </c>
      <c r="F141" s="265"/>
      <c r="G141" s="182">
        <v>13317</v>
      </c>
      <c r="H141" s="182">
        <v>492</v>
      </c>
      <c r="I141" s="182">
        <v>162407863.84999999</v>
      </c>
      <c r="J141" s="182">
        <v>13809</v>
      </c>
      <c r="K141" s="265"/>
      <c r="L141" s="182">
        <v>7920</v>
      </c>
      <c r="M141" s="182">
        <v>5498</v>
      </c>
      <c r="N141" s="182">
        <v>391</v>
      </c>
    </row>
    <row r="142" spans="2:14" s="3" customFormat="1">
      <c r="B142" s="66" t="s">
        <v>315</v>
      </c>
      <c r="C142" s="242" t="s">
        <v>768</v>
      </c>
      <c r="D142" s="182">
        <v>8516</v>
      </c>
      <c r="E142" s="182">
        <v>7645592.6399999997</v>
      </c>
      <c r="F142" s="265"/>
      <c r="G142" s="182">
        <v>3078</v>
      </c>
      <c r="H142" s="182">
        <v>579</v>
      </c>
      <c r="I142" s="182">
        <v>80658759.480000004</v>
      </c>
      <c r="J142" s="182">
        <v>3657</v>
      </c>
      <c r="K142" s="265"/>
      <c r="L142" s="182">
        <v>1946</v>
      </c>
      <c r="M142" s="182">
        <v>1592</v>
      </c>
      <c r="N142" s="182">
        <v>119</v>
      </c>
    </row>
    <row r="143" spans="2:14" s="3" customFormat="1" ht="15.5">
      <c r="B143" s="63" t="str">
        <f>$B$36</f>
        <v>Table 1.6, continued</v>
      </c>
      <c r="C143" s="239"/>
      <c r="D143" s="100"/>
      <c r="E143" s="100"/>
      <c r="F143" s="100"/>
      <c r="G143" s="100"/>
      <c r="H143" s="100"/>
      <c r="I143" s="100"/>
      <c r="J143" s="100"/>
      <c r="K143" s="100"/>
      <c r="L143" s="100"/>
      <c r="M143" s="100"/>
      <c r="N143" s="174"/>
    </row>
    <row r="144" spans="2:14" s="3" customFormat="1">
      <c r="B144" s="64" t="str">
        <f>$B$2</f>
        <v>Exemptions, Standard and Itemized Deductions, and Number of Returns by Filing Status/Locality, Taxable Year 2023</v>
      </c>
      <c r="C144" s="240"/>
      <c r="D144" s="100"/>
      <c r="E144" s="100"/>
      <c r="F144" s="100"/>
      <c r="G144" s="100"/>
      <c r="H144" s="100"/>
      <c r="I144" s="100"/>
      <c r="J144" s="100"/>
      <c r="K144" s="100"/>
      <c r="L144" s="100"/>
      <c r="M144" s="100"/>
      <c r="N144" s="174"/>
    </row>
    <row r="145" spans="2:14" s="3" customFormat="1" ht="3" customHeight="1" thickBot="1">
      <c r="B145" s="64"/>
      <c r="C145" s="240"/>
      <c r="D145" s="100"/>
      <c r="E145" s="100"/>
      <c r="F145" s="100"/>
      <c r="G145" s="100"/>
      <c r="H145" s="100"/>
      <c r="I145" s="100"/>
      <c r="J145" s="100"/>
      <c r="K145" s="100"/>
      <c r="L145" s="100"/>
      <c r="M145" s="100"/>
      <c r="N145" s="174"/>
    </row>
    <row r="146" spans="2:14" s="3" customFormat="1">
      <c r="B146" s="175"/>
      <c r="C146" s="256"/>
      <c r="D146" s="176" t="str">
        <f>D$4</f>
        <v>Exemptions</v>
      </c>
      <c r="E146" s="176"/>
      <c r="F146" s="258"/>
      <c r="G146" s="176" t="str">
        <f>G$4</f>
        <v>Deductions</v>
      </c>
      <c r="H146" s="176"/>
      <c r="I146" s="176"/>
      <c r="J146" s="176"/>
      <c r="K146" s="258"/>
      <c r="L146" s="176" t="str">
        <f>L$4</f>
        <v>Filing Status</v>
      </c>
      <c r="M146" s="176"/>
      <c r="N146" s="176"/>
    </row>
    <row r="147" spans="2:14" s="3" customFormat="1" ht="24" customHeight="1">
      <c r="B147" s="179" t="s">
        <v>43</v>
      </c>
      <c r="C147" s="262" t="str">
        <f>C$5</f>
        <v>FIPS</v>
      </c>
      <c r="D147" s="263" t="str">
        <f>D$5</f>
        <v>Number</v>
      </c>
      <c r="E147" s="263" t="str">
        <f>E$5</f>
        <v>Amount</v>
      </c>
      <c r="F147" s="259"/>
      <c r="G147" s="263" t="str">
        <f>G$5</f>
        <v>Standard</v>
      </c>
      <c r="H147" s="263" t="str">
        <f>H$5</f>
        <v>Itemized</v>
      </c>
      <c r="I147" s="263" t="str">
        <f>I$5</f>
        <v>Amount</v>
      </c>
      <c r="J147" s="263" t="str">
        <f>J$5</f>
        <v>Total 
Returns</v>
      </c>
      <c r="K147" s="259"/>
      <c r="L147" s="263" t="str">
        <f>L$5</f>
        <v>Individual</v>
      </c>
      <c r="M147" s="263" t="str">
        <f>M$5</f>
        <v>Married 
Filing Joint</v>
      </c>
      <c r="N147" s="263" t="str">
        <f>N$5</f>
        <v>Married 
Filing Separately</v>
      </c>
    </row>
    <row r="148" spans="2:14" s="3" customFormat="1" ht="21" customHeight="1">
      <c r="B148" s="66" t="s">
        <v>176</v>
      </c>
      <c r="C148" s="242" t="s">
        <v>769</v>
      </c>
      <c r="D148" s="182">
        <v>14035</v>
      </c>
      <c r="E148" s="182">
        <v>12761263.02</v>
      </c>
      <c r="F148" s="264"/>
      <c r="G148" s="182">
        <v>5264</v>
      </c>
      <c r="H148" s="182">
        <v>889</v>
      </c>
      <c r="I148" s="182">
        <v>120598045.67</v>
      </c>
      <c r="J148" s="182">
        <v>6153</v>
      </c>
      <c r="K148" s="264"/>
      <c r="L148" s="182">
        <v>3467</v>
      </c>
      <c r="M148" s="182">
        <v>2355</v>
      </c>
      <c r="N148" s="182">
        <v>331</v>
      </c>
    </row>
    <row r="149" spans="2:14" s="3" customFormat="1">
      <c r="B149" s="66" t="s">
        <v>319</v>
      </c>
      <c r="C149" s="242" t="s">
        <v>770</v>
      </c>
      <c r="D149" s="182">
        <v>107428</v>
      </c>
      <c r="E149" s="182">
        <v>96968227.439999998</v>
      </c>
      <c r="F149" s="265"/>
      <c r="G149" s="182">
        <v>42857</v>
      </c>
      <c r="H149" s="182">
        <v>3881</v>
      </c>
      <c r="I149" s="182">
        <v>759183648.07000005</v>
      </c>
      <c r="J149" s="182">
        <v>46738</v>
      </c>
      <c r="K149" s="265"/>
      <c r="L149" s="182">
        <v>25905</v>
      </c>
      <c r="M149" s="182">
        <v>19518</v>
      </c>
      <c r="N149" s="182">
        <v>1315</v>
      </c>
    </row>
    <row r="150" spans="2:14" s="3" customFormat="1">
      <c r="B150" s="66" t="s">
        <v>322</v>
      </c>
      <c r="C150" s="242" t="s">
        <v>771</v>
      </c>
      <c r="D150" s="182">
        <v>22729</v>
      </c>
      <c r="E150" s="182">
        <v>20477260.530000001</v>
      </c>
      <c r="F150" s="265"/>
      <c r="G150" s="182">
        <v>9241</v>
      </c>
      <c r="H150" s="182">
        <v>592</v>
      </c>
      <c r="I150" s="182">
        <v>127979108.84999999</v>
      </c>
      <c r="J150" s="182">
        <v>9833</v>
      </c>
      <c r="K150" s="265"/>
      <c r="L150" s="182">
        <v>5368</v>
      </c>
      <c r="M150" s="182">
        <v>4205</v>
      </c>
      <c r="N150" s="182">
        <v>260</v>
      </c>
    </row>
    <row r="151" spans="2:14" s="3" customFormat="1">
      <c r="B151" s="66" t="s">
        <v>324</v>
      </c>
      <c r="C151" s="242" t="s">
        <v>772</v>
      </c>
      <c r="D151" s="182">
        <v>93606</v>
      </c>
      <c r="E151" s="182">
        <v>84834214.859999999</v>
      </c>
      <c r="F151" s="265"/>
      <c r="G151" s="182">
        <v>37177</v>
      </c>
      <c r="H151" s="182">
        <v>2971</v>
      </c>
      <c r="I151" s="182">
        <v>528843960.94999999</v>
      </c>
      <c r="J151" s="182">
        <v>40148</v>
      </c>
      <c r="K151" s="265"/>
      <c r="L151" s="182">
        <v>21904</v>
      </c>
      <c r="M151" s="182">
        <v>17204</v>
      </c>
      <c r="N151" s="182">
        <v>1040</v>
      </c>
    </row>
    <row r="152" spans="2:14" s="3" customFormat="1">
      <c r="B152" s="66" t="s">
        <v>327</v>
      </c>
      <c r="C152" s="242" t="s">
        <v>773</v>
      </c>
      <c r="D152" s="182">
        <v>22009</v>
      </c>
      <c r="E152" s="182">
        <v>20041651.920000002</v>
      </c>
      <c r="F152" s="265"/>
      <c r="G152" s="182">
        <v>9128</v>
      </c>
      <c r="H152" s="182">
        <v>187</v>
      </c>
      <c r="I152" s="182">
        <v>114069202.84</v>
      </c>
      <c r="J152" s="182">
        <v>9315</v>
      </c>
      <c r="K152" s="265"/>
      <c r="L152" s="182">
        <v>4713</v>
      </c>
      <c r="M152" s="182">
        <v>4361</v>
      </c>
      <c r="N152" s="182">
        <v>241</v>
      </c>
    </row>
    <row r="153" spans="2:14" s="3" customFormat="1" ht="24" customHeight="1">
      <c r="B153" s="66" t="s">
        <v>330</v>
      </c>
      <c r="C153" s="242" t="s">
        <v>774</v>
      </c>
      <c r="D153" s="182">
        <v>19501</v>
      </c>
      <c r="E153" s="182">
        <v>17622536.690000001</v>
      </c>
      <c r="F153" s="265"/>
      <c r="G153" s="182">
        <v>8217</v>
      </c>
      <c r="H153" s="182">
        <v>198</v>
      </c>
      <c r="I153" s="182">
        <v>100317009.47</v>
      </c>
      <c r="J153" s="182">
        <v>8415</v>
      </c>
      <c r="K153" s="265"/>
      <c r="L153" s="182">
        <v>4310</v>
      </c>
      <c r="M153" s="182">
        <v>3674</v>
      </c>
      <c r="N153" s="182">
        <v>431</v>
      </c>
    </row>
    <row r="154" spans="2:14" s="3" customFormat="1">
      <c r="B154" s="66" t="s">
        <v>333</v>
      </c>
      <c r="C154" s="242" t="s">
        <v>775</v>
      </c>
      <c r="D154" s="182">
        <v>47801</v>
      </c>
      <c r="E154" s="182">
        <v>43302709.149999999</v>
      </c>
      <c r="F154" s="265"/>
      <c r="G154" s="182">
        <v>19656</v>
      </c>
      <c r="H154" s="182">
        <v>1620</v>
      </c>
      <c r="I154" s="182">
        <v>269658986.56999999</v>
      </c>
      <c r="J154" s="182">
        <v>21276</v>
      </c>
      <c r="K154" s="265"/>
      <c r="L154" s="182">
        <v>12459</v>
      </c>
      <c r="M154" s="182">
        <v>8238</v>
      </c>
      <c r="N154" s="182">
        <v>579</v>
      </c>
    </row>
    <row r="155" spans="2:14" s="3" customFormat="1">
      <c r="B155" s="66" t="s">
        <v>335</v>
      </c>
      <c r="C155" s="242" t="s">
        <v>776</v>
      </c>
      <c r="D155" s="182">
        <v>26713</v>
      </c>
      <c r="E155" s="182">
        <v>24267705.98</v>
      </c>
      <c r="F155" s="265"/>
      <c r="G155" s="182">
        <v>11737</v>
      </c>
      <c r="H155" s="182">
        <v>316</v>
      </c>
      <c r="I155" s="182">
        <v>140050579.31</v>
      </c>
      <c r="J155" s="182">
        <v>12053</v>
      </c>
      <c r="K155" s="265"/>
      <c r="L155" s="182">
        <v>7031</v>
      </c>
      <c r="M155" s="182">
        <v>4672</v>
      </c>
      <c r="N155" s="182">
        <v>350</v>
      </c>
    </row>
    <row r="156" spans="2:14" s="3" customFormat="1">
      <c r="B156" s="66" t="s">
        <v>338</v>
      </c>
      <c r="C156" s="242" t="s">
        <v>777</v>
      </c>
      <c r="D156" s="182">
        <v>17788</v>
      </c>
      <c r="E156" s="182">
        <v>16139095.380000001</v>
      </c>
      <c r="F156" s="265"/>
      <c r="G156" s="182">
        <v>7203</v>
      </c>
      <c r="H156" s="182">
        <v>640</v>
      </c>
      <c r="I156" s="182">
        <v>100946764.25</v>
      </c>
      <c r="J156" s="182">
        <v>7843</v>
      </c>
      <c r="K156" s="265"/>
      <c r="L156" s="182">
        <v>4538</v>
      </c>
      <c r="M156" s="182">
        <v>2978</v>
      </c>
      <c r="N156" s="182">
        <v>327</v>
      </c>
    </row>
    <row r="157" spans="2:14" s="3" customFormat="1">
      <c r="B157" s="66" t="s">
        <v>340</v>
      </c>
      <c r="C157" s="242" t="s">
        <v>778</v>
      </c>
      <c r="D157" s="182">
        <v>154362</v>
      </c>
      <c r="E157" s="182">
        <v>140201998.5</v>
      </c>
      <c r="F157" s="265"/>
      <c r="G157" s="182">
        <v>59038</v>
      </c>
      <c r="H157" s="182">
        <v>9583</v>
      </c>
      <c r="I157" s="182">
        <v>936791692.57000005</v>
      </c>
      <c r="J157" s="182">
        <v>68621</v>
      </c>
      <c r="K157" s="265"/>
      <c r="L157" s="182">
        <v>39828</v>
      </c>
      <c r="M157" s="182">
        <v>26240</v>
      </c>
      <c r="N157" s="182">
        <v>2553</v>
      </c>
    </row>
    <row r="158" spans="2:14" s="3" customFormat="1" ht="24" customHeight="1">
      <c r="B158" s="66" t="s">
        <v>343</v>
      </c>
      <c r="C158" s="242" t="s">
        <v>779</v>
      </c>
      <c r="D158" s="182">
        <v>166408</v>
      </c>
      <c r="E158" s="182">
        <v>151301170.94</v>
      </c>
      <c r="F158" s="265"/>
      <c r="G158" s="182">
        <v>58536</v>
      </c>
      <c r="H158" s="182">
        <v>13280</v>
      </c>
      <c r="I158" s="182">
        <v>1070204589.97</v>
      </c>
      <c r="J158" s="182">
        <v>71816</v>
      </c>
      <c r="K158" s="265"/>
      <c r="L158" s="182">
        <v>39814</v>
      </c>
      <c r="M158" s="182">
        <v>29159</v>
      </c>
      <c r="N158" s="182">
        <v>2843</v>
      </c>
    </row>
    <row r="159" spans="2:14" s="3" customFormat="1">
      <c r="B159" s="66" t="s">
        <v>346</v>
      </c>
      <c r="C159" s="242" t="s">
        <v>780</v>
      </c>
      <c r="D159" s="182">
        <v>7224</v>
      </c>
      <c r="E159" s="182">
        <v>6553266</v>
      </c>
      <c r="F159" s="265"/>
      <c r="G159" s="182">
        <v>2990</v>
      </c>
      <c r="H159" s="182">
        <v>268</v>
      </c>
      <c r="I159" s="182">
        <v>40204368.210000001</v>
      </c>
      <c r="J159" s="182">
        <v>3258</v>
      </c>
      <c r="K159" s="265"/>
      <c r="L159" s="182">
        <v>1886</v>
      </c>
      <c r="M159" s="182">
        <v>1228</v>
      </c>
      <c r="N159" s="182">
        <v>144</v>
      </c>
    </row>
    <row r="160" spans="2:14" s="3" customFormat="1">
      <c r="B160" s="66" t="s">
        <v>349</v>
      </c>
      <c r="C160" s="242" t="s">
        <v>781</v>
      </c>
      <c r="D160" s="182">
        <v>8317</v>
      </c>
      <c r="E160" s="182">
        <v>7546919</v>
      </c>
      <c r="F160" s="265"/>
      <c r="G160" s="182">
        <v>3568</v>
      </c>
      <c r="H160" s="182">
        <v>320</v>
      </c>
      <c r="I160" s="182">
        <v>46346283.460000001</v>
      </c>
      <c r="J160" s="182">
        <v>3888</v>
      </c>
      <c r="K160" s="265"/>
      <c r="L160" s="182">
        <v>2642</v>
      </c>
      <c r="M160" s="182">
        <v>1108</v>
      </c>
      <c r="N160" s="182">
        <v>138</v>
      </c>
    </row>
    <row r="161" spans="2:14" s="3" customFormat="1">
      <c r="B161" s="66" t="s">
        <v>352</v>
      </c>
      <c r="C161" s="242" t="s">
        <v>782</v>
      </c>
      <c r="D161" s="182">
        <v>35571</v>
      </c>
      <c r="E161" s="182">
        <v>32225392.300000001</v>
      </c>
      <c r="F161" s="265"/>
      <c r="G161" s="182">
        <v>14714</v>
      </c>
      <c r="H161" s="182">
        <v>475</v>
      </c>
      <c r="I161" s="182">
        <v>182186737.52000001</v>
      </c>
      <c r="J161" s="182">
        <v>15189</v>
      </c>
      <c r="K161" s="265"/>
      <c r="L161" s="182">
        <v>8094</v>
      </c>
      <c r="M161" s="182">
        <v>6645</v>
      </c>
      <c r="N161" s="182">
        <v>450</v>
      </c>
    </row>
    <row r="162" spans="2:14" s="3" customFormat="1">
      <c r="B162" s="66" t="s">
        <v>354</v>
      </c>
      <c r="C162" s="242" t="s">
        <v>783</v>
      </c>
      <c r="D162" s="182">
        <v>42650</v>
      </c>
      <c r="E162" s="182">
        <v>38703634.810000002</v>
      </c>
      <c r="F162" s="265"/>
      <c r="G162" s="182">
        <v>17452</v>
      </c>
      <c r="H162" s="182">
        <v>1891</v>
      </c>
      <c r="I162" s="182">
        <v>249583300.06</v>
      </c>
      <c r="J162" s="182">
        <v>19343</v>
      </c>
      <c r="K162" s="265"/>
      <c r="L162" s="182">
        <v>11465</v>
      </c>
      <c r="M162" s="182">
        <v>7263</v>
      </c>
      <c r="N162" s="182">
        <v>615</v>
      </c>
    </row>
    <row r="163" spans="2:14" s="3" customFormat="1" ht="24" customHeight="1">
      <c r="B163" s="66" t="s">
        <v>355</v>
      </c>
      <c r="C163" s="242" t="s">
        <v>784</v>
      </c>
      <c r="D163" s="182">
        <v>58242</v>
      </c>
      <c r="E163" s="182">
        <v>52701342.990000002</v>
      </c>
      <c r="F163" s="265"/>
      <c r="G163" s="182">
        <v>24358</v>
      </c>
      <c r="H163" s="182">
        <v>1253</v>
      </c>
      <c r="I163" s="182">
        <v>337930098.45999998</v>
      </c>
      <c r="J163" s="182">
        <v>25611</v>
      </c>
      <c r="K163" s="265"/>
      <c r="L163" s="182">
        <v>13508</v>
      </c>
      <c r="M163" s="182">
        <v>10900</v>
      </c>
      <c r="N163" s="182">
        <v>1203</v>
      </c>
    </row>
    <row r="164" spans="2:14" s="3" customFormat="1">
      <c r="B164" s="66" t="s">
        <v>357</v>
      </c>
      <c r="C164" s="242" t="s">
        <v>785</v>
      </c>
      <c r="D164" s="182">
        <v>19652</v>
      </c>
      <c r="E164" s="182">
        <v>17688044.289999999</v>
      </c>
      <c r="F164" s="265"/>
      <c r="G164" s="182">
        <v>7869</v>
      </c>
      <c r="H164" s="182">
        <v>941</v>
      </c>
      <c r="I164" s="182">
        <v>109952539.52</v>
      </c>
      <c r="J164" s="182">
        <v>8810</v>
      </c>
      <c r="K164" s="265"/>
      <c r="L164" s="182">
        <v>5407</v>
      </c>
      <c r="M164" s="182">
        <v>3112</v>
      </c>
      <c r="N164" s="182">
        <v>291</v>
      </c>
    </row>
    <row r="165" spans="2:14" s="3" customFormat="1">
      <c r="B165" s="66" t="s">
        <v>359</v>
      </c>
      <c r="C165" s="242" t="s">
        <v>786</v>
      </c>
      <c r="D165" s="182">
        <v>29291</v>
      </c>
      <c r="E165" s="182">
        <v>26604994.25</v>
      </c>
      <c r="F165" s="265"/>
      <c r="G165" s="182">
        <v>12369</v>
      </c>
      <c r="H165" s="182">
        <v>276</v>
      </c>
      <c r="I165" s="182">
        <v>148863807.49000001</v>
      </c>
      <c r="J165" s="182">
        <v>12645</v>
      </c>
      <c r="K165" s="265"/>
      <c r="L165" s="182">
        <v>6994</v>
      </c>
      <c r="M165" s="182">
        <v>5213</v>
      </c>
      <c r="N165" s="182">
        <v>438</v>
      </c>
    </row>
    <row r="166" spans="2:14" s="3" customFormat="1">
      <c r="B166" s="66" t="s">
        <v>361</v>
      </c>
      <c r="C166" s="242" t="s">
        <v>787</v>
      </c>
      <c r="D166" s="182">
        <v>27378</v>
      </c>
      <c r="E166" s="182">
        <v>24835764.219999999</v>
      </c>
      <c r="F166" s="265"/>
      <c r="G166" s="182">
        <v>11834</v>
      </c>
      <c r="H166" s="182">
        <v>400</v>
      </c>
      <c r="I166" s="182">
        <v>145480469.53</v>
      </c>
      <c r="J166" s="182">
        <v>12234</v>
      </c>
      <c r="K166" s="265"/>
      <c r="L166" s="182">
        <v>6858</v>
      </c>
      <c r="M166" s="182">
        <v>4981</v>
      </c>
      <c r="N166" s="182">
        <v>395</v>
      </c>
    </row>
    <row r="167" spans="2:14" s="3" customFormat="1">
      <c r="B167" s="66" t="s">
        <v>363</v>
      </c>
      <c r="C167" s="242" t="s">
        <v>788</v>
      </c>
      <c r="D167" s="182">
        <v>72671</v>
      </c>
      <c r="E167" s="182">
        <v>65334024.969999999</v>
      </c>
      <c r="F167" s="265"/>
      <c r="G167" s="182">
        <v>26787</v>
      </c>
      <c r="H167" s="182">
        <v>3717</v>
      </c>
      <c r="I167" s="182">
        <v>448746561.70999998</v>
      </c>
      <c r="J167" s="182">
        <v>30504</v>
      </c>
      <c r="K167" s="265"/>
      <c r="L167" s="182">
        <v>15676</v>
      </c>
      <c r="M167" s="182">
        <v>13731</v>
      </c>
      <c r="N167" s="182">
        <v>1097</v>
      </c>
    </row>
    <row r="168" spans="2:14" s="3" customFormat="1" ht="10" customHeight="1">
      <c r="B168" s="66"/>
      <c r="C168" s="242"/>
      <c r="D168" s="82"/>
      <c r="E168" s="82"/>
      <c r="F168" s="268"/>
      <c r="G168" s="82"/>
      <c r="H168" s="82"/>
      <c r="I168" s="82"/>
      <c r="J168" s="82"/>
      <c r="K168" s="268"/>
      <c r="L168" s="82"/>
      <c r="M168" s="82"/>
      <c r="N168" s="187"/>
    </row>
    <row r="169" spans="2:14" s="3" customFormat="1">
      <c r="B169" s="106" t="s">
        <v>124</v>
      </c>
      <c r="C169" s="243"/>
      <c r="D169" s="183">
        <f t="shared" ref="D169:J169" si="1">SUM(D58:D167)</f>
        <v>6421243</v>
      </c>
      <c r="E169" s="261">
        <f t="shared" si="1"/>
        <v>5816674660.9499998</v>
      </c>
      <c r="F169" s="267"/>
      <c r="G169" s="183">
        <f t="shared" si="1"/>
        <v>2445013</v>
      </c>
      <c r="H169" s="183">
        <f t="shared" si="1"/>
        <v>420048</v>
      </c>
      <c r="I169" s="261">
        <f t="shared" si="1"/>
        <v>46103105070.079994</v>
      </c>
      <c r="J169" s="183">
        <f t="shared" si="1"/>
        <v>2865061</v>
      </c>
      <c r="K169" s="267"/>
      <c r="L169" s="183">
        <f t="shared" ref="L169:N169" si="2">SUM(L58:L167)</f>
        <v>1634208</v>
      </c>
      <c r="M169" s="183">
        <f t="shared" si="2"/>
        <v>1130040</v>
      </c>
      <c r="N169" s="183">
        <f t="shared" si="2"/>
        <v>100813</v>
      </c>
    </row>
    <row r="170" spans="2:14" s="3" customFormat="1" ht="6" customHeight="1">
      <c r="B170" s="66"/>
      <c r="C170" s="242"/>
      <c r="D170" s="82"/>
      <c r="E170" s="82"/>
      <c r="F170" s="268"/>
      <c r="G170" s="82"/>
      <c r="H170" s="82"/>
      <c r="I170" s="82"/>
      <c r="J170" s="82"/>
      <c r="K170" s="268"/>
      <c r="L170" s="82"/>
      <c r="M170" s="82"/>
      <c r="N170" s="82"/>
    </row>
    <row r="171" spans="2:14" s="3" customFormat="1">
      <c r="B171" s="106" t="s">
        <v>152</v>
      </c>
      <c r="C171" s="243"/>
      <c r="D171" s="183">
        <f>D50</f>
        <v>2370968</v>
      </c>
      <c r="E171" s="261">
        <f t="shared" ref="E171:J171" si="3">E50</f>
        <v>2146520925.2199996</v>
      </c>
      <c r="F171" s="267"/>
      <c r="G171" s="183">
        <f t="shared" si="3"/>
        <v>1028569</v>
      </c>
      <c r="H171" s="183">
        <f t="shared" si="3"/>
        <v>132849</v>
      </c>
      <c r="I171" s="261">
        <f t="shared" si="3"/>
        <v>20448140985.049999</v>
      </c>
      <c r="J171" s="183">
        <f t="shared" si="3"/>
        <v>1161418</v>
      </c>
      <c r="K171" s="267"/>
      <c r="L171" s="183">
        <f t="shared" ref="L171:N171" si="4">L50</f>
        <v>777099</v>
      </c>
      <c r="M171" s="183">
        <f t="shared" si="4"/>
        <v>336326</v>
      </c>
      <c r="N171" s="183">
        <f t="shared" si="4"/>
        <v>47993</v>
      </c>
    </row>
    <row r="172" spans="2:14" s="3" customFormat="1" ht="6" customHeight="1">
      <c r="B172" s="66"/>
      <c r="C172" s="242"/>
      <c r="D172" s="82"/>
      <c r="E172" s="82"/>
      <c r="F172" s="268"/>
      <c r="G172" s="82"/>
      <c r="H172" s="82"/>
      <c r="I172" s="82"/>
      <c r="J172" s="82"/>
      <c r="K172" s="268"/>
      <c r="L172" s="82"/>
      <c r="M172" s="82"/>
      <c r="N172" s="82"/>
    </row>
    <row r="173" spans="2:14" s="3" customFormat="1">
      <c r="B173" s="106" t="s">
        <v>646</v>
      </c>
      <c r="C173" s="243" t="s">
        <v>789</v>
      </c>
      <c r="D173" s="183">
        <v>354684</v>
      </c>
      <c r="E173" s="261">
        <v>260635387.63999999</v>
      </c>
      <c r="F173" s="267"/>
      <c r="G173" s="183">
        <v>130090</v>
      </c>
      <c r="H173" s="183">
        <v>45417</v>
      </c>
      <c r="I173" s="261">
        <v>17297789588.48</v>
      </c>
      <c r="J173" s="183">
        <v>175507</v>
      </c>
      <c r="K173" s="267"/>
      <c r="L173" s="183">
        <v>91516</v>
      </c>
      <c r="M173" s="183">
        <v>55759</v>
      </c>
      <c r="N173" s="183">
        <v>28232</v>
      </c>
    </row>
    <row r="174" spans="2:14" s="3" customFormat="1" ht="6" customHeight="1">
      <c r="B174" s="66"/>
      <c r="C174" s="242"/>
      <c r="D174" s="82"/>
      <c r="E174" s="82"/>
      <c r="F174" s="268"/>
      <c r="G174" s="82"/>
      <c r="H174" s="82"/>
      <c r="I174" s="82"/>
      <c r="J174" s="82"/>
      <c r="K174" s="268"/>
      <c r="L174" s="82"/>
      <c r="M174" s="82"/>
      <c r="N174" s="82"/>
    </row>
    <row r="175" spans="2:14" s="3" customFormat="1">
      <c r="B175" s="106" t="s">
        <v>153</v>
      </c>
      <c r="C175" s="243"/>
      <c r="D175" s="183">
        <f>D169+D171+D173</f>
        <v>9146895</v>
      </c>
      <c r="E175" s="261">
        <f>E169+E171+E173</f>
        <v>8223830973.8099995</v>
      </c>
      <c r="F175" s="267"/>
      <c r="G175" s="183">
        <f>G169+G171+G173</f>
        <v>3603672</v>
      </c>
      <c r="H175" s="183">
        <f t="shared" ref="H175:J175" si="5">H169+H171+H173</f>
        <v>598314</v>
      </c>
      <c r="I175" s="261">
        <f t="shared" si="5"/>
        <v>83849035643.609985</v>
      </c>
      <c r="J175" s="183">
        <f t="shared" si="5"/>
        <v>4201986</v>
      </c>
      <c r="K175" s="267"/>
      <c r="L175" s="183">
        <f t="shared" ref="L175:N175" si="6">L169+L171+L173</f>
        <v>2502823</v>
      </c>
      <c r="M175" s="183">
        <f t="shared" si="6"/>
        <v>1522125</v>
      </c>
      <c r="N175" s="183">
        <f t="shared" si="6"/>
        <v>177038</v>
      </c>
    </row>
    <row r="176" spans="2:14" s="3" customFormat="1" ht="6" customHeight="1">
      <c r="B176" s="66"/>
      <c r="C176" s="242"/>
      <c r="D176" s="82"/>
      <c r="E176" s="82"/>
      <c r="F176" s="82"/>
      <c r="G176" s="82"/>
      <c r="H176" s="82"/>
      <c r="I176" s="82"/>
      <c r="J176" s="82"/>
      <c r="K176" s="82"/>
      <c r="L176" s="82"/>
      <c r="M176" s="82"/>
      <c r="N176" s="187"/>
    </row>
    <row r="177" spans="2:14" s="3" customFormat="1" ht="12">
      <c r="B177" s="65" t="s">
        <v>24</v>
      </c>
      <c r="C177" s="244"/>
      <c r="D177" s="108"/>
      <c r="E177" s="108"/>
      <c r="F177" s="108"/>
      <c r="G177" s="108"/>
      <c r="H177" s="108"/>
      <c r="I177" s="108"/>
      <c r="J177" s="108"/>
      <c r="K177" s="108"/>
      <c r="L177" s="108"/>
      <c r="M177" s="108"/>
      <c r="N177" s="188"/>
    </row>
    <row r="178" spans="2:14" s="3" customFormat="1" ht="12">
      <c r="B178" s="65" t="s">
        <v>649</v>
      </c>
      <c r="C178" s="244"/>
      <c r="D178" s="108"/>
      <c r="E178" s="108"/>
      <c r="F178" s="108"/>
      <c r="G178" s="108"/>
      <c r="H178" s="108"/>
      <c r="I178" s="108"/>
      <c r="J178" s="108"/>
      <c r="K178" s="108"/>
      <c r="L178" s="108"/>
      <c r="M178" s="108"/>
      <c r="N178" s="188"/>
    </row>
    <row r="179" spans="2:14" s="3" customFormat="1" ht="12">
      <c r="B179" s="65"/>
      <c r="C179" s="244"/>
      <c r="D179" s="108"/>
      <c r="E179" s="108"/>
      <c r="F179" s="108"/>
      <c r="G179" s="108"/>
      <c r="H179" s="108"/>
      <c r="I179" s="108"/>
      <c r="J179" s="108"/>
      <c r="K179" s="108"/>
      <c r="L179" s="108"/>
      <c r="M179" s="108"/>
      <c r="N179" s="188"/>
    </row>
    <row r="181" spans="2:14">
      <c r="B181" s="7" t="s">
        <v>650</v>
      </c>
    </row>
    <row r="182" spans="2:14">
      <c r="B182" s="7"/>
    </row>
  </sheetData>
  <hyperlinks>
    <hyperlink ref="A1" location="TOC!A1" display="Back" xr:uid="{CFADE2A2-9C2E-4E38-A16B-805409608914}"/>
  </hyperlinks>
  <pageMargins left="0.5" right="0.5" top="0.4" bottom="0.8" header="0.25" footer="0.35"/>
  <pageSetup fitToHeight="5" orientation="landscape" cellComments="asDisplayed" r:id="rId1"/>
  <headerFooter scaleWithDoc="0">
    <oddHeader>&amp;R&amp;P</oddHeader>
    <oddFooter>&amp;R&amp;G&amp;L© 2025 Virginia Department of Taxation, All Rights Reserved</oddFooter>
  </headerFooter>
  <rowBreaks count="4" manualBreakCount="4">
    <brk id="35" min="1" max="8" man="1"/>
    <brk id="72" min="1" max="13" man="1"/>
    <brk id="107" min="1" max="8" man="1"/>
    <brk id="142" min="1" max="8"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F120B-8EA7-4EEF-8472-6173D81E7391}">
  <sheetPr codeName="Sheet16"/>
  <dimension ref="A1:K177"/>
  <sheetViews>
    <sheetView zoomScaleNormal="100" workbookViewId="0"/>
  </sheetViews>
  <sheetFormatPr defaultRowHeight="13"/>
  <cols>
    <col min="1" max="1" width="4.19921875" customWidth="1"/>
    <col min="2" max="2" width="15.69921875" customWidth="1"/>
    <col min="3" max="3" width="0.19921875" style="252" customWidth="1"/>
    <col min="4" max="4" width="17.69921875" style="4" customWidth="1"/>
    <col min="5" max="7" width="18.69921875" style="4" customWidth="1"/>
    <col min="8" max="8" width="19.69921875" style="4" customWidth="1"/>
    <col min="9" max="9" width="18.69921875" style="4" customWidth="1"/>
    <col min="10" max="10" width="1.69921875" customWidth="1"/>
    <col min="11" max="11" width="5.19921875" customWidth="1"/>
  </cols>
  <sheetData>
    <row r="1" spans="1:11" ht="15.5">
      <c r="A1" s="813" t="s">
        <v>42</v>
      </c>
      <c r="B1" s="63" t="s">
        <v>645</v>
      </c>
      <c r="C1" s="246"/>
      <c r="D1" s="100"/>
      <c r="E1" s="100"/>
      <c r="F1" s="100"/>
      <c r="G1" s="100"/>
      <c r="H1" s="100"/>
      <c r="I1" s="100"/>
      <c r="K1" s="8"/>
    </row>
    <row r="2" spans="1:11">
      <c r="B2" s="64" t="s">
        <v>1231</v>
      </c>
      <c r="C2" s="247"/>
      <c r="D2" s="100"/>
      <c r="E2" s="100"/>
      <c r="F2" s="100"/>
      <c r="G2" s="100"/>
      <c r="H2" s="100"/>
      <c r="I2" s="100"/>
    </row>
    <row r="3" spans="1:11" ht="3" customHeight="1" thickBot="1">
      <c r="B3" s="101"/>
      <c r="C3" s="248"/>
      <c r="D3" s="102"/>
      <c r="E3" s="102"/>
      <c r="F3" s="102"/>
      <c r="G3" s="103"/>
      <c r="H3" s="103"/>
      <c r="I3" s="103"/>
    </row>
    <row r="4" spans="1:11" ht="26">
      <c r="B4" s="104" t="s">
        <v>125</v>
      </c>
      <c r="C4" s="241" t="s">
        <v>252</v>
      </c>
      <c r="D4" s="253" t="s">
        <v>681</v>
      </c>
      <c r="E4" s="254" t="s">
        <v>682</v>
      </c>
      <c r="F4" s="254" t="s">
        <v>683</v>
      </c>
      <c r="G4" s="254" t="s">
        <v>684</v>
      </c>
      <c r="H4" s="254" t="s">
        <v>685</v>
      </c>
      <c r="I4" s="255" t="s">
        <v>790</v>
      </c>
    </row>
    <row r="5" spans="1:11" ht="21" customHeight="1">
      <c r="B5" s="66" t="s">
        <v>255</v>
      </c>
      <c r="C5" s="249" t="s">
        <v>651</v>
      </c>
      <c r="D5" s="81">
        <v>10521450678.129999</v>
      </c>
      <c r="E5" s="81">
        <v>231642859.24000001</v>
      </c>
      <c r="F5" s="81">
        <v>151380068.99000001</v>
      </c>
      <c r="G5" s="81">
        <v>845675758.57000005</v>
      </c>
      <c r="H5" s="81">
        <v>9292751991.3299999</v>
      </c>
      <c r="I5" s="81">
        <v>581898993.92999995</v>
      </c>
    </row>
    <row r="6" spans="1:11">
      <c r="B6" s="66" t="s">
        <v>258</v>
      </c>
      <c r="C6" s="249" t="s">
        <v>652</v>
      </c>
      <c r="D6" s="82">
        <v>353430707.73000002</v>
      </c>
      <c r="E6" s="82">
        <v>25493863.710000001</v>
      </c>
      <c r="F6" s="82">
        <v>15887290.789999999</v>
      </c>
      <c r="G6" s="82">
        <v>79100724.590000004</v>
      </c>
      <c r="H6" s="82">
        <v>232948828.63999999</v>
      </c>
      <c r="I6" s="82">
        <v>18064664.859999999</v>
      </c>
    </row>
    <row r="7" spans="1:11">
      <c r="B7" s="66" t="s">
        <v>261</v>
      </c>
      <c r="C7" s="249" t="s">
        <v>653</v>
      </c>
      <c r="D7" s="82">
        <v>92014595.159999996</v>
      </c>
      <c r="E7" s="82">
        <v>6147273.4400000004</v>
      </c>
      <c r="F7" s="82">
        <v>3969931</v>
      </c>
      <c r="G7" s="82">
        <v>20681907.800000001</v>
      </c>
      <c r="H7" s="82">
        <v>61215482.920000002</v>
      </c>
      <c r="I7" s="82">
        <v>4678439.2</v>
      </c>
    </row>
    <row r="8" spans="1:11">
      <c r="B8" s="66" t="s">
        <v>264</v>
      </c>
      <c r="C8" s="249" t="s">
        <v>654</v>
      </c>
      <c r="D8" s="82">
        <v>1854702191.49</v>
      </c>
      <c r="E8" s="82">
        <v>51520653.119999997</v>
      </c>
      <c r="F8" s="82">
        <v>33341429.609999999</v>
      </c>
      <c r="G8" s="82">
        <v>179210743.34</v>
      </c>
      <c r="H8" s="82">
        <v>1590629365.4200001</v>
      </c>
      <c r="I8" s="82">
        <v>101553657.37</v>
      </c>
    </row>
    <row r="9" spans="1:11">
      <c r="B9" s="66" t="s">
        <v>181</v>
      </c>
      <c r="C9" s="249" t="s">
        <v>655</v>
      </c>
      <c r="D9" s="82">
        <v>6912822605.8699999</v>
      </c>
      <c r="E9" s="82">
        <v>270123239.56999999</v>
      </c>
      <c r="F9" s="82">
        <v>176031701.03999999</v>
      </c>
      <c r="G9" s="82">
        <v>956018790.72000003</v>
      </c>
      <c r="H9" s="82">
        <v>5510648874.54</v>
      </c>
      <c r="I9" s="82">
        <v>369504114.80000001</v>
      </c>
    </row>
    <row r="10" spans="1:11" ht="24" customHeight="1">
      <c r="B10" s="66" t="s">
        <v>269</v>
      </c>
      <c r="C10" s="249" t="s">
        <v>656</v>
      </c>
      <c r="D10" s="82">
        <v>369997310.97000003</v>
      </c>
      <c r="E10" s="82">
        <v>20536048</v>
      </c>
      <c r="F10" s="82">
        <v>13380681.199999999</v>
      </c>
      <c r="G10" s="82">
        <v>71457849.219999999</v>
      </c>
      <c r="H10" s="82">
        <v>264622732.55000001</v>
      </c>
      <c r="I10" s="82">
        <v>19255823.59</v>
      </c>
    </row>
    <row r="11" spans="1:11">
      <c r="B11" s="66" t="s">
        <v>272</v>
      </c>
      <c r="C11" s="249" t="s">
        <v>657</v>
      </c>
      <c r="D11" s="82">
        <v>91970957.799999997</v>
      </c>
      <c r="E11" s="82">
        <v>6092894</v>
      </c>
      <c r="F11" s="82">
        <v>3917611</v>
      </c>
      <c r="G11" s="82">
        <v>20254548.399999999</v>
      </c>
      <c r="H11" s="82">
        <v>61705904.399999999</v>
      </c>
      <c r="I11" s="82">
        <v>4706603.6100000003</v>
      </c>
    </row>
    <row r="12" spans="1:11">
      <c r="B12" s="66" t="s">
        <v>275</v>
      </c>
      <c r="C12" s="249" t="s">
        <v>658</v>
      </c>
      <c r="D12" s="82">
        <v>714443080.72000003</v>
      </c>
      <c r="E12" s="82">
        <v>43631781.369999997</v>
      </c>
      <c r="F12" s="82">
        <v>27563362</v>
      </c>
      <c r="G12" s="82">
        <v>136691705.13</v>
      </c>
      <c r="H12" s="82">
        <v>506556232.22000003</v>
      </c>
      <c r="I12" s="82">
        <v>37233450.049999997</v>
      </c>
    </row>
    <row r="13" spans="1:11">
      <c r="B13" s="66" t="s">
        <v>277</v>
      </c>
      <c r="C13" s="249" t="s">
        <v>659</v>
      </c>
      <c r="D13" s="82">
        <v>66344802.789999999</v>
      </c>
      <c r="E13" s="82">
        <v>5257260.97</v>
      </c>
      <c r="F13" s="82">
        <v>3337243</v>
      </c>
      <c r="G13" s="82">
        <v>16371198.68</v>
      </c>
      <c r="H13" s="82">
        <v>41379100.140000001</v>
      </c>
      <c r="I13" s="82">
        <v>3367365.41</v>
      </c>
    </row>
    <row r="14" spans="1:11">
      <c r="B14" s="66" t="s">
        <v>280</v>
      </c>
      <c r="C14" s="249" t="s">
        <v>660</v>
      </c>
      <c r="D14" s="82">
        <v>1583806249.98</v>
      </c>
      <c r="E14" s="82">
        <v>40260854.289999999</v>
      </c>
      <c r="F14" s="82">
        <v>26073671.620000001</v>
      </c>
      <c r="G14" s="82">
        <v>142095067.93000001</v>
      </c>
      <c r="H14" s="82">
        <v>1375376656.1400001</v>
      </c>
      <c r="I14" s="82">
        <v>86901565.920000002</v>
      </c>
    </row>
    <row r="15" spans="1:11" ht="24" customHeight="1">
      <c r="B15" s="66" t="s">
        <v>133</v>
      </c>
      <c r="C15" s="249" t="s">
        <v>661</v>
      </c>
      <c r="D15" s="82">
        <v>1492119127.3399999</v>
      </c>
      <c r="E15" s="82">
        <v>22746772.09</v>
      </c>
      <c r="F15" s="82">
        <v>14871413.32</v>
      </c>
      <c r="G15" s="82">
        <v>83445610.540000007</v>
      </c>
      <c r="H15" s="82">
        <v>1371055331.3900001</v>
      </c>
      <c r="I15" s="82">
        <v>83321715.489999995</v>
      </c>
    </row>
    <row r="16" spans="1:11">
      <c r="B16" s="66" t="s">
        <v>285</v>
      </c>
      <c r="C16" s="249" t="s">
        <v>662</v>
      </c>
      <c r="D16" s="82">
        <v>134118854.19</v>
      </c>
      <c r="E16" s="82">
        <v>8063578.4199999999</v>
      </c>
      <c r="F16" s="82">
        <v>5152275.28</v>
      </c>
      <c r="G16" s="82">
        <v>26254967.75</v>
      </c>
      <c r="H16" s="82">
        <v>94648032.739999995</v>
      </c>
      <c r="I16" s="82">
        <v>6976055.3499999996</v>
      </c>
    </row>
    <row r="17" spans="2:9">
      <c r="B17" s="66" t="s">
        <v>288</v>
      </c>
      <c r="C17" s="249" t="s">
        <v>663</v>
      </c>
      <c r="D17" s="82">
        <v>1021488465.62</v>
      </c>
      <c r="E17" s="82">
        <v>36087408.100000001</v>
      </c>
      <c r="F17" s="82">
        <v>23474648.800000001</v>
      </c>
      <c r="G17" s="82">
        <v>126613915.64</v>
      </c>
      <c r="H17" s="82">
        <v>835312493.08000004</v>
      </c>
      <c r="I17" s="82">
        <v>55229840.18</v>
      </c>
    </row>
    <row r="18" spans="2:9">
      <c r="B18" s="66" t="s">
        <v>290</v>
      </c>
      <c r="C18" s="249" t="s">
        <v>664</v>
      </c>
      <c r="D18" s="82">
        <v>111637367.28</v>
      </c>
      <c r="E18" s="82">
        <v>7174150.1500000004</v>
      </c>
      <c r="F18" s="82">
        <v>4603571</v>
      </c>
      <c r="G18" s="82">
        <v>23668155.989999998</v>
      </c>
      <c r="H18" s="82">
        <v>76191490.140000001</v>
      </c>
      <c r="I18" s="82">
        <v>5723451.1399999997</v>
      </c>
    </row>
    <row r="19" spans="2:9">
      <c r="B19" s="66" t="s">
        <v>136</v>
      </c>
      <c r="C19" s="249" t="s">
        <v>665</v>
      </c>
      <c r="D19" s="82">
        <v>2384425925.5599999</v>
      </c>
      <c r="E19" s="82">
        <v>135554546.13</v>
      </c>
      <c r="F19" s="82">
        <v>87909184.599999994</v>
      </c>
      <c r="G19" s="82">
        <v>464210251.06999999</v>
      </c>
      <c r="H19" s="82">
        <v>1696751943.76</v>
      </c>
      <c r="I19" s="82">
        <v>124255245.79000001</v>
      </c>
    </row>
    <row r="20" spans="2:9" s="3" customFormat="1" ht="24" customHeight="1">
      <c r="B20" s="66" t="s">
        <v>182</v>
      </c>
      <c r="C20" s="249" t="s">
        <v>666</v>
      </c>
      <c r="D20" s="82">
        <v>783202628.64999998</v>
      </c>
      <c r="E20" s="82">
        <v>44547930</v>
      </c>
      <c r="F20" s="82">
        <v>28908748.129999999</v>
      </c>
      <c r="G20" s="82">
        <v>152075600.56999999</v>
      </c>
      <c r="H20" s="82">
        <v>557670349.95000005</v>
      </c>
      <c r="I20" s="82">
        <v>40722930.719999999</v>
      </c>
    </row>
    <row r="21" spans="2:9" s="3" customFormat="1">
      <c r="B21" s="66" t="s">
        <v>297</v>
      </c>
      <c r="C21" s="249" t="s">
        <v>667</v>
      </c>
      <c r="D21" s="82">
        <v>311746683.05000001</v>
      </c>
      <c r="E21" s="82">
        <v>22622197.879999999</v>
      </c>
      <c r="F21" s="82">
        <v>14621126</v>
      </c>
      <c r="G21" s="82">
        <v>75563340.939999998</v>
      </c>
      <c r="H21" s="82">
        <v>198940018.22999999</v>
      </c>
      <c r="I21" s="82">
        <v>15889266.789999999</v>
      </c>
    </row>
    <row r="22" spans="2:9" s="3" customFormat="1">
      <c r="B22" s="66" t="s">
        <v>300</v>
      </c>
      <c r="C22" s="249" t="s">
        <v>668</v>
      </c>
      <c r="D22" s="82">
        <v>173810476.41</v>
      </c>
      <c r="E22" s="82">
        <v>6170635</v>
      </c>
      <c r="F22" s="82">
        <v>3972792</v>
      </c>
      <c r="G22" s="82">
        <v>21528581.789999999</v>
      </c>
      <c r="H22" s="82">
        <v>142138467.62</v>
      </c>
      <c r="I22" s="82">
        <v>9344138.9000000004</v>
      </c>
    </row>
    <row r="23" spans="2:9" s="3" customFormat="1">
      <c r="B23" s="66" t="s">
        <v>302</v>
      </c>
      <c r="C23" s="249" t="s">
        <v>669</v>
      </c>
      <c r="D23" s="82">
        <v>1603159191.05</v>
      </c>
      <c r="E23" s="82">
        <v>76445252.159999996</v>
      </c>
      <c r="F23" s="82">
        <v>49372787.020000003</v>
      </c>
      <c r="G23" s="82">
        <v>260002908.16999999</v>
      </c>
      <c r="H23" s="82">
        <v>1217338243.7</v>
      </c>
      <c r="I23" s="82">
        <v>84656957</v>
      </c>
    </row>
    <row r="24" spans="2:9" s="3" customFormat="1">
      <c r="B24" s="66" t="s">
        <v>183</v>
      </c>
      <c r="C24" s="249" t="s">
        <v>670</v>
      </c>
      <c r="D24" s="82">
        <v>1216174820.4300001</v>
      </c>
      <c r="E24" s="82">
        <v>54443414.549999997</v>
      </c>
      <c r="F24" s="82">
        <v>35562431</v>
      </c>
      <c r="G24" s="82">
        <v>192335096</v>
      </c>
      <c r="H24" s="82">
        <v>933833878.88</v>
      </c>
      <c r="I24" s="82">
        <v>64568497.189999998</v>
      </c>
    </row>
    <row r="25" spans="2:9" s="3" customFormat="1" ht="24" customHeight="1">
      <c r="B25" s="66" t="s">
        <v>306</v>
      </c>
      <c r="C25" s="249" t="s">
        <v>671</v>
      </c>
      <c r="D25" s="82">
        <v>485085876.11000001</v>
      </c>
      <c r="E25" s="82">
        <v>23232343</v>
      </c>
      <c r="F25" s="82">
        <v>15178909.800000001</v>
      </c>
      <c r="G25" s="82">
        <v>81881741.010000005</v>
      </c>
      <c r="H25" s="82">
        <v>364792882.30000001</v>
      </c>
      <c r="I25" s="82">
        <v>25622765.460000001</v>
      </c>
    </row>
    <row r="26" spans="2:9" s="3" customFormat="1">
      <c r="B26" s="66" t="s">
        <v>185</v>
      </c>
      <c r="C26" s="249" t="s">
        <v>672</v>
      </c>
      <c r="D26" s="82">
        <v>220666605.55000001</v>
      </c>
      <c r="E26" s="82">
        <v>13592951</v>
      </c>
      <c r="F26" s="82">
        <v>8728959</v>
      </c>
      <c r="G26" s="82">
        <v>44382954.799999997</v>
      </c>
      <c r="H26" s="82">
        <v>153961740.75</v>
      </c>
      <c r="I26" s="82">
        <v>11461281.33</v>
      </c>
    </row>
    <row r="27" spans="2:9" s="3" customFormat="1">
      <c r="B27" s="66" t="s">
        <v>310</v>
      </c>
      <c r="C27" s="249" t="s">
        <v>673</v>
      </c>
      <c r="D27" s="82">
        <v>3382782446.9000001</v>
      </c>
      <c r="E27" s="82">
        <v>184762640.71000001</v>
      </c>
      <c r="F27" s="82">
        <v>119795083.42</v>
      </c>
      <c r="G27" s="82">
        <v>630547719.80999994</v>
      </c>
      <c r="H27" s="82">
        <v>2447677002.96</v>
      </c>
      <c r="I27" s="82">
        <v>177005928.81999999</v>
      </c>
    </row>
    <row r="28" spans="2:9" s="3" customFormat="1">
      <c r="B28" s="66" t="s">
        <v>313</v>
      </c>
      <c r="C28" s="249" t="s">
        <v>674</v>
      </c>
      <c r="D28" s="82">
        <v>4521861854.7200003</v>
      </c>
      <c r="E28" s="82">
        <v>214211257.90000001</v>
      </c>
      <c r="F28" s="82">
        <v>138307949.00999999</v>
      </c>
      <c r="G28" s="82">
        <v>721963485.87</v>
      </c>
      <c r="H28" s="82">
        <v>3447379161.9400001</v>
      </c>
      <c r="I28" s="82">
        <v>240103894.47999999</v>
      </c>
    </row>
    <row r="29" spans="2:9" s="3" customFormat="1">
      <c r="B29" s="66" t="s">
        <v>316</v>
      </c>
      <c r="C29" s="249" t="s">
        <v>675</v>
      </c>
      <c r="D29" s="82">
        <v>63097285.640000001</v>
      </c>
      <c r="E29" s="82">
        <v>4126722.26</v>
      </c>
      <c r="F29" s="82">
        <v>2663793</v>
      </c>
      <c r="G29" s="82">
        <v>13640296</v>
      </c>
      <c r="H29" s="82">
        <v>42666474.380000003</v>
      </c>
      <c r="I29" s="82">
        <v>3227505.34</v>
      </c>
    </row>
    <row r="30" spans="2:9" s="3" customFormat="1" ht="24" customHeight="1">
      <c r="B30" s="66" t="s">
        <v>143</v>
      </c>
      <c r="C30" s="249" t="s">
        <v>676</v>
      </c>
      <c r="D30" s="82">
        <v>386264393.76999998</v>
      </c>
      <c r="E30" s="82">
        <v>31142166</v>
      </c>
      <c r="F30" s="82">
        <v>19934446.199999999</v>
      </c>
      <c r="G30" s="82">
        <v>99168827.829999998</v>
      </c>
      <c r="H30" s="82">
        <v>236018953.74000001</v>
      </c>
      <c r="I30" s="82">
        <v>19578648.77</v>
      </c>
    </row>
    <row r="31" spans="2:9" s="3" customFormat="1">
      <c r="B31" s="66" t="s">
        <v>320</v>
      </c>
      <c r="C31" s="249" t="s">
        <v>677</v>
      </c>
      <c r="D31" s="82">
        <v>489162894.25999999</v>
      </c>
      <c r="E31" s="82">
        <v>14056180</v>
      </c>
      <c r="F31" s="82">
        <v>9241460</v>
      </c>
      <c r="G31" s="82">
        <v>51348909.210000001</v>
      </c>
      <c r="H31" s="82">
        <v>414516345.05000001</v>
      </c>
      <c r="I31" s="82">
        <v>26519211.800000001</v>
      </c>
    </row>
    <row r="32" spans="2:9" s="3" customFormat="1">
      <c r="B32" s="66" t="s">
        <v>144</v>
      </c>
      <c r="C32" s="249" t="s">
        <v>678</v>
      </c>
      <c r="D32" s="82">
        <v>1545848385.5699999</v>
      </c>
      <c r="E32" s="82">
        <v>95690257.170000002</v>
      </c>
      <c r="F32" s="82">
        <v>61957777</v>
      </c>
      <c r="G32" s="82">
        <v>325218918.11000001</v>
      </c>
      <c r="H32" s="82">
        <v>1062981433.29</v>
      </c>
      <c r="I32" s="82">
        <v>80077945.150000006</v>
      </c>
    </row>
    <row r="33" spans="2:9" s="3" customFormat="1">
      <c r="B33" s="66" t="s">
        <v>325</v>
      </c>
      <c r="C33" s="249" t="s">
        <v>679</v>
      </c>
      <c r="D33" s="82">
        <v>275023125.82999998</v>
      </c>
      <c r="E33" s="82">
        <v>14206335</v>
      </c>
      <c r="F33" s="82">
        <v>9229892</v>
      </c>
      <c r="G33" s="82">
        <v>49099966.009999998</v>
      </c>
      <c r="H33" s="82">
        <v>202486932.81999999</v>
      </c>
      <c r="I33" s="82">
        <v>14387053.029999999</v>
      </c>
    </row>
    <row r="34" spans="2:9" s="3" customFormat="1">
      <c r="B34" s="66" t="s">
        <v>328</v>
      </c>
      <c r="C34" s="249" t="s">
        <v>680</v>
      </c>
      <c r="D34" s="82">
        <v>8292193265.3900003</v>
      </c>
      <c r="E34" s="82">
        <v>261467072.46000001</v>
      </c>
      <c r="F34" s="82">
        <v>169611555.87</v>
      </c>
      <c r="G34" s="82">
        <v>908292122.36000001</v>
      </c>
      <c r="H34" s="82">
        <v>6952822514.6999998</v>
      </c>
      <c r="I34" s="82">
        <v>452203994.42000002</v>
      </c>
    </row>
    <row r="35" spans="2:9" s="3" customFormat="1" ht="15.5">
      <c r="B35" s="63" t="str">
        <f>B1&amp;", continued"</f>
        <v>Table 1.7, continued</v>
      </c>
      <c r="C35" s="246"/>
      <c r="D35" s="100"/>
      <c r="E35" s="100"/>
      <c r="F35" s="100"/>
      <c r="G35" s="100"/>
      <c r="H35" s="100"/>
      <c r="I35" s="100"/>
    </row>
    <row r="36" spans="2:9" s="3" customFormat="1">
      <c r="B36" s="64" t="str">
        <f>$B$2</f>
        <v>Total Net Taxable Income, Amount Taxed at Each Tax Rate, Total Income Tax Liability by Locality, Taxable Year 2023</v>
      </c>
      <c r="C36" s="247"/>
      <c r="D36" s="100"/>
      <c r="E36" s="100"/>
      <c r="F36" s="100"/>
      <c r="G36" s="100"/>
      <c r="H36" s="100"/>
      <c r="I36" s="100"/>
    </row>
    <row r="37" spans="2:9" s="3" customFormat="1" ht="3" customHeight="1" thickBot="1">
      <c r="B37" s="101"/>
      <c r="C37" s="248"/>
      <c r="D37" s="102"/>
      <c r="E37" s="102"/>
      <c r="F37" s="102"/>
      <c r="G37" s="103"/>
      <c r="H37" s="103"/>
      <c r="I37" s="103"/>
    </row>
    <row r="38" spans="2:9" s="3" customFormat="1" ht="26">
      <c r="B38" s="104" t="s">
        <v>125</v>
      </c>
      <c r="C38" s="241"/>
      <c r="D38" s="253" t="str">
        <f>D$4</f>
        <v>Total Net 
Taxable Income</v>
      </c>
      <c r="E38" s="254" t="str">
        <f t="shared" ref="E38:I38" si="0">E$4</f>
        <v>Taxed at 2% Rate</v>
      </c>
      <c r="F38" s="254" t="str">
        <f t="shared" si="0"/>
        <v>Taxed at 3% Rate</v>
      </c>
      <c r="G38" s="254" t="str">
        <f t="shared" si="0"/>
        <v>Taxed at 5% Rate</v>
      </c>
      <c r="H38" s="254" t="str">
        <f t="shared" si="0"/>
        <v>Taxed at 5.75% Rate</v>
      </c>
      <c r="I38" s="255" t="str">
        <f t="shared" si="0"/>
        <v>Total Income
Tax Liability</v>
      </c>
    </row>
    <row r="39" spans="2:9" s="3" customFormat="1" ht="21" customHeight="1">
      <c r="B39" s="66" t="s">
        <v>331</v>
      </c>
      <c r="C39" s="249" t="s">
        <v>686</v>
      </c>
      <c r="D39" s="81">
        <v>2258748556.7199998</v>
      </c>
      <c r="E39" s="81">
        <v>106555269.47</v>
      </c>
      <c r="F39" s="81">
        <v>69064566.569999993</v>
      </c>
      <c r="G39" s="81">
        <v>363983843.22000003</v>
      </c>
      <c r="H39" s="81">
        <v>1719144877.46</v>
      </c>
      <c r="I39" s="81">
        <v>119771425.73999999</v>
      </c>
    </row>
    <row r="40" spans="2:9" s="3" customFormat="1">
      <c r="B40" s="66" t="s">
        <v>147</v>
      </c>
      <c r="C40" s="249" t="s">
        <v>687</v>
      </c>
      <c r="D40" s="82">
        <v>750584727.89999998</v>
      </c>
      <c r="E40" s="82">
        <v>28732984</v>
      </c>
      <c r="F40" s="82">
        <v>18743721</v>
      </c>
      <c r="G40" s="82">
        <v>102118473.98999999</v>
      </c>
      <c r="H40" s="82">
        <v>600989548.90999997</v>
      </c>
      <c r="I40" s="82">
        <v>40113333.289999999</v>
      </c>
    </row>
    <row r="41" spans="2:9" s="3" customFormat="1">
      <c r="B41" s="66" t="s">
        <v>336</v>
      </c>
      <c r="C41" s="249" t="s">
        <v>688</v>
      </c>
      <c r="D41" s="82">
        <v>598954535.42999995</v>
      </c>
      <c r="E41" s="82">
        <v>29356341</v>
      </c>
      <c r="F41" s="82">
        <v>19183717</v>
      </c>
      <c r="G41" s="82">
        <v>103647170.15000001</v>
      </c>
      <c r="H41" s="82">
        <v>446767307.27999997</v>
      </c>
      <c r="I41" s="82">
        <v>31464536.91</v>
      </c>
    </row>
    <row r="42" spans="2:9" s="3" customFormat="1">
      <c r="B42" s="66" t="s">
        <v>188</v>
      </c>
      <c r="C42" s="249" t="s">
        <v>689</v>
      </c>
      <c r="D42" s="82">
        <v>2681889584.4499998</v>
      </c>
      <c r="E42" s="82">
        <v>106429174.05</v>
      </c>
      <c r="F42" s="82">
        <v>69213792.069999993</v>
      </c>
      <c r="G42" s="82">
        <v>374950540.36000001</v>
      </c>
      <c r="H42" s="82">
        <v>2131296077.97</v>
      </c>
      <c r="I42" s="82">
        <v>143307246.47</v>
      </c>
    </row>
    <row r="43" spans="2:9" s="3" customFormat="1">
      <c r="B43" s="66" t="s">
        <v>341</v>
      </c>
      <c r="C43" s="249" t="s">
        <v>690</v>
      </c>
      <c r="D43" s="82">
        <v>15630645089.27</v>
      </c>
      <c r="E43" s="82">
        <v>496301047.18000001</v>
      </c>
      <c r="F43" s="82">
        <v>323824804.82999998</v>
      </c>
      <c r="G43" s="82">
        <v>1761913577.21</v>
      </c>
      <c r="H43" s="82">
        <v>13048605660.049999</v>
      </c>
      <c r="I43" s="82">
        <v>847808085.10000002</v>
      </c>
    </row>
    <row r="44" spans="2:9" s="3" customFormat="1" ht="21" customHeight="1">
      <c r="B44" s="66" t="s">
        <v>344</v>
      </c>
      <c r="C44" s="249" t="s">
        <v>691</v>
      </c>
      <c r="D44" s="82">
        <v>502385094.49000001</v>
      </c>
      <c r="E44" s="82">
        <v>26464705</v>
      </c>
      <c r="F44" s="82">
        <v>17338713</v>
      </c>
      <c r="G44" s="82">
        <v>93962853.680000007</v>
      </c>
      <c r="H44" s="82">
        <v>364618822.81</v>
      </c>
      <c r="I44" s="82">
        <v>26229056.390000001</v>
      </c>
    </row>
    <row r="45" spans="2:9" s="3" customFormat="1">
      <c r="B45" s="66" t="s">
        <v>347</v>
      </c>
      <c r="C45" s="249" t="s">
        <v>692</v>
      </c>
      <c r="D45" s="82">
        <v>501470056.77999997</v>
      </c>
      <c r="E45" s="82">
        <v>15700382.91</v>
      </c>
      <c r="F45" s="82">
        <v>10039571.74</v>
      </c>
      <c r="G45" s="82">
        <v>52763674.350000001</v>
      </c>
      <c r="H45" s="82">
        <v>422966427.77999997</v>
      </c>
      <c r="I45" s="82">
        <v>27315317.59</v>
      </c>
    </row>
    <row r="46" spans="2:9" s="3" customFormat="1">
      <c r="B46" s="66" t="s">
        <v>350</v>
      </c>
      <c r="C46" s="249" t="s">
        <v>693</v>
      </c>
      <c r="D46" s="82">
        <v>749658037.21000004</v>
      </c>
      <c r="E46" s="82">
        <v>32678761.399999999</v>
      </c>
      <c r="F46" s="82">
        <v>21239191</v>
      </c>
      <c r="G46" s="82">
        <v>114090406.72</v>
      </c>
      <c r="H46" s="82">
        <v>581649678.09000003</v>
      </c>
      <c r="I46" s="82">
        <v>39935833.530000001</v>
      </c>
    </row>
    <row r="47" spans="2:9" s="3" customFormat="1">
      <c r="B47" s="66"/>
      <c r="C47" s="249"/>
      <c r="D47" s="82"/>
      <c r="E47" s="82"/>
      <c r="F47" s="82"/>
      <c r="G47" s="82"/>
      <c r="H47" s="82"/>
      <c r="I47" s="82"/>
    </row>
    <row r="48" spans="2:9" s="3" customFormat="1">
      <c r="B48" s="106" t="s">
        <v>152</v>
      </c>
      <c r="C48" s="250"/>
      <c r="D48" s="107">
        <f t="shared" ref="D48:I48" si="1">SUM(D5:D34,D39:D46)</f>
        <v>75129188536.210007</v>
      </c>
      <c r="E48" s="107">
        <f t="shared" si="1"/>
        <v>2813269202.6999998</v>
      </c>
      <c r="F48" s="107">
        <f t="shared" si="1"/>
        <v>1826629869.9099996</v>
      </c>
      <c r="G48" s="107">
        <f t="shared" si="1"/>
        <v>9786232203.5299988</v>
      </c>
      <c r="H48" s="107">
        <f t="shared" si="1"/>
        <v>60703057260.069992</v>
      </c>
      <c r="I48" s="107">
        <f t="shared" si="1"/>
        <v>4043985840.9100003</v>
      </c>
    </row>
    <row r="49" spans="2:9">
      <c r="B49" s="66"/>
      <c r="C49" s="249"/>
      <c r="D49" s="82"/>
      <c r="E49" s="82"/>
      <c r="F49" s="82"/>
      <c r="G49" s="82"/>
      <c r="H49" s="82"/>
      <c r="I49" s="82"/>
    </row>
    <row r="50" spans="2:9">
      <c r="B50" s="66"/>
      <c r="C50" s="249"/>
      <c r="D50" s="82"/>
      <c r="E50" s="82"/>
      <c r="F50" s="82"/>
      <c r="G50" s="82"/>
      <c r="H50" s="82"/>
      <c r="I50" s="82"/>
    </row>
    <row r="51" spans="2:9" s="3" customFormat="1" ht="15.5">
      <c r="B51" s="63" t="str">
        <f>$B$35</f>
        <v>Table 1.7, continued</v>
      </c>
      <c r="C51" s="246"/>
      <c r="D51" s="100"/>
      <c r="E51" s="100"/>
      <c r="F51" s="100"/>
      <c r="G51" s="100"/>
      <c r="H51" s="100"/>
      <c r="I51" s="100"/>
    </row>
    <row r="52" spans="2:9" s="3" customFormat="1">
      <c r="B52" s="64" t="str">
        <f>$B$2</f>
        <v>Total Net Taxable Income, Amount Taxed at Each Tax Rate, Total Income Tax Liability by Locality, Taxable Year 2023</v>
      </c>
      <c r="C52" s="247"/>
      <c r="D52" s="100"/>
      <c r="E52" s="100"/>
      <c r="F52" s="100"/>
      <c r="G52" s="100"/>
      <c r="H52" s="100"/>
      <c r="I52" s="100"/>
    </row>
    <row r="53" spans="2:9" s="3" customFormat="1" ht="3" customHeight="1" thickBot="1">
      <c r="B53" s="101"/>
      <c r="C53" s="248"/>
      <c r="D53" s="102"/>
      <c r="E53" s="102"/>
      <c r="F53" s="102"/>
      <c r="G53" s="103"/>
      <c r="H53" s="103"/>
      <c r="I53" s="103"/>
    </row>
    <row r="54" spans="2:9" s="3" customFormat="1" ht="26">
      <c r="B54" s="104" t="s">
        <v>43</v>
      </c>
      <c r="C54" s="241"/>
      <c r="D54" s="253" t="str">
        <f>D$4</f>
        <v>Total Net 
Taxable Income</v>
      </c>
      <c r="E54" s="254" t="str">
        <f t="shared" ref="E54:I54" si="2">E$4</f>
        <v>Taxed at 2% Rate</v>
      </c>
      <c r="F54" s="254" t="str">
        <f t="shared" si="2"/>
        <v>Taxed at 3% Rate</v>
      </c>
      <c r="G54" s="254" t="str">
        <f t="shared" si="2"/>
        <v>Taxed at 5% Rate</v>
      </c>
      <c r="H54" s="254" t="str">
        <f t="shared" si="2"/>
        <v>Taxed at 5.75% Rate</v>
      </c>
      <c r="I54" s="255" t="str">
        <f t="shared" si="2"/>
        <v>Total Income
Tax Liability</v>
      </c>
    </row>
    <row r="55" spans="2:9" s="3" customFormat="1" ht="21" customHeight="1">
      <c r="B55" s="66" t="s">
        <v>254</v>
      </c>
      <c r="C55" s="249" t="s">
        <v>694</v>
      </c>
      <c r="D55" s="81">
        <v>733972654.70000005</v>
      </c>
      <c r="E55" s="81">
        <v>44614653.82</v>
      </c>
      <c r="F55" s="81">
        <v>28036253</v>
      </c>
      <c r="G55" s="81">
        <v>141615467.55000001</v>
      </c>
      <c r="H55" s="81">
        <v>519706280.32999998</v>
      </c>
      <c r="I55" s="81">
        <v>38089945.200000003</v>
      </c>
    </row>
    <row r="56" spans="2:9" s="3" customFormat="1">
      <c r="B56" s="66" t="s">
        <v>256</v>
      </c>
      <c r="C56" s="249" t="s">
        <v>695</v>
      </c>
      <c r="D56" s="82">
        <v>6702099695.1800003</v>
      </c>
      <c r="E56" s="82">
        <v>133957124.01000001</v>
      </c>
      <c r="F56" s="82">
        <v>87818800.560000002</v>
      </c>
      <c r="G56" s="82">
        <v>487033993.73000002</v>
      </c>
      <c r="H56" s="82">
        <v>5993289776.8800001</v>
      </c>
      <c r="I56" s="82">
        <v>370665813.29000002</v>
      </c>
    </row>
    <row r="57" spans="2:9" s="3" customFormat="1">
      <c r="B57" s="66" t="s">
        <v>259</v>
      </c>
      <c r="C57" s="249" t="s">
        <v>696</v>
      </c>
      <c r="D57" s="82">
        <v>291989694.13999999</v>
      </c>
      <c r="E57" s="82">
        <v>15637186.93</v>
      </c>
      <c r="F57" s="82">
        <v>10069578.289999999</v>
      </c>
      <c r="G57" s="82">
        <v>53599595.840000004</v>
      </c>
      <c r="H57" s="82">
        <v>212683333.08000001</v>
      </c>
      <c r="I57" s="82">
        <v>15191253.060000001</v>
      </c>
    </row>
    <row r="58" spans="2:9" s="3" customFormat="1">
      <c r="B58" s="66" t="s">
        <v>262</v>
      </c>
      <c r="C58" s="249" t="s">
        <v>697</v>
      </c>
      <c r="D58" s="82">
        <v>327035252.72000003</v>
      </c>
      <c r="E58" s="82">
        <v>14744117.550000001</v>
      </c>
      <c r="F58" s="82">
        <v>9588708</v>
      </c>
      <c r="G58" s="82">
        <v>51472313.380000003</v>
      </c>
      <c r="H58" s="82">
        <v>251230113.78999999</v>
      </c>
      <c r="I58" s="82">
        <v>17274421.949999999</v>
      </c>
    </row>
    <row r="59" spans="2:9" s="3" customFormat="1">
      <c r="B59" s="66" t="s">
        <v>265</v>
      </c>
      <c r="C59" s="249" t="s">
        <v>698</v>
      </c>
      <c r="D59" s="82">
        <v>614178807.61000001</v>
      </c>
      <c r="E59" s="82">
        <v>32109609.329999998</v>
      </c>
      <c r="F59" s="82">
        <v>20958397.09</v>
      </c>
      <c r="G59" s="82">
        <v>112652201.44</v>
      </c>
      <c r="H59" s="82">
        <v>448458599.75</v>
      </c>
      <c r="I59" s="82">
        <v>31959182.940000001</v>
      </c>
    </row>
    <row r="60" spans="2:9" s="3" customFormat="1" ht="21" customHeight="1">
      <c r="B60" s="66" t="s">
        <v>267</v>
      </c>
      <c r="C60" s="249" t="s">
        <v>699</v>
      </c>
      <c r="D60" s="82">
        <v>328614125.06</v>
      </c>
      <c r="E60" s="82">
        <v>16546580.029999999</v>
      </c>
      <c r="F60" s="82">
        <v>10805973</v>
      </c>
      <c r="G60" s="82">
        <v>58191032.18</v>
      </c>
      <c r="H60" s="82">
        <v>243070539.84999999</v>
      </c>
      <c r="I60" s="82">
        <v>17131266.210000001</v>
      </c>
    </row>
    <row r="61" spans="2:9" s="3" customFormat="1">
      <c r="B61" s="66" t="s">
        <v>270</v>
      </c>
      <c r="C61" s="249" t="s">
        <v>700</v>
      </c>
      <c r="D61" s="82">
        <v>18214303332.18</v>
      </c>
      <c r="E61" s="82">
        <v>354457706.06</v>
      </c>
      <c r="F61" s="82">
        <v>232548297.81</v>
      </c>
      <c r="G61" s="82">
        <v>1319827385.6600001</v>
      </c>
      <c r="H61" s="82">
        <v>16307469942.65</v>
      </c>
      <c r="I61" s="82">
        <v>1011523661.4</v>
      </c>
    </row>
    <row r="62" spans="2:9" s="3" customFormat="1">
      <c r="B62" s="66" t="s">
        <v>273</v>
      </c>
      <c r="C62" s="249" t="s">
        <v>701</v>
      </c>
      <c r="D62" s="82">
        <v>2283833744.0700002</v>
      </c>
      <c r="E62" s="82">
        <v>86639601.540000007</v>
      </c>
      <c r="F62" s="82">
        <v>56759392.799999997</v>
      </c>
      <c r="G62" s="82">
        <v>309987179.38</v>
      </c>
      <c r="H62" s="82">
        <v>1830447570.3499999</v>
      </c>
      <c r="I62" s="82">
        <v>121938637.81</v>
      </c>
    </row>
    <row r="63" spans="2:9" s="3" customFormat="1">
      <c r="B63" s="66" t="s">
        <v>165</v>
      </c>
      <c r="C63" s="249" t="s">
        <v>702</v>
      </c>
      <c r="D63" s="82">
        <v>107168863.23</v>
      </c>
      <c r="E63" s="82">
        <v>5323169.38</v>
      </c>
      <c r="F63" s="82">
        <v>3434796</v>
      </c>
      <c r="G63" s="82">
        <v>17906392.940000001</v>
      </c>
      <c r="H63" s="82">
        <v>80504504.909999996</v>
      </c>
      <c r="I63" s="82">
        <v>5621818.0599999996</v>
      </c>
    </row>
    <row r="64" spans="2:9" s="3" customFormat="1">
      <c r="B64" s="66" t="s">
        <v>278</v>
      </c>
      <c r="C64" s="249" t="s">
        <v>703</v>
      </c>
      <c r="D64" s="82">
        <v>2375430464.6900001</v>
      </c>
      <c r="E64" s="82">
        <v>86222193</v>
      </c>
      <c r="F64" s="82">
        <v>56469211</v>
      </c>
      <c r="G64" s="82">
        <v>308361957.33999997</v>
      </c>
      <c r="H64" s="82">
        <v>1924377103.3499999</v>
      </c>
      <c r="I64" s="82">
        <v>127112299.38</v>
      </c>
    </row>
    <row r="65" spans="2:9" s="3" customFormat="1" ht="24" customHeight="1">
      <c r="B65" s="66" t="s">
        <v>281</v>
      </c>
      <c r="C65" s="249" t="s">
        <v>704</v>
      </c>
      <c r="D65" s="82">
        <v>112360650.98999999</v>
      </c>
      <c r="E65" s="82">
        <v>5779743.2199999997</v>
      </c>
      <c r="F65" s="82">
        <v>3759580</v>
      </c>
      <c r="G65" s="82">
        <v>20445537.539999999</v>
      </c>
      <c r="H65" s="82">
        <v>82375790.230000004</v>
      </c>
      <c r="I65" s="82">
        <v>5841985.4299999997</v>
      </c>
    </row>
    <row r="66" spans="2:9" s="3" customFormat="1">
      <c r="B66" s="66" t="s">
        <v>283</v>
      </c>
      <c r="C66" s="249" t="s">
        <v>705</v>
      </c>
      <c r="D66" s="82">
        <v>1039096534.2</v>
      </c>
      <c r="E66" s="82">
        <v>36810137.719999999</v>
      </c>
      <c r="F66" s="82">
        <v>24146249</v>
      </c>
      <c r="G66" s="82">
        <v>133160787.06</v>
      </c>
      <c r="H66" s="82">
        <v>844979360.41999996</v>
      </c>
      <c r="I66" s="82">
        <v>55618532.579999998</v>
      </c>
    </row>
    <row r="67" spans="2:9" s="3" customFormat="1">
      <c r="B67" s="66" t="s">
        <v>286</v>
      </c>
      <c r="C67" s="249" t="s">
        <v>706</v>
      </c>
      <c r="D67" s="82">
        <v>234212907.52000001</v>
      </c>
      <c r="E67" s="82">
        <v>13946884</v>
      </c>
      <c r="F67" s="82">
        <v>8967013</v>
      </c>
      <c r="G67" s="82">
        <v>46155671.939999998</v>
      </c>
      <c r="H67" s="82">
        <v>165143338.58000001</v>
      </c>
      <c r="I67" s="82">
        <v>12144280.939999999</v>
      </c>
    </row>
    <row r="68" spans="2:9" s="3" customFormat="1">
      <c r="B68" s="66" t="s">
        <v>289</v>
      </c>
      <c r="C68" s="249" t="s">
        <v>707</v>
      </c>
      <c r="D68" s="82">
        <v>258841698.19</v>
      </c>
      <c r="E68" s="82">
        <v>13801942.880000001</v>
      </c>
      <c r="F68" s="82">
        <v>8982270</v>
      </c>
      <c r="G68" s="82">
        <v>47228781.799999997</v>
      </c>
      <c r="H68" s="82">
        <v>188828703.50999999</v>
      </c>
      <c r="I68" s="82">
        <v>13482012.470000001</v>
      </c>
    </row>
    <row r="69" spans="2:9" s="3" customFormat="1">
      <c r="B69" s="66" t="s">
        <v>291</v>
      </c>
      <c r="C69" s="249" t="s">
        <v>708</v>
      </c>
      <c r="D69" s="82">
        <v>259271825.99000001</v>
      </c>
      <c r="E69" s="82">
        <v>14237856.720000001</v>
      </c>
      <c r="F69" s="82">
        <v>9250164</v>
      </c>
      <c r="G69" s="82">
        <v>49099869.640000001</v>
      </c>
      <c r="H69" s="82">
        <v>186683935.63</v>
      </c>
      <c r="I69" s="82">
        <v>13485224.68</v>
      </c>
    </row>
    <row r="70" spans="2:9" s="3" customFormat="1" ht="15.5">
      <c r="B70" s="63" t="str">
        <f>$B$35</f>
        <v>Table 1.7, continued</v>
      </c>
      <c r="C70" s="246"/>
      <c r="D70" s="100"/>
      <c r="E70" s="100"/>
      <c r="F70" s="100"/>
      <c r="G70" s="100"/>
      <c r="H70" s="100"/>
      <c r="I70" s="100"/>
    </row>
    <row r="71" spans="2:9" s="3" customFormat="1">
      <c r="B71" s="64" t="str">
        <f>$B$2</f>
        <v>Total Net Taxable Income, Amount Taxed at Each Tax Rate, Total Income Tax Liability by Locality, Taxable Year 2023</v>
      </c>
      <c r="C71" s="247"/>
      <c r="D71" s="100"/>
      <c r="E71" s="100"/>
      <c r="F71" s="100"/>
      <c r="G71" s="100"/>
      <c r="H71" s="100"/>
      <c r="I71" s="100"/>
    </row>
    <row r="72" spans="2:9" s="3" customFormat="1" ht="3" customHeight="1" thickBot="1">
      <c r="B72" s="101"/>
      <c r="C72" s="248"/>
      <c r="D72" s="102"/>
      <c r="E72" s="102"/>
      <c r="F72" s="102"/>
      <c r="G72" s="103"/>
      <c r="H72" s="103"/>
      <c r="I72" s="103"/>
    </row>
    <row r="73" spans="2:9" s="3" customFormat="1" ht="26">
      <c r="B73" s="104" t="s">
        <v>43</v>
      </c>
      <c r="C73" s="241"/>
      <c r="D73" s="253" t="str">
        <f>D$4</f>
        <v>Total Net 
Taxable Income</v>
      </c>
      <c r="E73" s="254" t="str">
        <f t="shared" ref="E73:I73" si="3">E$4</f>
        <v>Taxed at 2% Rate</v>
      </c>
      <c r="F73" s="254" t="str">
        <f t="shared" si="3"/>
        <v>Taxed at 3% Rate</v>
      </c>
      <c r="G73" s="254" t="str">
        <f t="shared" si="3"/>
        <v>Taxed at 5% Rate</v>
      </c>
      <c r="H73" s="254" t="str">
        <f t="shared" si="3"/>
        <v>Taxed at 5.75% Rate</v>
      </c>
      <c r="I73" s="255" t="str">
        <f t="shared" si="3"/>
        <v>Total Income
Tax Liability</v>
      </c>
    </row>
    <row r="74" spans="2:9" s="3" customFormat="1" ht="21" customHeight="1">
      <c r="B74" s="66" t="s">
        <v>293</v>
      </c>
      <c r="C74" s="249" t="s">
        <v>709</v>
      </c>
      <c r="D74" s="81">
        <v>1157908631.9000001</v>
      </c>
      <c r="E74" s="81">
        <v>56963455.859999999</v>
      </c>
      <c r="F74" s="81">
        <v>37062048.560000002</v>
      </c>
      <c r="G74" s="81">
        <v>198692190.75</v>
      </c>
      <c r="H74" s="81">
        <v>865190936.73000002</v>
      </c>
      <c r="I74" s="81">
        <v>60626284.340000004</v>
      </c>
    </row>
    <row r="75" spans="2:9" s="3" customFormat="1">
      <c r="B75" s="66" t="s">
        <v>295</v>
      </c>
      <c r="C75" s="249" t="s">
        <v>710</v>
      </c>
      <c r="D75" s="82">
        <v>774834252.54999995</v>
      </c>
      <c r="E75" s="82">
        <v>36437923</v>
      </c>
      <c r="F75" s="82">
        <v>23860501</v>
      </c>
      <c r="G75" s="82">
        <v>130392090.20999999</v>
      </c>
      <c r="H75" s="82">
        <v>584143738.34000003</v>
      </c>
      <c r="I75" s="82">
        <v>40805852.969999999</v>
      </c>
    </row>
    <row r="76" spans="2:9" s="3" customFormat="1">
      <c r="B76" s="66" t="s">
        <v>298</v>
      </c>
      <c r="C76" s="249" t="s">
        <v>711</v>
      </c>
      <c r="D76" s="82">
        <v>447842515.41000003</v>
      </c>
      <c r="E76" s="82">
        <v>27018303</v>
      </c>
      <c r="F76" s="82">
        <v>17526492.600000001</v>
      </c>
      <c r="G76" s="82">
        <v>92068594.400000006</v>
      </c>
      <c r="H76" s="82">
        <v>311229125.41000003</v>
      </c>
      <c r="I76" s="82">
        <v>22959517.960000001</v>
      </c>
    </row>
    <row r="77" spans="2:9" s="3" customFormat="1">
      <c r="B77" s="66" t="s">
        <v>166</v>
      </c>
      <c r="C77" s="249" t="s">
        <v>712</v>
      </c>
      <c r="D77" s="82">
        <v>205946283.27000001</v>
      </c>
      <c r="E77" s="82">
        <v>8000013.7000000002</v>
      </c>
      <c r="F77" s="82">
        <v>5205411.47</v>
      </c>
      <c r="G77" s="82">
        <v>28012771.66</v>
      </c>
      <c r="H77" s="82">
        <v>164728086.44</v>
      </c>
      <c r="I77" s="82">
        <v>11032793.6</v>
      </c>
    </row>
    <row r="78" spans="2:9" s="3" customFormat="1">
      <c r="B78" s="66" t="s">
        <v>303</v>
      </c>
      <c r="C78" s="249" t="s">
        <v>713</v>
      </c>
      <c r="D78" s="82">
        <v>217024558.41</v>
      </c>
      <c r="E78" s="82">
        <v>11300686.07</v>
      </c>
      <c r="F78" s="82">
        <v>7271987</v>
      </c>
      <c r="G78" s="82">
        <v>38078624.189999998</v>
      </c>
      <c r="H78" s="82">
        <v>160373261.15000001</v>
      </c>
      <c r="I78" s="82">
        <v>11358636.630000001</v>
      </c>
    </row>
    <row r="79" spans="2:9" s="3" customFormat="1" ht="24" customHeight="1">
      <c r="B79" s="66" t="s">
        <v>304</v>
      </c>
      <c r="C79" s="249" t="s">
        <v>714</v>
      </c>
      <c r="D79" s="82">
        <v>13078508672.15</v>
      </c>
      <c r="E79" s="82">
        <v>432401250.10000002</v>
      </c>
      <c r="F79" s="82">
        <v>283299302.35000002</v>
      </c>
      <c r="G79" s="82">
        <v>1557834303.4100001</v>
      </c>
      <c r="H79" s="82">
        <v>10804973816.290001</v>
      </c>
      <c r="I79" s="82">
        <v>705760049.76999998</v>
      </c>
    </row>
    <row r="80" spans="2:9" s="3" customFormat="1">
      <c r="B80" s="66" t="s">
        <v>307</v>
      </c>
      <c r="C80" s="249" t="s">
        <v>715</v>
      </c>
      <c r="D80" s="82">
        <v>706406129.07000005</v>
      </c>
      <c r="E80" s="82">
        <v>18646802.609999999</v>
      </c>
      <c r="F80" s="82">
        <v>12244914</v>
      </c>
      <c r="G80" s="82">
        <v>68322839.680000007</v>
      </c>
      <c r="H80" s="82">
        <v>607191572.77999997</v>
      </c>
      <c r="I80" s="82">
        <v>38585997.789999999</v>
      </c>
    </row>
    <row r="81" spans="2:9" s="3" customFormat="1">
      <c r="B81" s="66" t="s">
        <v>308</v>
      </c>
      <c r="C81" s="249" t="s">
        <v>716</v>
      </c>
      <c r="D81" s="82">
        <v>102629520.62</v>
      </c>
      <c r="E81" s="82">
        <v>5241619.32</v>
      </c>
      <c r="F81" s="82">
        <v>3429912</v>
      </c>
      <c r="G81" s="82">
        <v>18574531.300000001</v>
      </c>
      <c r="H81" s="82">
        <v>75383458</v>
      </c>
      <c r="I81" s="82">
        <v>5333926.3899999997</v>
      </c>
    </row>
    <row r="82" spans="2:9" s="3" customFormat="1">
      <c r="B82" s="66" t="s">
        <v>311</v>
      </c>
      <c r="C82" s="249" t="s">
        <v>717</v>
      </c>
      <c r="D82" s="82">
        <v>1588792681.1600001</v>
      </c>
      <c r="E82" s="82">
        <v>59993313.579999998</v>
      </c>
      <c r="F82" s="82">
        <v>39239957</v>
      </c>
      <c r="G82" s="82">
        <v>214409032.06999999</v>
      </c>
      <c r="H82" s="82">
        <v>1275150378.51</v>
      </c>
      <c r="I82" s="82">
        <v>85026099.439999998</v>
      </c>
    </row>
    <row r="83" spans="2:9" s="3" customFormat="1">
      <c r="B83" s="66" t="s">
        <v>314</v>
      </c>
      <c r="C83" s="249" t="s">
        <v>718</v>
      </c>
      <c r="D83" s="82">
        <v>174715046.72</v>
      </c>
      <c r="E83" s="82">
        <v>9881747.9800000004</v>
      </c>
      <c r="F83" s="82">
        <v>6431654</v>
      </c>
      <c r="G83" s="82">
        <v>34079549.469999999</v>
      </c>
      <c r="H83" s="82">
        <v>124322095.27</v>
      </c>
      <c r="I83" s="82">
        <v>9061400.2400000002</v>
      </c>
    </row>
    <row r="84" spans="2:9" s="3" customFormat="1" ht="24" customHeight="1">
      <c r="B84" s="66" t="s">
        <v>317</v>
      </c>
      <c r="C84" s="249" t="s">
        <v>719</v>
      </c>
      <c r="D84" s="82">
        <v>185462527.72</v>
      </c>
      <c r="E84" s="82">
        <v>10069459.619999999</v>
      </c>
      <c r="F84" s="82">
        <v>6525044.4199999999</v>
      </c>
      <c r="G84" s="82">
        <v>34549164</v>
      </c>
      <c r="H84" s="82">
        <v>134318859.68000001</v>
      </c>
      <c r="I84" s="82">
        <v>9621380.4299999997</v>
      </c>
    </row>
    <row r="85" spans="2:9" s="3" customFormat="1">
      <c r="B85" s="66" t="s">
        <v>318</v>
      </c>
      <c r="C85" s="249" t="s">
        <v>720</v>
      </c>
      <c r="D85" s="82">
        <v>610208151.13999999</v>
      </c>
      <c r="E85" s="82">
        <v>30235906</v>
      </c>
      <c r="F85" s="82">
        <v>19752657.800000001</v>
      </c>
      <c r="G85" s="82">
        <v>106751635.34</v>
      </c>
      <c r="H85" s="82">
        <v>453467952</v>
      </c>
      <c r="I85" s="82">
        <v>32023386.16</v>
      </c>
    </row>
    <row r="86" spans="2:9" s="3" customFormat="1">
      <c r="B86" s="66" t="s">
        <v>321</v>
      </c>
      <c r="C86" s="249" t="s">
        <v>721</v>
      </c>
      <c r="D86" s="82">
        <v>250669035.49000001</v>
      </c>
      <c r="E86" s="82">
        <v>12158742</v>
      </c>
      <c r="F86" s="82">
        <v>7934745</v>
      </c>
      <c r="G86" s="82">
        <v>42019106</v>
      </c>
      <c r="H86" s="82">
        <v>188556442.49000001</v>
      </c>
      <c r="I86" s="82">
        <v>13212515.039999999</v>
      </c>
    </row>
    <row r="87" spans="2:9" s="3" customFormat="1">
      <c r="B87" s="66" t="s">
        <v>323</v>
      </c>
      <c r="C87" s="249" t="s">
        <v>722</v>
      </c>
      <c r="D87" s="82">
        <v>76948739103.699997</v>
      </c>
      <c r="E87" s="82">
        <v>1407822148.1300001</v>
      </c>
      <c r="F87" s="82">
        <v>924000389.45000005</v>
      </c>
      <c r="G87" s="82">
        <v>5175745467.3599997</v>
      </c>
      <c r="H87" s="82">
        <v>69441171098.759995</v>
      </c>
      <c r="I87" s="82">
        <v>4270409673.5599999</v>
      </c>
    </row>
    <row r="88" spans="2:9" s="3" customFormat="1">
      <c r="B88" s="66" t="s">
        <v>326</v>
      </c>
      <c r="C88" s="249" t="s">
        <v>723</v>
      </c>
      <c r="D88" s="82">
        <v>3903540890.6999998</v>
      </c>
      <c r="E88" s="82">
        <v>89439116.780000001</v>
      </c>
      <c r="F88" s="82">
        <v>58799752.950000003</v>
      </c>
      <c r="G88" s="82">
        <v>327831903.89999998</v>
      </c>
      <c r="H88" s="82">
        <v>3427470117.0700002</v>
      </c>
      <c r="I88" s="82">
        <v>214564090.34</v>
      </c>
    </row>
    <row r="89" spans="2:9" s="3" customFormat="1" ht="24" customHeight="1">
      <c r="B89" s="66" t="s">
        <v>329</v>
      </c>
      <c r="C89" s="249" t="s">
        <v>724</v>
      </c>
      <c r="D89" s="82">
        <v>354910934.52999997</v>
      </c>
      <c r="E89" s="82">
        <v>15386950</v>
      </c>
      <c r="F89" s="82">
        <v>10047210</v>
      </c>
      <c r="G89" s="82">
        <v>54043412.090000004</v>
      </c>
      <c r="H89" s="82">
        <v>275433362.44</v>
      </c>
      <c r="I89" s="82">
        <v>18746671.91</v>
      </c>
    </row>
    <row r="90" spans="2:9" s="3" customFormat="1">
      <c r="B90" s="66" t="s">
        <v>332</v>
      </c>
      <c r="C90" s="249" t="s">
        <v>725</v>
      </c>
      <c r="D90" s="82">
        <v>860745658.35000002</v>
      </c>
      <c r="E90" s="82">
        <v>30980792.920000002</v>
      </c>
      <c r="F90" s="82">
        <v>20376119</v>
      </c>
      <c r="G90" s="82">
        <v>112030871.8</v>
      </c>
      <c r="H90" s="82">
        <v>697357874.63</v>
      </c>
      <c r="I90" s="82">
        <v>46115839.969999999</v>
      </c>
    </row>
    <row r="91" spans="2:9" s="3" customFormat="1">
      <c r="B91" s="66" t="s">
        <v>334</v>
      </c>
      <c r="C91" s="249" t="s">
        <v>726</v>
      </c>
      <c r="D91" s="82">
        <v>1321315488.7</v>
      </c>
      <c r="E91" s="82">
        <v>55539203.700000003</v>
      </c>
      <c r="F91" s="82">
        <v>36265143.140000001</v>
      </c>
      <c r="G91" s="82">
        <v>195586172.49000001</v>
      </c>
      <c r="H91" s="82">
        <v>1033924969.37</v>
      </c>
      <c r="I91" s="82">
        <v>70087779.640000001</v>
      </c>
    </row>
    <row r="92" spans="2:9" s="3" customFormat="1">
      <c r="B92" s="66" t="s">
        <v>337</v>
      </c>
      <c r="C92" s="249" t="s">
        <v>727</v>
      </c>
      <c r="D92" s="82">
        <v>3182207670.7600002</v>
      </c>
      <c r="E92" s="82">
        <v>114688681.31</v>
      </c>
      <c r="F92" s="82">
        <v>75268015.799999997</v>
      </c>
      <c r="G92" s="82">
        <v>414259800.83999997</v>
      </c>
      <c r="H92" s="82">
        <v>2577991172.8099999</v>
      </c>
      <c r="I92" s="82">
        <v>170657183.13</v>
      </c>
    </row>
    <row r="93" spans="2:9" s="3" customFormat="1">
      <c r="B93" s="66" t="s">
        <v>339</v>
      </c>
      <c r="C93" s="249" t="s">
        <v>728</v>
      </c>
      <c r="D93" s="82">
        <v>347271584.57999998</v>
      </c>
      <c r="E93" s="82">
        <v>17453270</v>
      </c>
      <c r="F93" s="82">
        <v>11391548</v>
      </c>
      <c r="G93" s="82">
        <v>61658303.280000001</v>
      </c>
      <c r="H93" s="82">
        <v>256768463.30000001</v>
      </c>
      <c r="I93" s="82">
        <v>18129706.41</v>
      </c>
    </row>
    <row r="94" spans="2:9" s="3" customFormat="1" ht="24" customHeight="1">
      <c r="B94" s="66" t="s">
        <v>342</v>
      </c>
      <c r="C94" s="249" t="s">
        <v>729</v>
      </c>
      <c r="D94" s="82">
        <v>1028378203.99</v>
      </c>
      <c r="E94" s="82">
        <v>43415457</v>
      </c>
      <c r="F94" s="82">
        <v>28424738.539999999</v>
      </c>
      <c r="G94" s="82">
        <v>155408691.28999999</v>
      </c>
      <c r="H94" s="82">
        <v>801129317.15999997</v>
      </c>
      <c r="I94" s="82">
        <v>54506938.829999998</v>
      </c>
    </row>
    <row r="95" spans="2:9" s="3" customFormat="1">
      <c r="B95" s="66" t="s">
        <v>345</v>
      </c>
      <c r="C95" s="249" t="s">
        <v>730</v>
      </c>
      <c r="D95" s="82">
        <v>2474178924.4400001</v>
      </c>
      <c r="E95" s="82">
        <v>33846485</v>
      </c>
      <c r="F95" s="82">
        <v>22292459</v>
      </c>
      <c r="G95" s="82">
        <v>125543707.81</v>
      </c>
      <c r="H95" s="82">
        <v>2292496272.6300001</v>
      </c>
      <c r="I95" s="82">
        <v>138335303.53999999</v>
      </c>
    </row>
    <row r="96" spans="2:9" s="3" customFormat="1">
      <c r="B96" s="66" t="s">
        <v>348</v>
      </c>
      <c r="C96" s="249" t="s">
        <v>731</v>
      </c>
      <c r="D96" s="82">
        <v>224944350.75999999</v>
      </c>
      <c r="E96" s="82">
        <v>13826944.359999999</v>
      </c>
      <c r="F96" s="82">
        <v>8946350</v>
      </c>
      <c r="G96" s="82">
        <v>46823867</v>
      </c>
      <c r="H96" s="82">
        <v>155347189.40000001</v>
      </c>
      <c r="I96" s="82">
        <v>11523552.060000001</v>
      </c>
    </row>
    <row r="97" spans="2:9" s="3" customFormat="1">
      <c r="B97" s="66" t="s">
        <v>351</v>
      </c>
      <c r="C97" s="249" t="s">
        <v>732</v>
      </c>
      <c r="D97" s="82">
        <v>526281714.08999997</v>
      </c>
      <c r="E97" s="82">
        <v>23017740</v>
      </c>
      <c r="F97" s="82">
        <v>15077656</v>
      </c>
      <c r="G97" s="82">
        <v>82357598.280000001</v>
      </c>
      <c r="H97" s="82">
        <v>405828719.81</v>
      </c>
      <c r="I97" s="82">
        <v>27802949.359999999</v>
      </c>
    </row>
    <row r="98" spans="2:9" s="3" customFormat="1">
      <c r="B98" s="66" t="s">
        <v>353</v>
      </c>
      <c r="C98" s="249" t="s">
        <v>733</v>
      </c>
      <c r="D98" s="82">
        <v>174889351.43000001</v>
      </c>
      <c r="E98" s="82">
        <v>10704128.189999999</v>
      </c>
      <c r="F98" s="82">
        <v>6849184.8799999999</v>
      </c>
      <c r="G98" s="82">
        <v>34443930.380000003</v>
      </c>
      <c r="H98" s="82">
        <v>122892107.98</v>
      </c>
      <c r="I98" s="82">
        <v>9081433.9399999995</v>
      </c>
    </row>
    <row r="99" spans="2:9" s="3" customFormat="1" ht="24" customHeight="1">
      <c r="B99" s="66" t="s">
        <v>78</v>
      </c>
      <c r="C99" s="249" t="s">
        <v>734</v>
      </c>
      <c r="D99" s="82">
        <v>599734457.84000003</v>
      </c>
      <c r="E99" s="82">
        <v>33844341.200000003</v>
      </c>
      <c r="F99" s="82">
        <v>21838310</v>
      </c>
      <c r="G99" s="82">
        <v>114268267.59</v>
      </c>
      <c r="H99" s="82">
        <v>429783539.05000001</v>
      </c>
      <c r="I99" s="82">
        <v>31206752.68</v>
      </c>
    </row>
    <row r="100" spans="2:9" s="3" customFormat="1">
      <c r="B100" s="66" t="s">
        <v>356</v>
      </c>
      <c r="C100" s="249" t="s">
        <v>735</v>
      </c>
      <c r="D100" s="82">
        <v>4650655087.5600004</v>
      </c>
      <c r="E100" s="82">
        <v>132902823.65000001</v>
      </c>
      <c r="F100" s="82">
        <v>87372124</v>
      </c>
      <c r="G100" s="82">
        <v>486756971.72000003</v>
      </c>
      <c r="H100" s="82">
        <v>3943623168.1900001</v>
      </c>
      <c r="I100" s="82">
        <v>252301536.27000001</v>
      </c>
    </row>
    <row r="101" spans="2:9" s="3" customFormat="1">
      <c r="B101" s="66" t="s">
        <v>358</v>
      </c>
      <c r="C101" s="249" t="s">
        <v>736</v>
      </c>
      <c r="D101" s="82">
        <v>12684709799.540001</v>
      </c>
      <c r="E101" s="82">
        <v>394326097.5</v>
      </c>
      <c r="F101" s="82">
        <v>258070944.44</v>
      </c>
      <c r="G101" s="82">
        <v>1411472365.9000001</v>
      </c>
      <c r="H101" s="82">
        <v>10620840391.700001</v>
      </c>
      <c r="I101" s="82">
        <v>688599674.66999996</v>
      </c>
    </row>
    <row r="102" spans="2:9" s="3" customFormat="1">
      <c r="B102" s="66" t="s">
        <v>360</v>
      </c>
      <c r="C102" s="249" t="s">
        <v>737</v>
      </c>
      <c r="D102" s="82">
        <v>830443275.82000005</v>
      </c>
      <c r="E102" s="82">
        <v>49752559</v>
      </c>
      <c r="F102" s="82">
        <v>32235286.940000001</v>
      </c>
      <c r="G102" s="82">
        <v>169293658.53</v>
      </c>
      <c r="H102" s="82">
        <v>579161771.35000002</v>
      </c>
      <c r="I102" s="82">
        <v>42878260.329999998</v>
      </c>
    </row>
    <row r="103" spans="2:9" s="3" customFormat="1">
      <c r="B103" s="66" t="s">
        <v>362</v>
      </c>
      <c r="C103" s="249" t="s">
        <v>738</v>
      </c>
      <c r="D103" s="82">
        <v>43080894.240000002</v>
      </c>
      <c r="E103" s="82">
        <v>2333047</v>
      </c>
      <c r="F103" s="82">
        <v>1518445</v>
      </c>
      <c r="G103" s="82">
        <v>7850240.2699999996</v>
      </c>
      <c r="H103" s="82">
        <v>31379161.969999999</v>
      </c>
      <c r="I103" s="82">
        <v>2237467.23</v>
      </c>
    </row>
    <row r="104" spans="2:9" s="3" customFormat="1" ht="15.5">
      <c r="B104" s="63" t="str">
        <f>$B$35</f>
        <v>Table 1.7, continued</v>
      </c>
      <c r="C104" s="246"/>
      <c r="D104" s="100"/>
      <c r="E104" s="100"/>
      <c r="F104" s="100"/>
      <c r="G104" s="100"/>
      <c r="H104" s="100"/>
      <c r="I104" s="100"/>
    </row>
    <row r="105" spans="2:9" s="3" customFormat="1">
      <c r="B105" s="64" t="str">
        <f>$B$2</f>
        <v>Total Net Taxable Income, Amount Taxed at Each Tax Rate, Total Income Tax Liability by Locality, Taxable Year 2023</v>
      </c>
      <c r="C105" s="247"/>
      <c r="D105" s="100"/>
      <c r="E105" s="100"/>
      <c r="F105" s="100"/>
      <c r="G105" s="100"/>
      <c r="H105" s="100"/>
      <c r="I105" s="100"/>
    </row>
    <row r="106" spans="2:9" s="3" customFormat="1" ht="3" customHeight="1" thickBot="1">
      <c r="B106" s="101"/>
      <c r="C106" s="248"/>
      <c r="D106" s="102"/>
      <c r="E106" s="102"/>
      <c r="F106" s="102"/>
      <c r="G106" s="103"/>
      <c r="H106" s="103"/>
      <c r="I106" s="103"/>
    </row>
    <row r="107" spans="2:9" s="3" customFormat="1" ht="26">
      <c r="B107" s="104" t="s">
        <v>43</v>
      </c>
      <c r="C107" s="241"/>
      <c r="D107" s="253" t="str">
        <f>D$4</f>
        <v>Total Net 
Taxable Income</v>
      </c>
      <c r="E107" s="254" t="str">
        <f t="shared" ref="E107:I107" si="4">E$4</f>
        <v>Taxed at 2% Rate</v>
      </c>
      <c r="F107" s="254" t="str">
        <f t="shared" si="4"/>
        <v>Taxed at 3% Rate</v>
      </c>
      <c r="G107" s="254" t="str">
        <f t="shared" si="4"/>
        <v>Taxed at 5% Rate</v>
      </c>
      <c r="H107" s="254" t="str">
        <f t="shared" si="4"/>
        <v>Taxed at 5.75% Rate</v>
      </c>
      <c r="I107" s="255" t="str">
        <f t="shared" si="4"/>
        <v>Total Income
Tax Liability</v>
      </c>
    </row>
    <row r="108" spans="2:9" s="3" customFormat="1" ht="21" customHeight="1">
      <c r="B108" s="66" t="s">
        <v>364</v>
      </c>
      <c r="C108" s="249" t="s">
        <v>739</v>
      </c>
      <c r="D108" s="81">
        <v>1246483009.48</v>
      </c>
      <c r="E108" s="81">
        <v>44186395.07</v>
      </c>
      <c r="F108" s="81">
        <v>28968458.199999999</v>
      </c>
      <c r="G108" s="81">
        <v>159150675.40000001</v>
      </c>
      <c r="H108" s="81">
        <v>1014177480.8099999</v>
      </c>
      <c r="I108" s="81">
        <v>66872661.189999998</v>
      </c>
    </row>
    <row r="109" spans="2:9" s="3" customFormat="1">
      <c r="B109" s="66" t="s">
        <v>83</v>
      </c>
      <c r="C109" s="249" t="s">
        <v>740</v>
      </c>
      <c r="D109" s="82">
        <v>3412469829.5799999</v>
      </c>
      <c r="E109" s="82">
        <v>94996542.299999997</v>
      </c>
      <c r="F109" s="82">
        <v>62307440.600000001</v>
      </c>
      <c r="G109" s="82">
        <v>343864766.67000002</v>
      </c>
      <c r="H109" s="82">
        <v>2911301080.0100002</v>
      </c>
      <c r="I109" s="82">
        <v>185619113.91999999</v>
      </c>
    </row>
    <row r="110" spans="2:9" s="3" customFormat="1">
      <c r="B110" s="66" t="s">
        <v>365</v>
      </c>
      <c r="C110" s="249" t="s">
        <v>741</v>
      </c>
      <c r="D110" s="82">
        <v>159560822.25</v>
      </c>
      <c r="E110" s="82">
        <v>7512862</v>
      </c>
      <c r="F110" s="82">
        <v>4901324</v>
      </c>
      <c r="G110" s="82">
        <v>26315576.199999999</v>
      </c>
      <c r="H110" s="82">
        <v>120831060.05</v>
      </c>
      <c r="I110" s="82">
        <v>8421393.7899999991</v>
      </c>
    </row>
    <row r="111" spans="2:9" s="3" customFormat="1">
      <c r="B111" s="66" t="s">
        <v>366</v>
      </c>
      <c r="C111" s="249" t="s">
        <v>742</v>
      </c>
      <c r="D111" s="82">
        <v>960455335.91999996</v>
      </c>
      <c r="E111" s="82">
        <v>32127207</v>
      </c>
      <c r="F111" s="82">
        <v>21074710.600000001</v>
      </c>
      <c r="G111" s="82">
        <v>117097867.81999999</v>
      </c>
      <c r="H111" s="82">
        <v>790155550.5</v>
      </c>
      <c r="I111" s="82">
        <v>51756536.619999997</v>
      </c>
    </row>
    <row r="112" spans="2:9" s="3" customFormat="1">
      <c r="B112" s="66" t="s">
        <v>86</v>
      </c>
      <c r="C112" s="249" t="s">
        <v>743</v>
      </c>
      <c r="D112" s="82">
        <v>504145066.16000003</v>
      </c>
      <c r="E112" s="82">
        <v>21827580.710000001</v>
      </c>
      <c r="F112" s="82">
        <v>14298289</v>
      </c>
      <c r="G112" s="82">
        <v>78875232.310000002</v>
      </c>
      <c r="H112" s="82">
        <v>389143964.13999999</v>
      </c>
      <c r="I112" s="82">
        <v>26624475.949999999</v>
      </c>
    </row>
    <row r="113" spans="2:9" s="3" customFormat="1" ht="24" customHeight="1">
      <c r="B113" s="66" t="s">
        <v>171</v>
      </c>
      <c r="C113" s="249" t="s">
        <v>744</v>
      </c>
      <c r="D113" s="82">
        <v>379885054.94</v>
      </c>
      <c r="E113" s="82">
        <v>12614414</v>
      </c>
      <c r="F113" s="82">
        <v>8218670.2400000002</v>
      </c>
      <c r="G113" s="82">
        <v>44038079.530000001</v>
      </c>
      <c r="H113" s="82">
        <v>315013891.17000002</v>
      </c>
      <c r="I113" s="82">
        <v>20534435.710000001</v>
      </c>
    </row>
    <row r="114" spans="2:9" s="3" customFormat="1">
      <c r="B114" s="66" t="s">
        <v>257</v>
      </c>
      <c r="C114" s="249" t="s">
        <v>745</v>
      </c>
      <c r="D114" s="82">
        <v>250340918.41</v>
      </c>
      <c r="E114" s="82">
        <v>16661851</v>
      </c>
      <c r="F114" s="82">
        <v>10751052</v>
      </c>
      <c r="G114" s="82">
        <v>55636086.899999999</v>
      </c>
      <c r="H114" s="82">
        <v>167291928.50999999</v>
      </c>
      <c r="I114" s="82">
        <v>12720344.460000001</v>
      </c>
    </row>
    <row r="115" spans="2:9" s="3" customFormat="1">
      <c r="B115" s="66" t="s">
        <v>260</v>
      </c>
      <c r="C115" s="249" t="s">
        <v>746</v>
      </c>
      <c r="D115" s="82">
        <v>27535963470.380001</v>
      </c>
      <c r="E115" s="82">
        <v>522211426.26999998</v>
      </c>
      <c r="F115" s="82">
        <v>343641237.13999999</v>
      </c>
      <c r="G115" s="82">
        <v>1940069650.3499999</v>
      </c>
      <c r="H115" s="82">
        <v>24730041156.619999</v>
      </c>
      <c r="I115" s="82">
        <v>1523370004.6800001</v>
      </c>
    </row>
    <row r="116" spans="2:9" s="3" customFormat="1">
      <c r="B116" s="66" t="s">
        <v>263</v>
      </c>
      <c r="C116" s="249" t="s">
        <v>747</v>
      </c>
      <c r="D116" s="82">
        <v>1156912223.25</v>
      </c>
      <c r="E116" s="82">
        <v>44762555</v>
      </c>
      <c r="F116" s="82">
        <v>29339518</v>
      </c>
      <c r="G116" s="82">
        <v>161103752.75999999</v>
      </c>
      <c r="H116" s="82">
        <v>921706397.49000001</v>
      </c>
      <c r="I116" s="82">
        <v>61718412.439999998</v>
      </c>
    </row>
    <row r="117" spans="2:9" s="3" customFormat="1">
      <c r="B117" s="66" t="s">
        <v>266</v>
      </c>
      <c r="C117" s="249" t="s">
        <v>748</v>
      </c>
      <c r="D117" s="82">
        <v>176466705.80000001</v>
      </c>
      <c r="E117" s="82">
        <v>10055431</v>
      </c>
      <c r="F117" s="82">
        <v>6512757.9900000002</v>
      </c>
      <c r="G117" s="82">
        <v>34577901.520000003</v>
      </c>
      <c r="H117" s="82">
        <v>125320615.29000001</v>
      </c>
      <c r="I117" s="82">
        <v>9156602.1799999997</v>
      </c>
    </row>
    <row r="118" spans="2:9" s="3" customFormat="1" ht="24" customHeight="1">
      <c r="B118" s="66" t="s">
        <v>268</v>
      </c>
      <c r="C118" s="249" t="s">
        <v>749</v>
      </c>
      <c r="D118" s="82">
        <v>383982788.74000001</v>
      </c>
      <c r="E118" s="82">
        <v>14581526</v>
      </c>
      <c r="F118" s="82">
        <v>9532748</v>
      </c>
      <c r="G118" s="82">
        <v>52316451.93</v>
      </c>
      <c r="H118" s="82">
        <v>307552062.81</v>
      </c>
      <c r="I118" s="82">
        <v>20517691.66</v>
      </c>
    </row>
    <row r="119" spans="2:9" s="3" customFormat="1">
      <c r="B119" s="66" t="s">
        <v>271</v>
      </c>
      <c r="C119" s="249" t="s">
        <v>750</v>
      </c>
      <c r="D119" s="82">
        <v>246933866.44999999</v>
      </c>
      <c r="E119" s="82">
        <v>9736408</v>
      </c>
      <c r="F119" s="82">
        <v>6373934</v>
      </c>
      <c r="G119" s="82">
        <v>34280961.600000001</v>
      </c>
      <c r="H119" s="82">
        <v>196542562.84999999</v>
      </c>
      <c r="I119" s="82">
        <v>13148002.35</v>
      </c>
    </row>
    <row r="120" spans="2:9" s="3" customFormat="1">
      <c r="B120" s="66" t="s">
        <v>274</v>
      </c>
      <c r="C120" s="249" t="s">
        <v>751</v>
      </c>
      <c r="D120" s="82">
        <v>631298036.90999997</v>
      </c>
      <c r="E120" s="82">
        <v>32156556.059999999</v>
      </c>
      <c r="F120" s="82">
        <v>20803357</v>
      </c>
      <c r="G120" s="82">
        <v>109539088.68000001</v>
      </c>
      <c r="H120" s="82">
        <v>468799035.17000002</v>
      </c>
      <c r="I120" s="82">
        <v>33124193.129999999</v>
      </c>
    </row>
    <row r="121" spans="2:9" s="3" customFormat="1">
      <c r="B121" s="66" t="s">
        <v>276</v>
      </c>
      <c r="C121" s="249" t="s">
        <v>752</v>
      </c>
      <c r="D121" s="82">
        <v>303752697.92000002</v>
      </c>
      <c r="E121" s="82">
        <v>11462087</v>
      </c>
      <c r="F121" s="82">
        <v>7483962</v>
      </c>
      <c r="G121" s="82">
        <v>40599639.130000003</v>
      </c>
      <c r="H121" s="82">
        <v>244207009.78999999</v>
      </c>
      <c r="I121" s="82">
        <v>16247924.060000001</v>
      </c>
    </row>
    <row r="122" spans="2:9" s="3" customFormat="1">
      <c r="B122" s="66" t="s">
        <v>279</v>
      </c>
      <c r="C122" s="249" t="s">
        <v>753</v>
      </c>
      <c r="D122" s="82">
        <v>2416034711.5900002</v>
      </c>
      <c r="E122" s="82">
        <v>91668775.379999995</v>
      </c>
      <c r="F122" s="82">
        <v>59697986.689999998</v>
      </c>
      <c r="G122" s="82">
        <v>322976434.08999997</v>
      </c>
      <c r="H122" s="82">
        <v>1941691515.4300001</v>
      </c>
      <c r="I122" s="82">
        <v>129317914.8</v>
      </c>
    </row>
    <row r="123" spans="2:9" s="3" customFormat="1" ht="24" customHeight="1">
      <c r="B123" s="66" t="s">
        <v>282</v>
      </c>
      <c r="C123" s="249" t="s">
        <v>754</v>
      </c>
      <c r="D123" s="82">
        <v>427950477.92000002</v>
      </c>
      <c r="E123" s="82">
        <v>16850643</v>
      </c>
      <c r="F123" s="82">
        <v>10986085.6</v>
      </c>
      <c r="G123" s="82">
        <v>59542925.289999999</v>
      </c>
      <c r="H123" s="82">
        <v>340570824.02999997</v>
      </c>
      <c r="I123" s="82">
        <v>22814940.879999999</v>
      </c>
    </row>
    <row r="124" spans="2:9" s="3" customFormat="1">
      <c r="B124" s="66" t="s">
        <v>284</v>
      </c>
      <c r="C124" s="249" t="s">
        <v>755</v>
      </c>
      <c r="D124" s="82">
        <v>987466479.38999999</v>
      </c>
      <c r="E124" s="82">
        <v>30615823.390000001</v>
      </c>
      <c r="F124" s="82">
        <v>20101724</v>
      </c>
      <c r="G124" s="82">
        <v>112131600.55</v>
      </c>
      <c r="H124" s="82">
        <v>824617331.45000005</v>
      </c>
      <c r="I124" s="82">
        <v>53303445.670000002</v>
      </c>
    </row>
    <row r="125" spans="2:9" s="3" customFormat="1">
      <c r="B125" s="66" t="s">
        <v>287</v>
      </c>
      <c r="C125" s="249" t="s">
        <v>756</v>
      </c>
      <c r="D125" s="82">
        <v>328020007.99000001</v>
      </c>
      <c r="E125" s="82">
        <v>12468780</v>
      </c>
      <c r="F125" s="82">
        <v>8064301.4699999997</v>
      </c>
      <c r="G125" s="82">
        <v>42024520.359999999</v>
      </c>
      <c r="H125" s="82">
        <v>265462406.16</v>
      </c>
      <c r="I125" s="82">
        <v>17626538.120000001</v>
      </c>
    </row>
    <row r="126" spans="2:9" s="3" customFormat="1">
      <c r="B126" s="66" t="s">
        <v>173</v>
      </c>
      <c r="C126" s="249" t="s">
        <v>757</v>
      </c>
      <c r="D126" s="82">
        <v>377543152.93000001</v>
      </c>
      <c r="E126" s="82">
        <v>13819710.869999999</v>
      </c>
      <c r="F126" s="82">
        <v>9008534.4399999995</v>
      </c>
      <c r="G126" s="82">
        <v>48837481.600000001</v>
      </c>
      <c r="H126" s="82">
        <v>305877426.01999998</v>
      </c>
      <c r="I126" s="82">
        <v>20247241.899999999</v>
      </c>
    </row>
    <row r="127" spans="2:9" s="3" customFormat="1">
      <c r="B127" s="66" t="s">
        <v>292</v>
      </c>
      <c r="C127" s="249" t="s">
        <v>758</v>
      </c>
      <c r="D127" s="82">
        <v>227360641.72</v>
      </c>
      <c r="E127" s="82">
        <v>13204780</v>
      </c>
      <c r="F127" s="82">
        <v>8597844</v>
      </c>
      <c r="G127" s="82">
        <v>45567273.600000001</v>
      </c>
      <c r="H127" s="82">
        <v>159990744.12</v>
      </c>
      <c r="I127" s="82">
        <v>11767126.25</v>
      </c>
    </row>
    <row r="128" spans="2:9" s="3" customFormat="1" ht="24" customHeight="1">
      <c r="B128" s="66" t="s">
        <v>294</v>
      </c>
      <c r="C128" s="249" t="s">
        <v>759</v>
      </c>
      <c r="D128" s="82">
        <v>1094805310.1400001</v>
      </c>
      <c r="E128" s="82">
        <v>45334801.329999998</v>
      </c>
      <c r="F128" s="82">
        <v>29742977</v>
      </c>
      <c r="G128" s="82">
        <v>163254763.63</v>
      </c>
      <c r="H128" s="82">
        <v>856472768.17999995</v>
      </c>
      <c r="I128" s="82">
        <v>58209437.289999999</v>
      </c>
    </row>
    <row r="129" spans="2:9" s="3" customFormat="1">
      <c r="B129" s="66" t="s">
        <v>296</v>
      </c>
      <c r="C129" s="249" t="s">
        <v>760</v>
      </c>
      <c r="D129" s="82">
        <v>486029602.63</v>
      </c>
      <c r="E129" s="82">
        <v>25007235</v>
      </c>
      <c r="F129" s="82">
        <v>16387276.119999999</v>
      </c>
      <c r="G129" s="82">
        <v>88028302.219999999</v>
      </c>
      <c r="H129" s="82">
        <v>356606789.29000002</v>
      </c>
      <c r="I129" s="82">
        <v>25358874.699999999</v>
      </c>
    </row>
    <row r="130" spans="2:9" s="3" customFormat="1">
      <c r="B130" s="66" t="s">
        <v>299</v>
      </c>
      <c r="C130" s="249" t="s">
        <v>761</v>
      </c>
      <c r="D130" s="82">
        <v>281122071.82999998</v>
      </c>
      <c r="E130" s="82">
        <v>15647467.439999999</v>
      </c>
      <c r="F130" s="82">
        <v>10179128</v>
      </c>
      <c r="G130" s="82">
        <v>53471288.969999999</v>
      </c>
      <c r="H130" s="82">
        <v>201824187.41999999</v>
      </c>
      <c r="I130" s="82">
        <v>14568678.49</v>
      </c>
    </row>
    <row r="131" spans="2:9" s="3" customFormat="1">
      <c r="B131" s="66" t="s">
        <v>301</v>
      </c>
      <c r="C131" s="249" t="s">
        <v>762</v>
      </c>
      <c r="D131" s="82">
        <v>1185128101.1199999</v>
      </c>
      <c r="E131" s="82">
        <v>60733108.840000004</v>
      </c>
      <c r="F131" s="82">
        <v>39483128.619999997</v>
      </c>
      <c r="G131" s="82">
        <v>209317931.28999999</v>
      </c>
      <c r="H131" s="82">
        <v>875593932.37</v>
      </c>
      <c r="I131" s="82">
        <v>61974803.479999997</v>
      </c>
    </row>
    <row r="132" spans="2:9" s="3" customFormat="1">
      <c r="B132" s="66" t="s">
        <v>174</v>
      </c>
      <c r="C132" s="249" t="s">
        <v>763</v>
      </c>
      <c r="D132" s="82">
        <v>1358930397.04</v>
      </c>
      <c r="E132" s="82">
        <v>36009401</v>
      </c>
      <c r="F132" s="82">
        <v>23711066</v>
      </c>
      <c r="G132" s="82">
        <v>132117482.48</v>
      </c>
      <c r="H132" s="82">
        <v>1167092447.5599999</v>
      </c>
      <c r="I132" s="82">
        <v>73989221.069999993</v>
      </c>
    </row>
    <row r="133" spans="2:9" s="3" customFormat="1" ht="24" customHeight="1">
      <c r="B133" s="66" t="s">
        <v>305</v>
      </c>
      <c r="C133" s="249" t="s">
        <v>764</v>
      </c>
      <c r="D133" s="82">
        <v>320871289.11000001</v>
      </c>
      <c r="E133" s="82">
        <v>18090144.550000001</v>
      </c>
      <c r="F133" s="82">
        <v>11732744.02</v>
      </c>
      <c r="G133" s="82">
        <v>61655114.399999999</v>
      </c>
      <c r="H133" s="82">
        <v>229393286.13999999</v>
      </c>
      <c r="I133" s="82">
        <v>16684723.92</v>
      </c>
    </row>
    <row r="134" spans="2:9" s="3" customFormat="1">
      <c r="B134" s="66" t="s">
        <v>175</v>
      </c>
      <c r="C134" s="249" t="s">
        <v>765</v>
      </c>
      <c r="D134" s="82">
        <v>759720632.85000002</v>
      </c>
      <c r="E134" s="82">
        <v>35373717.469999999</v>
      </c>
      <c r="F134" s="82">
        <v>23032670</v>
      </c>
      <c r="G134" s="82">
        <v>123528706.13</v>
      </c>
      <c r="H134" s="82">
        <v>577785539.25</v>
      </c>
      <c r="I134" s="82">
        <v>40062898.07</v>
      </c>
    </row>
    <row r="135" spans="2:9" s="3" customFormat="1">
      <c r="B135" s="66" t="s">
        <v>309</v>
      </c>
      <c r="C135" s="249" t="s">
        <v>766</v>
      </c>
      <c r="D135" s="82">
        <v>17629663899.98</v>
      </c>
      <c r="E135" s="82">
        <v>571247958.20000005</v>
      </c>
      <c r="F135" s="82">
        <v>374292577.48000002</v>
      </c>
      <c r="G135" s="82">
        <v>2061789486.01</v>
      </c>
      <c r="H135" s="82">
        <v>14622333878.290001</v>
      </c>
      <c r="I135" s="82">
        <v>953688674.21000004</v>
      </c>
    </row>
    <row r="136" spans="2:9" s="3" customFormat="1">
      <c r="B136" s="66" t="s">
        <v>312</v>
      </c>
      <c r="C136" s="249" t="s">
        <v>767</v>
      </c>
      <c r="D136" s="82">
        <v>622469863.96000004</v>
      </c>
      <c r="E136" s="82">
        <v>32510492</v>
      </c>
      <c r="F136" s="82">
        <v>21245252</v>
      </c>
      <c r="G136" s="82">
        <v>114778776</v>
      </c>
      <c r="H136" s="82">
        <v>453935343.95999998</v>
      </c>
      <c r="I136" s="82">
        <v>32378664.550000001</v>
      </c>
    </row>
    <row r="137" spans="2:9" s="3" customFormat="1">
      <c r="B137" s="66" t="s">
        <v>315</v>
      </c>
      <c r="C137" s="249" t="s">
        <v>768</v>
      </c>
      <c r="D137" s="82">
        <v>399994964.30000001</v>
      </c>
      <c r="E137" s="82">
        <v>8516926</v>
      </c>
      <c r="F137" s="82">
        <v>5582022</v>
      </c>
      <c r="G137" s="82">
        <v>30876770.399999999</v>
      </c>
      <c r="H137" s="82">
        <v>355019245.89999998</v>
      </c>
      <c r="I137" s="82">
        <v>22076509.34</v>
      </c>
    </row>
    <row r="138" spans="2:9" s="3" customFormat="1" ht="15.5">
      <c r="B138" s="63" t="str">
        <f>$B$35</f>
        <v>Table 1.7, continued</v>
      </c>
      <c r="C138" s="246"/>
      <c r="D138" s="100"/>
      <c r="E138" s="100"/>
      <c r="F138" s="100"/>
      <c r="G138" s="100"/>
      <c r="H138" s="100"/>
      <c r="I138" s="100"/>
    </row>
    <row r="139" spans="2:9" s="3" customFormat="1">
      <c r="B139" s="64" t="str">
        <f>$B$2</f>
        <v>Total Net Taxable Income, Amount Taxed at Each Tax Rate, Total Income Tax Liability by Locality, Taxable Year 2023</v>
      </c>
      <c r="C139" s="247"/>
      <c r="D139" s="100"/>
      <c r="E139" s="100"/>
      <c r="F139" s="100"/>
      <c r="G139" s="100"/>
      <c r="H139" s="100"/>
      <c r="I139" s="100"/>
    </row>
    <row r="140" spans="2:9" s="3" customFormat="1" ht="3" customHeight="1" thickBot="1">
      <c r="B140" s="101"/>
      <c r="C140" s="248"/>
      <c r="D140" s="102"/>
      <c r="E140" s="102"/>
      <c r="F140" s="102"/>
      <c r="G140" s="103"/>
      <c r="H140" s="103"/>
      <c r="I140" s="103"/>
    </row>
    <row r="141" spans="2:9" s="3" customFormat="1" ht="26">
      <c r="B141" s="104" t="s">
        <v>43</v>
      </c>
      <c r="C141" s="241"/>
      <c r="D141" s="253" t="str">
        <f>D$4</f>
        <v>Total Net 
Taxable Income</v>
      </c>
      <c r="E141" s="254" t="str">
        <f t="shared" ref="E141:I141" si="5">E$4</f>
        <v>Taxed at 2% Rate</v>
      </c>
      <c r="F141" s="254" t="str">
        <f t="shared" si="5"/>
        <v>Taxed at 3% Rate</v>
      </c>
      <c r="G141" s="254" t="str">
        <f t="shared" si="5"/>
        <v>Taxed at 5% Rate</v>
      </c>
      <c r="H141" s="254" t="str">
        <f t="shared" si="5"/>
        <v>Taxed at 5.75% Rate</v>
      </c>
      <c r="I141" s="255" t="str">
        <f t="shared" si="5"/>
        <v>Total Income
Tax Liability</v>
      </c>
    </row>
    <row r="142" spans="2:9" s="3" customFormat="1" ht="21" customHeight="1">
      <c r="B142" s="66" t="s">
        <v>176</v>
      </c>
      <c r="C142" s="249" t="s">
        <v>769</v>
      </c>
      <c r="D142" s="81">
        <v>262837605.02000001</v>
      </c>
      <c r="E142" s="81">
        <v>13084421.539999999</v>
      </c>
      <c r="F142" s="81">
        <v>8048897.0099999998</v>
      </c>
      <c r="G142" s="81">
        <v>40718216.82</v>
      </c>
      <c r="H142" s="81">
        <v>200986069.65000001</v>
      </c>
      <c r="I142" s="81">
        <v>13915145.99</v>
      </c>
    </row>
    <row r="143" spans="2:9" s="3" customFormat="1">
      <c r="B143" s="66" t="s">
        <v>319</v>
      </c>
      <c r="C143" s="249" t="s">
        <v>770</v>
      </c>
      <c r="D143" s="82">
        <v>3016812323.6799998</v>
      </c>
      <c r="E143" s="82">
        <v>111307199.62</v>
      </c>
      <c r="F143" s="82">
        <v>72894814.650000006</v>
      </c>
      <c r="G143" s="82">
        <v>397642058.85000002</v>
      </c>
      <c r="H143" s="82">
        <v>2434968250.5599999</v>
      </c>
      <c r="I143" s="82">
        <v>161438750.59999999</v>
      </c>
    </row>
    <row r="144" spans="2:9" s="3" customFormat="1">
      <c r="B144" s="66" t="s">
        <v>322</v>
      </c>
      <c r="C144" s="249" t="s">
        <v>771</v>
      </c>
      <c r="D144" s="82">
        <v>554065594.14999998</v>
      </c>
      <c r="E144" s="82">
        <v>22532177.699999999</v>
      </c>
      <c r="F144" s="82">
        <v>14737982</v>
      </c>
      <c r="G144" s="82">
        <v>79556730.200000003</v>
      </c>
      <c r="H144" s="82">
        <v>437238704.25</v>
      </c>
      <c r="I144" s="82">
        <v>29466122.219999999</v>
      </c>
    </row>
    <row r="145" spans="2:9" s="3" customFormat="1">
      <c r="B145" s="66" t="s">
        <v>324</v>
      </c>
      <c r="C145" s="249" t="s">
        <v>772</v>
      </c>
      <c r="D145" s="82">
        <v>2343906709.7600002</v>
      </c>
      <c r="E145" s="82">
        <v>95577277.969999999</v>
      </c>
      <c r="F145" s="82">
        <v>62610263.509999998</v>
      </c>
      <c r="G145" s="82">
        <v>341411991.19</v>
      </c>
      <c r="H145" s="82">
        <v>1844307177.0899999</v>
      </c>
      <c r="I145" s="82">
        <v>124435865.93000001</v>
      </c>
    </row>
    <row r="146" spans="2:9" s="3" customFormat="1">
      <c r="B146" s="66" t="s">
        <v>327</v>
      </c>
      <c r="C146" s="249" t="s">
        <v>773</v>
      </c>
      <c r="D146" s="82">
        <v>394275743.29000002</v>
      </c>
      <c r="E146" s="82">
        <v>21129802</v>
      </c>
      <c r="F146" s="82">
        <v>13813347</v>
      </c>
      <c r="G146" s="82">
        <v>73408656.599999994</v>
      </c>
      <c r="H146" s="82">
        <v>285923937.69</v>
      </c>
      <c r="I146" s="82">
        <v>20437889.23</v>
      </c>
    </row>
    <row r="147" spans="2:9" s="3" customFormat="1" ht="24" customHeight="1">
      <c r="B147" s="66" t="s">
        <v>330</v>
      </c>
      <c r="C147" s="249" t="s">
        <v>774</v>
      </c>
      <c r="D147" s="82">
        <v>324779554.01999998</v>
      </c>
      <c r="E147" s="82">
        <v>18724155.109999999</v>
      </c>
      <c r="F147" s="82">
        <v>12133368.310000001</v>
      </c>
      <c r="G147" s="82">
        <v>63979100.82</v>
      </c>
      <c r="H147" s="82">
        <v>229942929.78</v>
      </c>
      <c r="I147" s="82">
        <v>16775049.82</v>
      </c>
    </row>
    <row r="148" spans="2:9" s="3" customFormat="1">
      <c r="B148" s="66" t="s">
        <v>333</v>
      </c>
      <c r="C148" s="249" t="s">
        <v>775</v>
      </c>
      <c r="D148" s="82">
        <v>1131009037.6500001</v>
      </c>
      <c r="E148" s="82">
        <v>50489612.740000002</v>
      </c>
      <c r="F148" s="82">
        <v>33073228.030000001</v>
      </c>
      <c r="G148" s="82">
        <v>180071234.28</v>
      </c>
      <c r="H148" s="82">
        <v>867374962.60000002</v>
      </c>
      <c r="I148" s="82">
        <v>59756638.149999999</v>
      </c>
    </row>
    <row r="149" spans="2:9" s="3" customFormat="1">
      <c r="B149" s="66" t="s">
        <v>335</v>
      </c>
      <c r="C149" s="249" t="s">
        <v>776</v>
      </c>
      <c r="D149" s="82">
        <v>471932521.27999997</v>
      </c>
      <c r="E149" s="82">
        <v>27801178</v>
      </c>
      <c r="F149" s="82">
        <v>18106859</v>
      </c>
      <c r="G149" s="82">
        <v>95619038.159999996</v>
      </c>
      <c r="H149" s="82">
        <v>330405446.12</v>
      </c>
      <c r="I149" s="82">
        <v>24289601.059999999</v>
      </c>
    </row>
    <row r="150" spans="2:9" s="3" customFormat="1">
      <c r="B150" s="66" t="s">
        <v>338</v>
      </c>
      <c r="C150" s="249" t="s">
        <v>777</v>
      </c>
      <c r="D150" s="82">
        <v>381154540.98000002</v>
      </c>
      <c r="E150" s="82">
        <v>18464560.710000001</v>
      </c>
      <c r="F150" s="82">
        <v>11996646.5</v>
      </c>
      <c r="G150" s="82">
        <v>64399592.890000001</v>
      </c>
      <c r="H150" s="82">
        <v>286293740.88</v>
      </c>
      <c r="I150" s="82">
        <v>20009251.859999999</v>
      </c>
    </row>
    <row r="151" spans="2:9" s="3" customFormat="1">
      <c r="B151" s="66" t="s">
        <v>340</v>
      </c>
      <c r="C151" s="249" t="s">
        <v>778</v>
      </c>
      <c r="D151" s="82">
        <v>4700005608.9200001</v>
      </c>
      <c r="E151" s="82">
        <v>170787461.93000001</v>
      </c>
      <c r="F151" s="82">
        <v>111941129</v>
      </c>
      <c r="G151" s="82">
        <v>612683124.38</v>
      </c>
      <c r="H151" s="82">
        <v>3804593893.6100001</v>
      </c>
      <c r="I151" s="82">
        <v>252357698.28999999</v>
      </c>
    </row>
    <row r="152" spans="2:9" s="3" customFormat="1" ht="24" customHeight="1">
      <c r="B152" s="66" t="s">
        <v>343</v>
      </c>
      <c r="C152" s="249" t="s">
        <v>779</v>
      </c>
      <c r="D152" s="82">
        <v>5646515149.5200005</v>
      </c>
      <c r="E152" s="82">
        <v>181718664.61000001</v>
      </c>
      <c r="F152" s="82">
        <v>119234909.73999999</v>
      </c>
      <c r="G152" s="82">
        <v>659380627.38</v>
      </c>
      <c r="H152" s="82">
        <v>4686180947.79</v>
      </c>
      <c r="I152" s="82">
        <v>305237747.00999999</v>
      </c>
    </row>
    <row r="153" spans="2:9" s="3" customFormat="1">
      <c r="B153" s="66" t="s">
        <v>346</v>
      </c>
      <c r="C153" s="249" t="s">
        <v>780</v>
      </c>
      <c r="D153" s="82">
        <v>146132904.46000001</v>
      </c>
      <c r="E153" s="82">
        <v>7708141</v>
      </c>
      <c r="F153" s="82">
        <v>5005722</v>
      </c>
      <c r="G153" s="82">
        <v>26627061.199999999</v>
      </c>
      <c r="H153" s="82">
        <v>106791980.26000001</v>
      </c>
      <c r="I153" s="82">
        <v>7636007.9699999997</v>
      </c>
    </row>
    <row r="154" spans="2:9" s="3" customFormat="1">
      <c r="B154" s="66" t="s">
        <v>349</v>
      </c>
      <c r="C154" s="249" t="s">
        <v>781</v>
      </c>
      <c r="D154" s="82">
        <v>154416551.61000001</v>
      </c>
      <c r="E154" s="82">
        <v>8890127.0999999996</v>
      </c>
      <c r="F154" s="82">
        <v>5732127</v>
      </c>
      <c r="G154" s="82">
        <v>30202071.800000001</v>
      </c>
      <c r="H154" s="82">
        <v>109592225.70999999</v>
      </c>
      <c r="I154" s="82">
        <v>8034748.3200000003</v>
      </c>
    </row>
    <row r="155" spans="2:9" s="3" customFormat="1">
      <c r="B155" s="66" t="s">
        <v>352</v>
      </c>
      <c r="C155" s="249" t="s">
        <v>782</v>
      </c>
      <c r="D155" s="82">
        <v>692645952.51999998</v>
      </c>
      <c r="E155" s="82">
        <v>34593797.259999998</v>
      </c>
      <c r="F155" s="82">
        <v>22493908</v>
      </c>
      <c r="G155" s="82">
        <v>118908779.06</v>
      </c>
      <c r="H155" s="82">
        <v>516649468.19999999</v>
      </c>
      <c r="I155" s="82">
        <v>36274033.950000003</v>
      </c>
    </row>
    <row r="156" spans="2:9" s="3" customFormat="1">
      <c r="B156" s="66" t="s">
        <v>354</v>
      </c>
      <c r="C156" s="249" t="s">
        <v>783</v>
      </c>
      <c r="D156" s="82">
        <v>1163227487.6900001</v>
      </c>
      <c r="E156" s="82">
        <v>47209316.149999999</v>
      </c>
      <c r="F156" s="82">
        <v>30916386</v>
      </c>
      <c r="G156" s="82">
        <v>169411899.94999999</v>
      </c>
      <c r="H156" s="82">
        <v>915689885.59000003</v>
      </c>
      <c r="I156" s="82">
        <v>62015233.369999997</v>
      </c>
    </row>
    <row r="157" spans="2:9" s="3" customFormat="1" ht="24" customHeight="1">
      <c r="B157" s="66" t="s">
        <v>355</v>
      </c>
      <c r="C157" s="249" t="s">
        <v>784</v>
      </c>
      <c r="D157" s="82">
        <v>1268183350.4300001</v>
      </c>
      <c r="E157" s="82">
        <v>59435760.380000003</v>
      </c>
      <c r="F157" s="82">
        <v>38305220.359999999</v>
      </c>
      <c r="G157" s="82">
        <v>202935882.25999999</v>
      </c>
      <c r="H157" s="82">
        <v>967506487.42999995</v>
      </c>
      <c r="I157" s="82">
        <v>66859032.460000001</v>
      </c>
    </row>
    <row r="158" spans="2:9" s="3" customFormat="1">
      <c r="B158" s="66" t="s">
        <v>357</v>
      </c>
      <c r="C158" s="249" t="s">
        <v>785</v>
      </c>
      <c r="D158" s="82">
        <v>477715561.68000001</v>
      </c>
      <c r="E158" s="82">
        <v>20871487</v>
      </c>
      <c r="F158" s="82">
        <v>13658274</v>
      </c>
      <c r="G158" s="82">
        <v>73694240.549999997</v>
      </c>
      <c r="H158" s="82">
        <v>369491560.13</v>
      </c>
      <c r="I158" s="82">
        <v>25381657.75</v>
      </c>
    </row>
    <row r="159" spans="2:9" s="3" customFormat="1">
      <c r="B159" s="66" t="s">
        <v>359</v>
      </c>
      <c r="C159" s="249" t="s">
        <v>786</v>
      </c>
      <c r="D159" s="82">
        <v>512440059.38999999</v>
      </c>
      <c r="E159" s="82">
        <v>28690544.280000001</v>
      </c>
      <c r="F159" s="82">
        <v>18657894</v>
      </c>
      <c r="G159" s="82">
        <v>98046237.310000002</v>
      </c>
      <c r="H159" s="82">
        <v>367045383.80000001</v>
      </c>
      <c r="I159" s="82">
        <v>26540036.609999999</v>
      </c>
    </row>
    <row r="160" spans="2:9" s="3" customFormat="1">
      <c r="B160" s="66" t="s">
        <v>361</v>
      </c>
      <c r="C160" s="249" t="s">
        <v>787</v>
      </c>
      <c r="D160" s="82">
        <v>524724253.76999998</v>
      </c>
      <c r="E160" s="82">
        <v>28267160.510000002</v>
      </c>
      <c r="F160" s="82">
        <v>18413951</v>
      </c>
      <c r="G160" s="82">
        <v>97743467.579999998</v>
      </c>
      <c r="H160" s="82">
        <v>380299674.68000001</v>
      </c>
      <c r="I160" s="82">
        <v>27234573.079999998</v>
      </c>
    </row>
    <row r="161" spans="2:9" s="3" customFormat="1">
      <c r="B161" s="66" t="s">
        <v>363</v>
      </c>
      <c r="C161" s="249" t="s">
        <v>788</v>
      </c>
      <c r="D161" s="82">
        <v>2372689675.8000002</v>
      </c>
      <c r="E161" s="82">
        <v>74996123.450000003</v>
      </c>
      <c r="F161" s="82">
        <v>49140550</v>
      </c>
      <c r="G161" s="82">
        <v>271663403.89999998</v>
      </c>
      <c r="H161" s="82">
        <v>1976889598.45</v>
      </c>
      <c r="I161" s="82">
        <v>128152849.27</v>
      </c>
    </row>
    <row r="162" spans="2:9" s="3" customFormat="1">
      <c r="B162" s="66"/>
      <c r="C162" s="249"/>
      <c r="D162" s="82"/>
      <c r="E162" s="82"/>
      <c r="F162" s="82"/>
      <c r="G162" s="82"/>
      <c r="H162" s="82"/>
      <c r="I162" s="82"/>
    </row>
    <row r="163" spans="2:9" s="3" customFormat="1">
      <c r="B163" s="106" t="s">
        <v>124</v>
      </c>
      <c r="C163" s="250"/>
      <c r="D163" s="107">
        <f t="shared" ref="D163:I163" si="6">SUM(D55:D161)</f>
        <v>256330617263.41995</v>
      </c>
      <c r="E163" s="107">
        <f t="shared" si="6"/>
        <v>7006729089.710001</v>
      </c>
      <c r="F163" s="107">
        <f t="shared" si="6"/>
        <v>4587121241.2099991</v>
      </c>
      <c r="G163" s="107">
        <f t="shared" si="6"/>
        <v>25261365833.430004</v>
      </c>
      <c r="H163" s="107">
        <f t="shared" si="6"/>
        <v>219475401099.07007</v>
      </c>
      <c r="I163" s="107">
        <f t="shared" si="6"/>
        <v>13989822407.85</v>
      </c>
    </row>
    <row r="164" spans="2:9" s="3" customFormat="1" ht="6" customHeight="1">
      <c r="B164" s="66"/>
      <c r="C164" s="249"/>
      <c r="D164" s="82"/>
      <c r="E164" s="82"/>
      <c r="F164" s="82"/>
      <c r="G164" s="82"/>
      <c r="H164" s="82"/>
      <c r="I164" s="82"/>
    </row>
    <row r="165" spans="2:9" s="3" customFormat="1">
      <c r="B165" s="106" t="s">
        <v>152</v>
      </c>
      <c r="C165" s="250"/>
      <c r="D165" s="107">
        <f t="shared" ref="D165:I165" si="7">D48</f>
        <v>75129188536.210007</v>
      </c>
      <c r="E165" s="107">
        <f t="shared" si="7"/>
        <v>2813269202.6999998</v>
      </c>
      <c r="F165" s="107">
        <f t="shared" si="7"/>
        <v>1826629869.9099996</v>
      </c>
      <c r="G165" s="107">
        <f t="shared" si="7"/>
        <v>9786232203.5299988</v>
      </c>
      <c r="H165" s="107">
        <f t="shared" si="7"/>
        <v>60703057260.069992</v>
      </c>
      <c r="I165" s="107">
        <f t="shared" si="7"/>
        <v>4043985840.9100003</v>
      </c>
    </row>
    <row r="166" spans="2:9" s="3" customFormat="1" ht="6" customHeight="1">
      <c r="B166" s="66"/>
      <c r="C166" s="249"/>
      <c r="D166" s="82"/>
      <c r="E166" s="82"/>
      <c r="F166" s="82"/>
      <c r="G166" s="82"/>
      <c r="H166" s="82"/>
      <c r="I166" s="82"/>
    </row>
    <row r="167" spans="2:9" s="3" customFormat="1">
      <c r="B167" s="106" t="s">
        <v>646</v>
      </c>
      <c r="C167" s="250" t="s">
        <v>789</v>
      </c>
      <c r="D167" s="107">
        <v>10258975385.809999</v>
      </c>
      <c r="E167" s="107">
        <v>318531395.85000002</v>
      </c>
      <c r="F167" s="107">
        <v>195467197.43000001</v>
      </c>
      <c r="G167" s="107">
        <v>993617883.44000006</v>
      </c>
      <c r="H167" s="107">
        <v>8751358909.0900002</v>
      </c>
      <c r="I167" s="107">
        <v>563887985.65999997</v>
      </c>
    </row>
    <row r="168" spans="2:9" s="3" customFormat="1" ht="6" customHeight="1">
      <c r="B168" s="66"/>
      <c r="C168" s="249"/>
      <c r="D168" s="82"/>
      <c r="E168" s="82"/>
      <c r="F168" s="82"/>
      <c r="G168" s="82"/>
      <c r="H168" s="82"/>
      <c r="I168" s="82"/>
    </row>
    <row r="169" spans="2:9" s="3" customFormat="1">
      <c r="B169" s="106" t="s">
        <v>153</v>
      </c>
      <c r="C169" s="250"/>
      <c r="D169" s="107">
        <f>D163+D165+D167</f>
        <v>341718781185.43994</v>
      </c>
      <c r="E169" s="107">
        <f t="shared" ref="E169:I169" si="8">E163+E165+E167</f>
        <v>10138529688.26</v>
      </c>
      <c r="F169" s="107">
        <f t="shared" si="8"/>
        <v>6609218308.5499992</v>
      </c>
      <c r="G169" s="107">
        <f t="shared" si="8"/>
        <v>36041215920.400009</v>
      </c>
      <c r="H169" s="107">
        <f t="shared" si="8"/>
        <v>288929817268.2301</v>
      </c>
      <c r="I169" s="107">
        <f t="shared" si="8"/>
        <v>18597696234.420002</v>
      </c>
    </row>
    <row r="170" spans="2:9" s="3" customFormat="1" ht="6" customHeight="1">
      <c r="B170" s="66"/>
      <c r="C170" s="249"/>
      <c r="D170" s="82"/>
      <c r="E170" s="82"/>
      <c r="F170" s="82"/>
      <c r="G170" s="82"/>
      <c r="H170" s="82"/>
      <c r="I170" s="82"/>
    </row>
    <row r="171" spans="2:9">
      <c r="B171" s="65" t="s">
        <v>24</v>
      </c>
      <c r="C171" s="251"/>
      <c r="D171" s="108"/>
      <c r="E171" s="108"/>
      <c r="F171" s="108"/>
      <c r="G171" s="108"/>
      <c r="H171" s="108"/>
      <c r="I171" s="108"/>
    </row>
    <row r="172" spans="2:9">
      <c r="B172" s="65" t="s">
        <v>647</v>
      </c>
      <c r="C172" s="251"/>
      <c r="D172" s="108"/>
      <c r="E172" s="108"/>
      <c r="F172" s="108"/>
      <c r="G172" s="108"/>
      <c r="H172" s="108"/>
      <c r="I172" s="108"/>
    </row>
    <row r="173" spans="2:9">
      <c r="B173" s="65" t="s">
        <v>648</v>
      </c>
      <c r="C173" s="251"/>
      <c r="D173" s="108"/>
      <c r="E173" s="108"/>
      <c r="F173" s="108"/>
      <c r="G173" s="108"/>
      <c r="H173" s="108"/>
      <c r="I173" s="108"/>
    </row>
    <row r="174" spans="2:9">
      <c r="B174" s="65" t="s">
        <v>649</v>
      </c>
      <c r="C174" s="251"/>
      <c r="D174" s="108"/>
      <c r="E174" s="108"/>
      <c r="F174" s="108"/>
      <c r="G174" s="108"/>
      <c r="H174" s="108"/>
      <c r="I174" s="108"/>
    </row>
    <row r="176" spans="2:9">
      <c r="B176" s="7" t="s">
        <v>650</v>
      </c>
    </row>
    <row r="177" spans="2:2">
      <c r="B177" s="7"/>
    </row>
  </sheetData>
  <hyperlinks>
    <hyperlink ref="A1" location="TOC!A1" display="Back" xr:uid="{ED8754EB-C1E9-42F8-9052-94976E36B65E}"/>
  </hyperlinks>
  <pageMargins left="0.5" right="0.5" top="0.4" bottom="0.8" header="0.25" footer="0.35"/>
  <pageSetup fitToHeight="5" orientation="landscape" cellComments="asDisplayed" r:id="rId1"/>
  <headerFooter scaleWithDoc="0">
    <oddHeader>&amp;R&amp;P</oddHeader>
    <oddFooter>&amp;R&amp;G&amp;L© 2025 Virginia Department of Taxation, All Rights Reserved</oddFooter>
  </headerFooter>
  <rowBreaks count="4" manualBreakCount="4">
    <brk id="34" min="1" max="8" man="1"/>
    <brk id="69" min="1" max="7" man="1"/>
    <brk id="103" min="1" max="8" man="1"/>
    <brk id="137" min="1" max="8"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521B-3679-4D52-8714-0EBB95D42EA2}">
  <sheetPr codeName="Sheet31">
    <pageSetUpPr fitToPage="1"/>
  </sheetPr>
  <dimension ref="A1:Q46"/>
  <sheetViews>
    <sheetView zoomScaleNormal="100" workbookViewId="0"/>
  </sheetViews>
  <sheetFormatPr defaultRowHeight="13"/>
  <cols>
    <col min="1" max="1" width="4.19921875" customWidth="1"/>
    <col min="2" max="2" width="8.69921875" customWidth="1"/>
    <col min="3" max="3" width="17.69921875" customWidth="1"/>
    <col min="4" max="5" width="13.69921875" customWidth="1"/>
    <col min="6" max="6" width="2.69921875" customWidth="1"/>
    <col min="7" max="7" width="12.69921875" customWidth="1"/>
    <col min="8" max="8" width="13.69921875" customWidth="1"/>
    <col min="9" max="9" width="2.69921875" customWidth="1"/>
    <col min="10" max="10" width="12.69921875" customWidth="1"/>
    <col min="11" max="11" width="13.69921875" customWidth="1"/>
    <col min="12" max="12" width="2.69921875" customWidth="1"/>
    <col min="13" max="13" width="12.69921875" customWidth="1"/>
    <col min="14" max="14" width="13.69921875" customWidth="1"/>
    <col min="15" max="15" width="2.69921875" customWidth="1"/>
    <col min="16" max="16" width="1.69921875" customWidth="1"/>
    <col min="17" max="17" width="5.19921875" customWidth="1"/>
  </cols>
  <sheetData>
    <row r="1" spans="1:17" ht="15.5">
      <c r="A1" s="813" t="s">
        <v>42</v>
      </c>
      <c r="B1" s="572" t="s">
        <v>1116</v>
      </c>
      <c r="C1" s="573"/>
      <c r="D1" s="574"/>
      <c r="E1" s="573"/>
      <c r="F1" s="573"/>
      <c r="G1" s="575"/>
      <c r="H1" s="573"/>
      <c r="I1" s="573"/>
      <c r="J1" s="575"/>
      <c r="K1" s="573"/>
      <c r="L1" s="576"/>
      <c r="M1" s="575"/>
      <c r="N1" s="573"/>
      <c r="O1" s="573"/>
      <c r="Q1" s="8"/>
    </row>
    <row r="2" spans="1:17">
      <c r="B2" s="576" t="s">
        <v>1117</v>
      </c>
      <c r="C2" s="573"/>
      <c r="D2" s="575"/>
      <c r="E2" s="573"/>
      <c r="F2" s="573"/>
      <c r="G2" s="575"/>
      <c r="H2" s="573"/>
      <c r="I2" s="573"/>
      <c r="J2" s="575"/>
      <c r="K2" s="573"/>
      <c r="L2" s="576"/>
      <c r="M2" s="575"/>
      <c r="N2" s="573"/>
      <c r="O2" s="573"/>
    </row>
    <row r="3" spans="1:17" ht="6" customHeight="1" thickBot="1">
      <c r="B3" s="573"/>
      <c r="C3" s="577"/>
      <c r="D3" s="578"/>
      <c r="E3" s="577"/>
      <c r="F3" s="577"/>
      <c r="G3" s="578"/>
      <c r="H3" s="577"/>
      <c r="I3" s="577"/>
      <c r="J3" s="575"/>
      <c r="K3" s="573"/>
      <c r="L3" s="576"/>
      <c r="M3" s="575"/>
      <c r="N3" s="573"/>
      <c r="O3" s="573"/>
    </row>
    <row r="4" spans="1:17">
      <c r="B4" s="831"/>
      <c r="C4" s="831"/>
      <c r="D4" s="600">
        <v>2020</v>
      </c>
      <c r="E4" s="600"/>
      <c r="F4" s="579"/>
      <c r="G4" s="600">
        <v>2021</v>
      </c>
      <c r="H4" s="600"/>
      <c r="I4" s="579"/>
      <c r="J4" s="600">
        <v>2022</v>
      </c>
      <c r="K4" s="600"/>
      <c r="L4" s="579"/>
      <c r="M4" s="600">
        <v>2023</v>
      </c>
      <c r="N4" s="600"/>
      <c r="O4" s="573"/>
    </row>
    <row r="5" spans="1:17" ht="26">
      <c r="B5" s="832" t="s">
        <v>1118</v>
      </c>
      <c r="C5" s="832"/>
      <c r="D5" s="580" t="s">
        <v>1119</v>
      </c>
      <c r="E5" s="581" t="s">
        <v>796</v>
      </c>
      <c r="F5" s="582"/>
      <c r="G5" s="580" t="s">
        <v>1119</v>
      </c>
      <c r="H5" s="581" t="s">
        <v>796</v>
      </c>
      <c r="I5" s="582"/>
      <c r="J5" s="580" t="s">
        <v>1119</v>
      </c>
      <c r="K5" s="581" t="s">
        <v>796</v>
      </c>
      <c r="L5" s="582"/>
      <c r="M5" s="580" t="s">
        <v>1119</v>
      </c>
      <c r="N5" s="581" t="s">
        <v>796</v>
      </c>
      <c r="O5" s="573"/>
    </row>
    <row r="6" spans="1:17" ht="18" customHeight="1">
      <c r="B6" s="828" t="s">
        <v>1120</v>
      </c>
      <c r="C6" s="828"/>
      <c r="D6" s="583">
        <v>67765</v>
      </c>
      <c r="E6" s="584">
        <v>14986156.43</v>
      </c>
      <c r="F6" s="573"/>
      <c r="G6" s="583">
        <v>98692</v>
      </c>
      <c r="H6" s="584">
        <v>19194586.969999999</v>
      </c>
      <c r="I6" s="573"/>
      <c r="J6" s="583">
        <v>74786</v>
      </c>
      <c r="K6" s="584">
        <v>19941604.489999998</v>
      </c>
      <c r="L6" s="573"/>
      <c r="M6" s="583">
        <v>85312</v>
      </c>
      <c r="N6" s="584">
        <v>19385302.600000001</v>
      </c>
      <c r="O6" s="573"/>
    </row>
    <row r="7" spans="1:17" ht="12" customHeight="1">
      <c r="B7" s="828" t="s">
        <v>1121</v>
      </c>
      <c r="C7" s="828"/>
      <c r="D7" s="583">
        <v>6783</v>
      </c>
      <c r="E7" s="585">
        <v>1396821.2</v>
      </c>
      <c r="F7" s="573"/>
      <c r="G7" s="583">
        <v>8885</v>
      </c>
      <c r="H7" s="585">
        <v>1895465.07</v>
      </c>
      <c r="I7" s="573"/>
      <c r="J7" s="583">
        <v>9699</v>
      </c>
      <c r="K7" s="585">
        <v>3011966.55</v>
      </c>
      <c r="L7" s="573"/>
      <c r="M7" s="583">
        <v>8669</v>
      </c>
      <c r="N7" s="585">
        <v>2553622.9</v>
      </c>
      <c r="O7" s="573"/>
    </row>
    <row r="8" spans="1:17" ht="12" customHeight="1">
      <c r="B8" s="828" t="s">
        <v>1122</v>
      </c>
      <c r="C8" s="828"/>
      <c r="D8" s="583">
        <v>40491</v>
      </c>
      <c r="E8" s="585">
        <v>5211471.6500000004</v>
      </c>
      <c r="F8" s="573"/>
      <c r="G8" s="583">
        <v>53749</v>
      </c>
      <c r="H8" s="585">
        <v>7130779.8200000003</v>
      </c>
      <c r="I8" s="573"/>
      <c r="J8" s="583">
        <v>60450</v>
      </c>
      <c r="K8" s="585">
        <v>9744397.3499999996</v>
      </c>
      <c r="L8" s="573"/>
      <c r="M8" s="583">
        <v>52632</v>
      </c>
      <c r="N8" s="585">
        <v>7985368.6500000004</v>
      </c>
      <c r="O8" s="573"/>
    </row>
    <row r="9" spans="1:17" ht="12" customHeight="1">
      <c r="B9" s="828" t="s">
        <v>1123</v>
      </c>
      <c r="C9" s="828"/>
      <c r="D9" s="583">
        <v>2410</v>
      </c>
      <c r="E9" s="585">
        <v>359644.59</v>
      </c>
      <c r="F9" s="573"/>
      <c r="G9" s="583">
        <v>3053</v>
      </c>
      <c r="H9" s="585">
        <v>449772.62</v>
      </c>
      <c r="I9" s="573"/>
      <c r="J9" s="583">
        <v>3579</v>
      </c>
      <c r="K9" s="585">
        <v>646133.80000000005</v>
      </c>
      <c r="L9" s="573"/>
      <c r="M9" s="583">
        <v>3156</v>
      </c>
      <c r="N9" s="585">
        <v>570844.78</v>
      </c>
      <c r="O9" s="573"/>
    </row>
    <row r="10" spans="1:17" ht="12" customHeight="1">
      <c r="B10" s="828" t="s">
        <v>1124</v>
      </c>
      <c r="C10" s="828"/>
      <c r="D10" s="583">
        <v>4805</v>
      </c>
      <c r="E10" s="585">
        <v>606549.03</v>
      </c>
      <c r="F10" s="573"/>
      <c r="G10" s="583">
        <v>7097</v>
      </c>
      <c r="H10" s="585">
        <v>942396.44</v>
      </c>
      <c r="I10" s="573"/>
      <c r="J10" s="583">
        <v>9744</v>
      </c>
      <c r="K10" s="585">
        <v>1557641.69</v>
      </c>
      <c r="L10" s="573"/>
      <c r="M10" s="583">
        <v>8489</v>
      </c>
      <c r="N10" s="585">
        <v>1254766.7</v>
      </c>
      <c r="O10" s="573"/>
    </row>
    <row r="11" spans="1:17" ht="12" customHeight="1">
      <c r="B11" s="573" t="s">
        <v>1125</v>
      </c>
      <c r="C11" s="573"/>
      <c r="D11" s="583">
        <v>2306</v>
      </c>
      <c r="E11" s="585">
        <v>1869537.17</v>
      </c>
      <c r="F11" s="573"/>
      <c r="G11" s="583">
        <v>1</v>
      </c>
      <c r="H11" s="585">
        <v>19868.689999999999</v>
      </c>
      <c r="I11" s="573"/>
      <c r="J11" s="583">
        <v>0</v>
      </c>
      <c r="K11" s="585">
        <v>0</v>
      </c>
      <c r="L11" s="573"/>
      <c r="M11" s="583">
        <v>0</v>
      </c>
      <c r="N11" s="585">
        <v>0</v>
      </c>
      <c r="O11" s="573"/>
    </row>
    <row r="12" spans="1:17" ht="12" customHeight="1">
      <c r="B12" s="828" t="s">
        <v>545</v>
      </c>
      <c r="C12" s="828"/>
      <c r="D12" s="583">
        <v>91175</v>
      </c>
      <c r="E12" s="585">
        <v>14788383.75</v>
      </c>
      <c r="F12" s="573"/>
      <c r="G12" s="583">
        <v>148722</v>
      </c>
      <c r="H12" s="585">
        <v>24417481.780000001</v>
      </c>
      <c r="I12" s="573"/>
      <c r="J12" s="583">
        <v>150565</v>
      </c>
      <c r="K12" s="585">
        <v>31583813.329999998</v>
      </c>
      <c r="L12" s="573"/>
      <c r="M12" s="583">
        <v>131650</v>
      </c>
      <c r="N12" s="585">
        <v>25467917.699999999</v>
      </c>
      <c r="O12" s="573"/>
    </row>
    <row r="13" spans="1:17" ht="12" customHeight="1">
      <c r="B13" s="828" t="s">
        <v>546</v>
      </c>
      <c r="C13" s="828"/>
      <c r="D13" s="583">
        <v>93039</v>
      </c>
      <c r="E13" s="585">
        <v>15437520.27</v>
      </c>
      <c r="F13" s="573"/>
      <c r="G13" s="583">
        <v>157530</v>
      </c>
      <c r="H13" s="585">
        <v>26124952.140000001</v>
      </c>
      <c r="I13" s="573"/>
      <c r="J13" s="583">
        <v>154388</v>
      </c>
      <c r="K13" s="585">
        <v>32031494.09</v>
      </c>
      <c r="L13" s="573"/>
      <c r="M13" s="583">
        <v>122934</v>
      </c>
      <c r="N13" s="585">
        <v>24455385.77</v>
      </c>
      <c r="O13" s="573"/>
    </row>
    <row r="14" spans="1:17" ht="12" customHeight="1">
      <c r="B14" s="828" t="s">
        <v>1126</v>
      </c>
      <c r="C14" s="828"/>
      <c r="D14" s="583">
        <v>5960</v>
      </c>
      <c r="E14" s="585">
        <v>478133.7</v>
      </c>
      <c r="F14" s="573"/>
      <c r="G14" s="583">
        <v>9585</v>
      </c>
      <c r="H14" s="585">
        <v>890070.45</v>
      </c>
      <c r="I14" s="573"/>
      <c r="J14" s="583">
        <v>9187</v>
      </c>
      <c r="K14" s="585">
        <v>919634.9</v>
      </c>
      <c r="L14" s="573"/>
      <c r="M14" s="583">
        <v>9328</v>
      </c>
      <c r="N14" s="585">
        <v>919321.96</v>
      </c>
      <c r="O14" s="573"/>
    </row>
    <row r="15" spans="1:17" ht="12" customHeight="1">
      <c r="B15" s="828" t="s">
        <v>1127</v>
      </c>
      <c r="C15" s="828"/>
      <c r="D15" s="583">
        <v>1086</v>
      </c>
      <c r="E15" s="585">
        <v>294920.27</v>
      </c>
      <c r="F15" s="573"/>
      <c r="G15" s="583">
        <v>1629</v>
      </c>
      <c r="H15" s="585">
        <v>459460.28</v>
      </c>
      <c r="I15" s="573"/>
      <c r="J15" s="583">
        <v>1570</v>
      </c>
      <c r="K15" s="585">
        <v>571609.68999999994</v>
      </c>
      <c r="L15" s="573"/>
      <c r="M15" s="583">
        <v>1005</v>
      </c>
      <c r="N15" s="585">
        <v>380239.59</v>
      </c>
      <c r="O15" s="573"/>
    </row>
    <row r="16" spans="1:17" ht="18" customHeight="1">
      <c r="B16" s="586" t="s">
        <v>1128</v>
      </c>
      <c r="C16" s="586"/>
      <c r="D16" s="587">
        <v>2566</v>
      </c>
      <c r="E16" s="588">
        <v>813724.61</v>
      </c>
      <c r="F16" s="586"/>
      <c r="G16" s="589">
        <v>3390</v>
      </c>
      <c r="H16" s="590">
        <v>1109008.49</v>
      </c>
      <c r="I16" s="586"/>
      <c r="J16" s="589">
        <v>4471</v>
      </c>
      <c r="K16" s="590">
        <v>1634391.35</v>
      </c>
      <c r="L16" s="586"/>
      <c r="M16" s="589">
        <v>5459</v>
      </c>
      <c r="N16" s="590">
        <v>2364819.5699999998</v>
      </c>
      <c r="O16" s="573"/>
    </row>
    <row r="17" spans="2:16">
      <c r="B17" s="591"/>
      <c r="C17" s="592" t="s">
        <v>1129</v>
      </c>
      <c r="D17" s="601">
        <f>SUM(D6:D16)</f>
        <v>318386</v>
      </c>
      <c r="E17" s="602">
        <f>SUM(E6:E16)</f>
        <v>56242862.670000009</v>
      </c>
      <c r="F17" s="592"/>
      <c r="G17" s="601">
        <f>SUM(G6:G16)</f>
        <v>492333</v>
      </c>
      <c r="H17" s="602">
        <f>SUM(H6:H16)</f>
        <v>82633842.75</v>
      </c>
      <c r="I17" s="592"/>
      <c r="J17" s="601">
        <f>SUM(J6:J16)</f>
        <v>478439</v>
      </c>
      <c r="K17" s="602">
        <f>SUM(K6:K16)</f>
        <v>101642687.23999999</v>
      </c>
      <c r="L17" s="592"/>
      <c r="M17" s="601">
        <f>SUM(M6:M16)</f>
        <v>428634</v>
      </c>
      <c r="N17" s="602">
        <f>SUM(N6:N16)</f>
        <v>85337590.219999984</v>
      </c>
      <c r="O17" s="573"/>
    </row>
    <row r="18" spans="2:16" ht="6" customHeight="1">
      <c r="B18" s="573"/>
      <c r="C18" s="573"/>
      <c r="D18" s="575"/>
      <c r="E18" s="573"/>
      <c r="F18" s="573"/>
      <c r="G18" s="575"/>
      <c r="H18" s="593"/>
      <c r="I18" s="573"/>
      <c r="J18" s="575"/>
      <c r="K18" s="593"/>
      <c r="L18" s="576"/>
      <c r="M18" s="594"/>
      <c r="N18" s="584"/>
      <c r="O18" s="573"/>
    </row>
    <row r="19" spans="2:16" s="3" customFormat="1" ht="12" customHeight="1">
      <c r="B19" s="595" t="s">
        <v>246</v>
      </c>
      <c r="C19" s="595"/>
      <c r="D19" s="596"/>
      <c r="E19" s="595"/>
      <c r="F19" s="595"/>
      <c r="G19" s="596"/>
      <c r="H19" s="595"/>
      <c r="I19" s="595"/>
      <c r="J19" s="596"/>
      <c r="K19" s="595"/>
      <c r="L19" s="597"/>
      <c r="M19" s="596"/>
      <c r="N19" s="595"/>
      <c r="O19" s="595"/>
    </row>
    <row r="20" spans="2:16" s="3" customFormat="1" ht="12" customHeight="1">
      <c r="B20" s="595" t="s">
        <v>1130</v>
      </c>
      <c r="C20" s="595"/>
      <c r="D20" s="596"/>
      <c r="E20" s="595"/>
      <c r="F20" s="595"/>
      <c r="G20" s="596"/>
      <c r="H20" s="595"/>
      <c r="I20" s="595"/>
      <c r="J20" s="596"/>
      <c r="K20" s="595"/>
      <c r="L20" s="597"/>
      <c r="M20" s="596"/>
      <c r="N20" s="595"/>
      <c r="O20" s="595"/>
    </row>
    <row r="21" spans="2:16" s="3" customFormat="1" ht="12" customHeight="1">
      <c r="B21" s="598" t="s">
        <v>1131</v>
      </c>
      <c r="C21" s="232"/>
      <c r="D21" s="232"/>
      <c r="E21" s="232"/>
      <c r="F21" s="232"/>
      <c r="G21" s="232"/>
      <c r="H21" s="232"/>
      <c r="I21" s="232"/>
      <c r="J21" s="232"/>
      <c r="K21" s="232"/>
      <c r="L21" s="232"/>
      <c r="M21" s="232"/>
      <c r="N21" s="232"/>
      <c r="O21" s="595"/>
    </row>
    <row r="22" spans="2:16" s="3" customFormat="1" ht="12" customHeight="1">
      <c r="B22" s="599"/>
      <c r="C22" s="595"/>
      <c r="D22" s="596"/>
      <c r="E22" s="595"/>
      <c r="F22" s="595"/>
      <c r="G22" s="596"/>
      <c r="H22" s="595"/>
      <c r="I22" s="595"/>
      <c r="J22" s="596"/>
      <c r="K22" s="595"/>
      <c r="L22" s="597"/>
      <c r="M22" s="596"/>
      <c r="N22" s="595"/>
      <c r="O22" s="595"/>
    </row>
    <row r="23" spans="2:16" ht="6" customHeight="1">
      <c r="B23" s="66"/>
      <c r="C23" s="66"/>
      <c r="D23" s="66"/>
      <c r="E23" s="66"/>
      <c r="F23" s="66"/>
      <c r="G23" s="66"/>
      <c r="H23" s="66"/>
      <c r="I23" s="66"/>
      <c r="J23" s="66"/>
      <c r="K23" s="66"/>
      <c r="L23" s="66"/>
      <c r="M23" s="66"/>
      <c r="N23" s="66"/>
      <c r="O23" s="66"/>
    </row>
    <row r="24" spans="2:16" ht="6" customHeight="1">
      <c r="B24" s="66"/>
      <c r="C24" s="66"/>
      <c r="D24" s="66"/>
      <c r="E24" s="66"/>
      <c r="F24" s="66"/>
      <c r="G24" s="66"/>
      <c r="H24" s="66"/>
      <c r="I24" s="66"/>
      <c r="J24" s="66"/>
      <c r="K24" s="66"/>
      <c r="L24" s="66"/>
      <c r="M24" s="66"/>
      <c r="N24" s="66"/>
      <c r="O24" s="66"/>
    </row>
    <row r="25" spans="2:16" ht="15.5">
      <c r="B25" s="226" t="s">
        <v>1113</v>
      </c>
      <c r="C25" s="66"/>
      <c r="D25" s="66"/>
      <c r="E25" s="66"/>
      <c r="F25" s="66"/>
      <c r="G25" s="66"/>
      <c r="H25" s="66"/>
      <c r="I25" s="66"/>
      <c r="J25" s="66"/>
      <c r="K25" s="66"/>
      <c r="L25" s="66"/>
      <c r="M25" s="66"/>
      <c r="N25" s="66"/>
      <c r="O25" s="66"/>
      <c r="P25" s="276"/>
    </row>
    <row r="26" spans="2:16">
      <c r="B26" s="233" t="s">
        <v>1114</v>
      </c>
      <c r="C26" s="66"/>
      <c r="D26" s="66"/>
      <c r="E26" s="66"/>
      <c r="F26" s="66"/>
      <c r="G26" s="66"/>
      <c r="H26" s="66"/>
      <c r="I26" s="66"/>
      <c r="J26" s="66"/>
      <c r="K26" s="66"/>
      <c r="L26" s="66"/>
      <c r="M26" s="66"/>
      <c r="N26" s="66"/>
      <c r="O26" s="66"/>
      <c r="P26" s="276"/>
    </row>
    <row r="27" spans="2:16" ht="6" customHeight="1" thickBot="1">
      <c r="B27" s="233"/>
      <c r="C27" s="66"/>
      <c r="D27" s="66"/>
      <c r="E27" s="66"/>
      <c r="F27" s="66"/>
      <c r="G27" s="66"/>
      <c r="H27" s="66"/>
      <c r="I27" s="66"/>
      <c r="J27" s="66"/>
      <c r="K27" s="66"/>
      <c r="L27" s="66"/>
      <c r="M27" s="66"/>
      <c r="N27" s="66"/>
      <c r="O27" s="66"/>
      <c r="P27" s="276"/>
    </row>
    <row r="28" spans="2:16" ht="18" customHeight="1">
      <c r="B28" s="66"/>
      <c r="C28" s="496" t="s">
        <v>237</v>
      </c>
      <c r="D28" s="498" t="s">
        <v>547</v>
      </c>
      <c r="E28" s="66"/>
      <c r="F28" s="494"/>
      <c r="G28" s="494"/>
      <c r="H28" s="494"/>
      <c r="I28" s="494"/>
      <c r="J28" s="494"/>
      <c r="K28" s="494"/>
      <c r="L28" s="494"/>
      <c r="M28" s="494"/>
      <c r="N28" s="494"/>
      <c r="O28" s="66"/>
      <c r="P28" s="276"/>
    </row>
    <row r="29" spans="2:16" ht="12.5" customHeight="1">
      <c r="B29" s="66"/>
      <c r="C29" s="187">
        <v>2012</v>
      </c>
      <c r="D29" s="81">
        <v>17368776.620000001</v>
      </c>
      <c r="E29" s="66"/>
      <c r="F29" s="66"/>
      <c r="G29" s="66"/>
      <c r="H29" s="66"/>
      <c r="I29" s="66"/>
      <c r="J29" s="66"/>
      <c r="K29" s="66"/>
      <c r="L29" s="66"/>
      <c r="M29" s="66"/>
      <c r="N29" s="66"/>
      <c r="O29" s="66"/>
      <c r="P29" s="276"/>
    </row>
    <row r="30" spans="2:16" ht="12.5" customHeight="1">
      <c r="B30" s="66"/>
      <c r="C30" s="187">
        <v>2013</v>
      </c>
      <c r="D30" s="82">
        <v>18211926.469999999</v>
      </c>
      <c r="E30" s="66"/>
      <c r="F30" s="66"/>
      <c r="G30" s="66"/>
      <c r="H30" s="66"/>
      <c r="I30" s="66"/>
      <c r="J30" s="66"/>
      <c r="K30" s="66"/>
      <c r="L30" s="66"/>
      <c r="M30" s="66"/>
      <c r="N30" s="66"/>
      <c r="O30" s="66"/>
      <c r="P30" s="276"/>
    </row>
    <row r="31" spans="2:16" ht="12.5" customHeight="1">
      <c r="B31" s="66"/>
      <c r="C31" s="187">
        <v>2014</v>
      </c>
      <c r="D31" s="82">
        <v>19469019.920000002</v>
      </c>
      <c r="E31" s="66"/>
      <c r="F31" s="66"/>
      <c r="G31" s="66"/>
      <c r="H31" s="66"/>
      <c r="I31" s="66"/>
      <c r="J31" s="66"/>
      <c r="K31" s="66"/>
      <c r="L31" s="66"/>
      <c r="M31" s="66"/>
      <c r="N31" s="66"/>
      <c r="O31" s="66"/>
      <c r="P31" s="276"/>
    </row>
    <row r="32" spans="2:16" ht="12.5" customHeight="1">
      <c r="B32" s="66"/>
      <c r="C32" s="187">
        <v>2015</v>
      </c>
      <c r="D32" s="82">
        <v>19206043.66</v>
      </c>
      <c r="E32" s="66"/>
      <c r="F32" s="66"/>
      <c r="G32" s="66"/>
      <c r="H32" s="66"/>
      <c r="I32" s="66"/>
      <c r="J32" s="66"/>
      <c r="K32" s="66"/>
      <c r="L32" s="66"/>
      <c r="M32" s="66"/>
      <c r="N32" s="66"/>
      <c r="O32" s="66"/>
      <c r="P32" s="276"/>
    </row>
    <row r="33" spans="2:16" ht="12.5" customHeight="1">
      <c r="B33" s="66"/>
      <c r="C33" s="187">
        <v>2016</v>
      </c>
      <c r="D33" s="82">
        <v>16359793.289999999</v>
      </c>
      <c r="E33" s="66"/>
      <c r="F33" s="66"/>
      <c r="G33" s="66"/>
      <c r="H33" s="66"/>
      <c r="I33" s="66"/>
      <c r="J33" s="66"/>
      <c r="K33" s="66"/>
      <c r="L33" s="66"/>
      <c r="M33" s="66"/>
      <c r="N33" s="66"/>
      <c r="O33" s="66"/>
      <c r="P33" s="276"/>
    </row>
    <row r="34" spans="2:16" ht="12.5" customHeight="1">
      <c r="B34" s="66"/>
      <c r="C34" s="187">
        <v>2017</v>
      </c>
      <c r="D34" s="82">
        <v>17431562.34</v>
      </c>
      <c r="E34" s="66"/>
      <c r="F34" s="66"/>
      <c r="G34" s="66"/>
      <c r="H34" s="66"/>
      <c r="I34" s="66"/>
      <c r="J34" s="66"/>
      <c r="K34" s="66"/>
      <c r="L34" s="66"/>
      <c r="M34" s="66"/>
      <c r="N34" s="66"/>
      <c r="O34" s="323"/>
      <c r="P34" s="276"/>
    </row>
    <row r="35" spans="2:16" ht="12.5" customHeight="1">
      <c r="B35" s="66"/>
      <c r="C35" s="187">
        <v>2018</v>
      </c>
      <c r="D35" s="82">
        <v>16204019.57</v>
      </c>
      <c r="E35" s="66"/>
      <c r="F35" s="66"/>
      <c r="G35" s="66"/>
      <c r="H35" s="66"/>
      <c r="I35" s="66"/>
      <c r="J35" s="66"/>
      <c r="K35" s="66"/>
      <c r="L35" s="66"/>
      <c r="M35" s="66"/>
      <c r="N35" s="66"/>
      <c r="O35" s="324"/>
      <c r="P35" s="276"/>
    </row>
    <row r="36" spans="2:16" ht="12.5" customHeight="1">
      <c r="B36" s="66"/>
      <c r="C36" s="187">
        <v>2019</v>
      </c>
      <c r="D36" s="82">
        <v>17428289.379999999</v>
      </c>
      <c r="E36" s="66"/>
      <c r="F36" s="66"/>
      <c r="G36" s="66"/>
      <c r="H36" s="66"/>
      <c r="I36" s="66"/>
      <c r="J36" s="66"/>
      <c r="K36" s="66"/>
      <c r="L36" s="66"/>
      <c r="M36" s="66"/>
      <c r="N36" s="66"/>
      <c r="O36" s="325">
        <f>D36/D35-1</f>
        <v>7.5553464047068974E-2</v>
      </c>
      <c r="P36" s="276"/>
    </row>
    <row r="37" spans="2:16" s="3" customFormat="1" ht="12.5" customHeight="1">
      <c r="B37" s="65"/>
      <c r="C37" s="187">
        <v>2020</v>
      </c>
      <c r="D37" s="82">
        <v>18570711.949999999</v>
      </c>
      <c r="E37" s="65"/>
      <c r="F37" s="66"/>
      <c r="G37" s="66"/>
      <c r="H37" s="66"/>
      <c r="I37" s="66"/>
      <c r="J37" s="66"/>
      <c r="K37" s="66"/>
      <c r="L37" s="66"/>
      <c r="M37" s="66"/>
      <c r="N37" s="66"/>
      <c r="O37" s="325"/>
      <c r="P37" s="276"/>
    </row>
    <row r="38" spans="2:16" s="3" customFormat="1" ht="12.5" customHeight="1">
      <c r="B38" s="65"/>
      <c r="C38" s="187">
        <v>2021</v>
      </c>
      <c r="D38" s="82">
        <v>19281706.66</v>
      </c>
      <c r="E38" s="65"/>
      <c r="F38" s="326"/>
      <c r="G38" s="326"/>
      <c r="H38" s="326"/>
      <c r="I38" s="326"/>
      <c r="J38" s="326"/>
      <c r="K38" s="326"/>
      <c r="L38" s="326"/>
      <c r="M38" s="326"/>
      <c r="N38" s="326"/>
      <c r="O38" s="323"/>
      <c r="P38" s="276"/>
    </row>
    <row r="39" spans="2:16" s="3" customFormat="1" ht="12.5" customHeight="1">
      <c r="B39" s="65"/>
      <c r="C39" s="187">
        <v>2022</v>
      </c>
      <c r="D39" s="82">
        <v>27012720.899999999</v>
      </c>
      <c r="E39" s="65"/>
      <c r="F39" s="326"/>
      <c r="G39" s="326"/>
      <c r="H39" s="326"/>
      <c r="I39" s="326"/>
      <c r="J39" s="326"/>
      <c r="K39" s="326"/>
      <c r="L39" s="326"/>
      <c r="M39" s="326"/>
      <c r="N39" s="326"/>
      <c r="O39" s="323"/>
      <c r="P39" s="276"/>
    </row>
    <row r="40" spans="2:16" s="3" customFormat="1" ht="12.5" customHeight="1">
      <c r="B40" s="65"/>
      <c r="C40" s="187">
        <v>2023</v>
      </c>
      <c r="D40" s="82">
        <v>22883149.32</v>
      </c>
      <c r="E40" s="65"/>
      <c r="F40" s="326"/>
      <c r="G40" s="326"/>
      <c r="H40" s="326"/>
      <c r="I40" s="326"/>
      <c r="J40" s="326"/>
      <c r="K40" s="326"/>
      <c r="L40" s="326"/>
      <c r="M40" s="326"/>
      <c r="N40" s="326"/>
      <c r="O40" s="323"/>
      <c r="P40" s="276"/>
    </row>
    <row r="41" spans="2:16" s="3" customFormat="1" ht="6" customHeight="1">
      <c r="B41" s="187"/>
      <c r="C41" s="326"/>
      <c r="D41" s="82"/>
      <c r="E41" s="326"/>
      <c r="F41" s="326"/>
      <c r="G41" s="326"/>
      <c r="H41" s="326"/>
      <c r="I41" s="326"/>
      <c r="J41" s="326"/>
      <c r="K41" s="326"/>
      <c r="L41" s="326"/>
      <c r="M41" s="326"/>
      <c r="N41" s="326"/>
      <c r="O41" s="323"/>
      <c r="P41" s="276"/>
    </row>
    <row r="42" spans="2:16" s="3" customFormat="1" ht="12" customHeight="1">
      <c r="B42" s="328" t="s">
        <v>246</v>
      </c>
      <c r="C42" s="570"/>
      <c r="D42" s="232"/>
      <c r="E42" s="570"/>
      <c r="F42" s="570"/>
      <c r="G42" s="570"/>
      <c r="H42" s="570"/>
      <c r="I42" s="570"/>
      <c r="J42" s="570"/>
      <c r="K42" s="570"/>
      <c r="L42" s="570"/>
      <c r="M42" s="570"/>
      <c r="N42" s="570"/>
      <c r="O42" s="232"/>
      <c r="P42" s="571"/>
    </row>
    <row r="43" spans="2:16" s="3" customFormat="1" ht="24" customHeight="1">
      <c r="B43" s="829" t="s">
        <v>1132</v>
      </c>
      <c r="C43" s="830"/>
      <c r="D43" s="830"/>
      <c r="E43" s="830"/>
      <c r="F43" s="830"/>
      <c r="G43" s="830"/>
      <c r="H43" s="830"/>
      <c r="I43" s="830"/>
      <c r="J43" s="830"/>
      <c r="K43" s="830"/>
      <c r="L43" s="830"/>
      <c r="M43" s="830"/>
      <c r="N43" s="830"/>
      <c r="O43" s="232"/>
    </row>
    <row r="45" spans="2:16">
      <c r="B45" s="7" t="s">
        <v>1115</v>
      </c>
    </row>
    <row r="46" spans="2:16">
      <c r="B46" s="7"/>
    </row>
  </sheetData>
  <mergeCells count="12">
    <mergeCell ref="B14:C14"/>
    <mergeCell ref="B15:C15"/>
    <mergeCell ref="B43:N43"/>
    <mergeCell ref="B4:C4"/>
    <mergeCell ref="B5:C5"/>
    <mergeCell ref="B6:C6"/>
    <mergeCell ref="B7:C7"/>
    <mergeCell ref="B8:C8"/>
    <mergeCell ref="B9:C9"/>
    <mergeCell ref="B10:C10"/>
    <mergeCell ref="B12:C12"/>
    <mergeCell ref="B13:C13"/>
  </mergeCells>
  <hyperlinks>
    <hyperlink ref="A1" location="TOC!A1" display="Back" xr:uid="{8EEE8B9A-DE3C-4A93-A765-60DC71C60669}"/>
  </hyperlinks>
  <pageMargins left="0.5" right="0.5" top="0.4" bottom="0.8" header="0.25" footer="0.35"/>
  <pageSetup scale="96" orientation="landscape" cellComments="asDisplayed" r:id="rId1"/>
  <headerFooter scaleWithDoc="0">
    <oddHeader>&amp;R&amp;P</oddHeader>
    <oddFooter>&amp;R&amp;G&amp;L© 2025 Virginia Department of Taxation, All Rights Reserved</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0ABC6-C889-4B36-BD15-ACC31B07FDD9}">
  <sheetPr codeName="Sheet30">
    <pageSetUpPr fitToPage="1"/>
  </sheetPr>
  <dimension ref="A1:Q54"/>
  <sheetViews>
    <sheetView zoomScale="90" zoomScaleNormal="90" workbookViewId="0"/>
  </sheetViews>
  <sheetFormatPr defaultRowHeight="13"/>
  <cols>
    <col min="1" max="1" width="4.69921875" customWidth="1"/>
    <col min="2" max="2" width="58.69921875" customWidth="1"/>
    <col min="3" max="3" width="8.296875" hidden="1" customWidth="1"/>
    <col min="4" max="4" width="9.09765625" hidden="1" customWidth="1"/>
    <col min="5" max="5" width="1.69921875" customWidth="1"/>
    <col min="6" max="7" width="11.69921875" customWidth="1"/>
    <col min="8" max="8" width="1.69921875" customWidth="1"/>
    <col min="9" max="10" width="11.69921875" customWidth="1"/>
    <col min="11" max="11" width="1.69921875" customWidth="1"/>
    <col min="12" max="15" width="11.69921875" customWidth="1"/>
    <col min="16" max="16" width="1.69921875" customWidth="1"/>
    <col min="17" max="17" width="5.19921875" customWidth="1"/>
  </cols>
  <sheetData>
    <row r="1" spans="1:17" ht="15.5">
      <c r="A1" s="813" t="s">
        <v>42</v>
      </c>
      <c r="B1" s="63" t="s">
        <v>1080</v>
      </c>
      <c r="C1" s="568"/>
      <c r="D1" s="568"/>
      <c r="E1" s="568"/>
      <c r="F1" s="568"/>
      <c r="G1" s="568"/>
      <c r="H1" s="568"/>
      <c r="I1" s="569"/>
      <c r="J1" s="568"/>
      <c r="K1" s="568"/>
      <c r="L1" s="569"/>
      <c r="M1" s="568"/>
      <c r="N1" s="543"/>
      <c r="O1" s="543"/>
      <c r="Q1" s="8"/>
    </row>
    <row r="2" spans="1:17">
      <c r="B2" s="64" t="s">
        <v>1081</v>
      </c>
      <c r="C2" s="543"/>
      <c r="D2" s="568"/>
      <c r="E2" s="568"/>
      <c r="F2" s="568"/>
      <c r="G2" s="568"/>
      <c r="H2" s="568"/>
      <c r="I2" s="569"/>
      <c r="J2" s="568"/>
      <c r="K2" s="568"/>
      <c r="L2" s="569"/>
      <c r="M2" s="568"/>
      <c r="N2" s="543"/>
      <c r="O2" s="543"/>
    </row>
    <row r="3" spans="1:17" ht="6" customHeight="1" thickBot="1">
      <c r="B3" s="543"/>
      <c r="C3" s="543"/>
      <c r="D3" s="543"/>
      <c r="E3" s="543"/>
      <c r="F3" s="543"/>
      <c r="G3" s="543"/>
      <c r="H3" s="543"/>
      <c r="I3" s="544"/>
      <c r="J3" s="543"/>
      <c r="K3" s="543"/>
      <c r="L3" s="544"/>
      <c r="M3" s="543"/>
      <c r="N3" s="543"/>
      <c r="O3" s="543"/>
    </row>
    <row r="4" spans="1:17">
      <c r="B4" s="545"/>
      <c r="C4" s="546" t="s" vm="1">
        <v>591</v>
      </c>
      <c r="D4" s="547"/>
      <c r="E4" s="548"/>
      <c r="F4" s="546" t="s" vm="2">
        <v>592</v>
      </c>
      <c r="G4" s="547"/>
      <c r="H4" s="548"/>
      <c r="I4" s="546" t="s" vm="3">
        <v>163</v>
      </c>
      <c r="J4" s="547"/>
      <c r="K4" s="548"/>
      <c r="L4" s="546" t="s" vm="4">
        <v>1442</v>
      </c>
      <c r="M4" s="547"/>
      <c r="N4" s="543"/>
      <c r="O4" s="543"/>
    </row>
    <row r="5" spans="1:17">
      <c r="B5" s="549" t="s">
        <v>1082</v>
      </c>
      <c r="C5" s="550" t="s">
        <v>1083</v>
      </c>
      <c r="D5" s="550" t="s">
        <v>796</v>
      </c>
      <c r="E5" s="550"/>
      <c r="F5" s="550" t="s">
        <v>1083</v>
      </c>
      <c r="G5" s="550" t="s">
        <v>796</v>
      </c>
      <c r="H5" s="550"/>
      <c r="I5" s="550" t="s">
        <v>1083</v>
      </c>
      <c r="J5" s="550" t="s">
        <v>796</v>
      </c>
      <c r="K5" s="550"/>
      <c r="L5" s="550" t="s">
        <v>1083</v>
      </c>
      <c r="M5" s="550" t="s">
        <v>796</v>
      </c>
      <c r="N5" s="543"/>
      <c r="O5" s="543"/>
    </row>
    <row r="6" spans="1:17" ht="19" customHeight="1">
      <c r="B6" s="551" t="s">
        <v>1084</v>
      </c>
      <c r="C6" s="544">
        <v>990</v>
      </c>
      <c r="D6" s="552">
        <v>539147.93999999994</v>
      </c>
      <c r="E6" s="552"/>
      <c r="F6" s="544">
        <v>1120</v>
      </c>
      <c r="G6" s="552">
        <v>776164.14</v>
      </c>
      <c r="H6" s="543"/>
      <c r="I6" s="544">
        <v>822</v>
      </c>
      <c r="J6" s="552">
        <v>556382.52</v>
      </c>
      <c r="K6" s="543"/>
      <c r="L6" s="544">
        <v>610</v>
      </c>
      <c r="M6" s="552">
        <v>551578.92000000004</v>
      </c>
      <c r="N6" s="543"/>
      <c r="O6" s="543"/>
    </row>
    <row r="7" spans="1:17">
      <c r="B7" s="553" t="s">
        <v>1454</v>
      </c>
      <c r="C7" s="544">
        <v>3749</v>
      </c>
      <c r="D7" s="544">
        <v>125141.78</v>
      </c>
      <c r="E7" s="544"/>
      <c r="F7" s="544">
        <v>3598</v>
      </c>
      <c r="G7" s="544">
        <v>116249.9</v>
      </c>
      <c r="H7" s="543"/>
      <c r="I7" s="544">
        <v>3082</v>
      </c>
      <c r="J7" s="544">
        <v>102038.86</v>
      </c>
      <c r="K7" s="543"/>
      <c r="L7" s="544">
        <v>2782</v>
      </c>
      <c r="M7" s="544">
        <v>96166.53</v>
      </c>
      <c r="N7" s="543"/>
      <c r="O7" s="543"/>
    </row>
    <row r="8" spans="1:17">
      <c r="B8" s="553" t="s">
        <v>1085</v>
      </c>
      <c r="C8" s="544">
        <v>3942</v>
      </c>
      <c r="D8" s="544">
        <v>88010.3</v>
      </c>
      <c r="E8" s="544"/>
      <c r="F8" s="544">
        <v>4496</v>
      </c>
      <c r="G8" s="544">
        <v>112371.43</v>
      </c>
      <c r="H8" s="543"/>
      <c r="I8" s="544">
        <v>3360</v>
      </c>
      <c r="J8" s="544">
        <v>82809.070000000007</v>
      </c>
      <c r="K8" s="543"/>
      <c r="L8" s="544">
        <v>2829</v>
      </c>
      <c r="M8" s="544">
        <v>68781.84</v>
      </c>
      <c r="N8" s="543"/>
      <c r="O8" s="543"/>
    </row>
    <row r="9" spans="1:17">
      <c r="B9" s="553" t="s">
        <v>1086</v>
      </c>
      <c r="C9" s="333">
        <v>3573</v>
      </c>
      <c r="D9" s="544">
        <v>96239.74</v>
      </c>
      <c r="E9" s="544"/>
      <c r="F9" s="333">
        <v>3340</v>
      </c>
      <c r="G9" s="544">
        <v>89584.19</v>
      </c>
      <c r="H9" s="543"/>
      <c r="I9" s="333">
        <v>2895</v>
      </c>
      <c r="J9" s="544">
        <v>75393.149999999994</v>
      </c>
      <c r="K9" s="543"/>
      <c r="L9" s="544">
        <v>2478</v>
      </c>
      <c r="M9" s="544">
        <v>67882.36</v>
      </c>
      <c r="N9" s="543"/>
      <c r="O9" s="543"/>
    </row>
    <row r="10" spans="1:17">
      <c r="B10" s="553" t="s">
        <v>1088</v>
      </c>
      <c r="C10" s="333">
        <v>3260</v>
      </c>
      <c r="D10" s="544">
        <v>73213.77</v>
      </c>
      <c r="E10" s="544"/>
      <c r="F10" s="333">
        <v>3637</v>
      </c>
      <c r="G10" s="544">
        <v>85280.59</v>
      </c>
      <c r="H10" s="543"/>
      <c r="I10" s="333">
        <v>2725</v>
      </c>
      <c r="J10" s="544">
        <v>58310.71</v>
      </c>
      <c r="K10" s="543"/>
      <c r="L10" s="544">
        <v>2403</v>
      </c>
      <c r="M10" s="544">
        <v>53492.15</v>
      </c>
      <c r="N10" s="543"/>
      <c r="O10" s="543"/>
    </row>
    <row r="11" spans="1:17">
      <c r="B11" s="553" t="s">
        <v>1087</v>
      </c>
      <c r="C11" s="544">
        <v>2194</v>
      </c>
      <c r="D11" s="544">
        <v>62230.15</v>
      </c>
      <c r="E11" s="544"/>
      <c r="F11" s="544">
        <v>2666</v>
      </c>
      <c r="G11" s="544">
        <v>76358.090000000011</v>
      </c>
      <c r="H11" s="543"/>
      <c r="I11" s="544">
        <v>2057</v>
      </c>
      <c r="J11" s="544">
        <v>60378.909999999996</v>
      </c>
      <c r="K11" s="543"/>
      <c r="L11" s="544">
        <v>1785</v>
      </c>
      <c r="M11" s="544">
        <v>51801.909999999996</v>
      </c>
      <c r="N11" s="543"/>
      <c r="O11" s="543"/>
    </row>
    <row r="12" spans="1:17">
      <c r="B12" s="553" t="s">
        <v>1091</v>
      </c>
      <c r="C12" s="544">
        <v>1971</v>
      </c>
      <c r="D12" s="544">
        <v>53863.61</v>
      </c>
      <c r="E12" s="544"/>
      <c r="F12" s="544">
        <v>1841</v>
      </c>
      <c r="G12" s="544">
        <v>48734.49</v>
      </c>
      <c r="H12" s="543"/>
      <c r="I12" s="544">
        <v>1682</v>
      </c>
      <c r="J12" s="544">
        <v>42587.53</v>
      </c>
      <c r="K12" s="543"/>
      <c r="L12" s="544">
        <v>1548</v>
      </c>
      <c r="M12" s="544">
        <v>49257.05</v>
      </c>
      <c r="N12" s="543"/>
      <c r="O12" s="543"/>
    </row>
    <row r="13" spans="1:17">
      <c r="B13" s="553" t="s">
        <v>1090</v>
      </c>
      <c r="C13" s="544">
        <v>2527</v>
      </c>
      <c r="D13" s="544">
        <v>53769.68</v>
      </c>
      <c r="E13" s="544"/>
      <c r="F13" s="544">
        <v>2477</v>
      </c>
      <c r="G13" s="544">
        <v>51003.83</v>
      </c>
      <c r="H13" s="543"/>
      <c r="I13" s="544">
        <v>2208</v>
      </c>
      <c r="J13" s="544">
        <v>48205.74</v>
      </c>
      <c r="K13" s="543"/>
      <c r="L13" s="544">
        <v>2025</v>
      </c>
      <c r="M13" s="544">
        <v>44636.85</v>
      </c>
      <c r="N13" s="543"/>
      <c r="O13" s="543"/>
    </row>
    <row r="14" spans="1:17">
      <c r="B14" s="553" t="s">
        <v>1089</v>
      </c>
      <c r="C14" s="544">
        <v>2469</v>
      </c>
      <c r="D14" s="544">
        <v>56612.87</v>
      </c>
      <c r="E14" s="544"/>
      <c r="F14" s="544">
        <v>2862</v>
      </c>
      <c r="G14" s="544">
        <v>76428.210000000006</v>
      </c>
      <c r="H14" s="543"/>
      <c r="I14" s="544">
        <v>2117</v>
      </c>
      <c r="J14" s="544">
        <v>50218.03</v>
      </c>
      <c r="K14" s="543"/>
      <c r="L14" s="544">
        <v>1760</v>
      </c>
      <c r="M14" s="544">
        <v>38698.65</v>
      </c>
      <c r="N14" s="543"/>
      <c r="O14" s="543"/>
    </row>
    <row r="15" spans="1:17">
      <c r="B15" s="553" t="s">
        <v>1096</v>
      </c>
      <c r="C15" s="544">
        <v>1928</v>
      </c>
      <c r="D15" s="544">
        <v>38982.79</v>
      </c>
      <c r="E15" s="544"/>
      <c r="F15" s="544">
        <v>2047</v>
      </c>
      <c r="G15" s="544">
        <v>42576.42</v>
      </c>
      <c r="H15" s="543"/>
      <c r="I15" s="544">
        <v>1752</v>
      </c>
      <c r="J15" s="544">
        <v>37366.800000000003</v>
      </c>
      <c r="K15" s="543"/>
      <c r="L15" s="544">
        <v>1495</v>
      </c>
      <c r="M15" s="544">
        <v>37996.86</v>
      </c>
      <c r="N15" s="543"/>
      <c r="O15" s="543"/>
    </row>
    <row r="16" spans="1:17">
      <c r="B16" s="553" t="s">
        <v>1092</v>
      </c>
      <c r="C16" s="544">
        <v>2074</v>
      </c>
      <c r="D16" s="544">
        <v>49021.760000000002</v>
      </c>
      <c r="E16" s="544"/>
      <c r="F16" s="544">
        <v>2342</v>
      </c>
      <c r="G16" s="544">
        <v>53713.9</v>
      </c>
      <c r="H16" s="543"/>
      <c r="I16" s="544">
        <v>1849</v>
      </c>
      <c r="J16" s="544">
        <v>42343.27</v>
      </c>
      <c r="K16" s="543"/>
      <c r="L16" s="544">
        <v>1592</v>
      </c>
      <c r="M16" s="544">
        <v>37145.56</v>
      </c>
      <c r="N16" s="543"/>
      <c r="O16" s="543"/>
    </row>
    <row r="17" spans="2:15">
      <c r="B17" s="553" t="s">
        <v>1093</v>
      </c>
      <c r="C17" s="544">
        <v>1963</v>
      </c>
      <c r="D17" s="544">
        <v>43041.58</v>
      </c>
      <c r="E17" s="544"/>
      <c r="F17" s="544">
        <v>2221</v>
      </c>
      <c r="G17" s="544">
        <v>51228.5</v>
      </c>
      <c r="H17" s="543"/>
      <c r="I17" s="544">
        <v>1789</v>
      </c>
      <c r="J17" s="544">
        <v>40031.67</v>
      </c>
      <c r="K17" s="543"/>
      <c r="L17" s="544">
        <v>1471</v>
      </c>
      <c r="M17" s="544">
        <v>32386.720000000001</v>
      </c>
      <c r="N17" s="543"/>
      <c r="O17" s="543"/>
    </row>
    <row r="18" spans="2:15">
      <c r="B18" s="553" t="s">
        <v>1094</v>
      </c>
      <c r="C18" s="544">
        <v>1334</v>
      </c>
      <c r="D18" s="544">
        <v>45103.350000000006</v>
      </c>
      <c r="E18" s="544"/>
      <c r="F18" s="544">
        <v>1292</v>
      </c>
      <c r="G18" s="544">
        <v>41900.310000000005</v>
      </c>
      <c r="H18" s="543"/>
      <c r="I18" s="544">
        <v>1100</v>
      </c>
      <c r="J18" s="544">
        <v>39745.390000000007</v>
      </c>
      <c r="K18" s="543"/>
      <c r="L18" s="544">
        <v>946</v>
      </c>
      <c r="M18" s="544">
        <v>32106.46</v>
      </c>
      <c r="N18" s="543"/>
      <c r="O18" s="543"/>
    </row>
    <row r="19" spans="2:15">
      <c r="B19" s="553" t="s">
        <v>1095</v>
      </c>
      <c r="C19" s="544">
        <v>1931</v>
      </c>
      <c r="D19" s="544">
        <v>40458.980000000003</v>
      </c>
      <c r="E19" s="544"/>
      <c r="F19" s="544">
        <v>2272</v>
      </c>
      <c r="G19" s="544">
        <v>53881.23</v>
      </c>
      <c r="H19" s="543"/>
      <c r="I19" s="544">
        <v>1711</v>
      </c>
      <c r="J19" s="544">
        <v>38274.68</v>
      </c>
      <c r="K19" s="543"/>
      <c r="L19" s="544">
        <v>1458</v>
      </c>
      <c r="M19" s="544">
        <v>30992.31</v>
      </c>
      <c r="N19" s="543"/>
      <c r="O19" s="543"/>
    </row>
    <row r="20" spans="2:15">
      <c r="B20" s="553" t="s">
        <v>1097</v>
      </c>
      <c r="C20" s="544">
        <v>2339</v>
      </c>
      <c r="D20" s="544">
        <v>44696.44</v>
      </c>
      <c r="E20" s="544"/>
      <c r="F20" s="544">
        <v>2675</v>
      </c>
      <c r="G20" s="544">
        <v>52821.64</v>
      </c>
      <c r="H20" s="543"/>
      <c r="I20" s="544">
        <v>1782</v>
      </c>
      <c r="J20" s="544">
        <v>33992.19</v>
      </c>
      <c r="K20" s="543"/>
      <c r="L20" s="544">
        <v>1539</v>
      </c>
      <c r="M20" s="544">
        <v>30405.96</v>
      </c>
      <c r="N20" s="543"/>
      <c r="O20" s="543"/>
    </row>
    <row r="21" spans="2:15" s="3" customFormat="1">
      <c r="B21" s="543" t="s">
        <v>1099</v>
      </c>
      <c r="C21" s="544">
        <v>1395</v>
      </c>
      <c r="D21" s="544">
        <v>32444.66</v>
      </c>
      <c r="E21" s="544"/>
      <c r="F21" s="544">
        <v>1323</v>
      </c>
      <c r="G21" s="544">
        <v>32017.52</v>
      </c>
      <c r="H21" s="543"/>
      <c r="I21" s="544">
        <v>1198</v>
      </c>
      <c r="J21" s="544">
        <v>25696.87</v>
      </c>
      <c r="K21" s="543"/>
      <c r="L21" s="544">
        <v>1090</v>
      </c>
      <c r="M21" s="544">
        <v>29776.25</v>
      </c>
      <c r="N21" s="543"/>
      <c r="O21" s="543"/>
    </row>
    <row r="22" spans="2:15" s="3" customFormat="1">
      <c r="B22" s="553" t="s">
        <v>1098</v>
      </c>
      <c r="C22" s="544">
        <v>1489</v>
      </c>
      <c r="D22" s="544">
        <v>32770.019999999997</v>
      </c>
      <c r="E22" s="544"/>
      <c r="F22" s="544">
        <v>1718</v>
      </c>
      <c r="G22" s="544">
        <v>38062.43</v>
      </c>
      <c r="H22" s="543"/>
      <c r="I22" s="544">
        <v>1289</v>
      </c>
      <c r="J22" s="544">
        <v>29114.22</v>
      </c>
      <c r="K22" s="543"/>
      <c r="L22" s="544">
        <v>1138</v>
      </c>
      <c r="M22" s="544">
        <v>24398.2</v>
      </c>
      <c r="N22" s="543"/>
      <c r="O22" s="543"/>
    </row>
    <row r="23" spans="2:15" s="3" customFormat="1">
      <c r="B23" s="553" t="s">
        <v>1455</v>
      </c>
      <c r="C23" s="544">
        <v>1320</v>
      </c>
      <c r="D23" s="544">
        <v>26706.69</v>
      </c>
      <c r="E23" s="544"/>
      <c r="F23" s="544">
        <v>1402</v>
      </c>
      <c r="G23" s="544">
        <v>28691.1</v>
      </c>
      <c r="H23" s="543"/>
      <c r="I23" s="544">
        <v>1074</v>
      </c>
      <c r="J23" s="544">
        <v>20085.509999999998</v>
      </c>
      <c r="K23" s="543"/>
      <c r="L23" s="544">
        <v>911</v>
      </c>
      <c r="M23" s="544">
        <v>18046.060000000001</v>
      </c>
      <c r="N23" s="543"/>
      <c r="O23" s="543"/>
    </row>
    <row r="24" spans="2:15" s="3" customFormat="1">
      <c r="B24" s="553" t="s">
        <v>1100</v>
      </c>
      <c r="C24" s="544">
        <v>690</v>
      </c>
      <c r="D24" s="544">
        <v>13071.22</v>
      </c>
      <c r="E24" s="544"/>
      <c r="F24" s="544">
        <v>691</v>
      </c>
      <c r="G24" s="544">
        <v>15438</v>
      </c>
      <c r="H24" s="543"/>
      <c r="I24" s="544">
        <v>596</v>
      </c>
      <c r="J24" s="544">
        <v>10422.77</v>
      </c>
      <c r="K24" s="543"/>
      <c r="L24" s="544">
        <v>576</v>
      </c>
      <c r="M24" s="544">
        <v>13148.8</v>
      </c>
      <c r="N24" s="543"/>
      <c r="O24" s="543"/>
    </row>
    <row r="25" spans="2:15" s="3" customFormat="1">
      <c r="B25" s="553" t="s">
        <v>1102</v>
      </c>
      <c r="C25" s="544">
        <v>11</v>
      </c>
      <c r="D25" s="544">
        <v>1206</v>
      </c>
      <c r="E25" s="554"/>
      <c r="F25" s="544">
        <v>9</v>
      </c>
      <c r="G25" s="544">
        <v>593</v>
      </c>
      <c r="H25" s="543"/>
      <c r="I25" s="544">
        <v>6</v>
      </c>
      <c r="J25" s="544">
        <v>137</v>
      </c>
      <c r="K25" s="543"/>
      <c r="L25" s="544">
        <v>8</v>
      </c>
      <c r="M25" s="544">
        <v>287</v>
      </c>
      <c r="N25" s="543"/>
      <c r="O25" s="543"/>
    </row>
    <row r="26" spans="2:15" s="3" customFormat="1">
      <c r="B26" s="553" t="s">
        <v>1103</v>
      </c>
      <c r="C26" s="544">
        <v>0</v>
      </c>
      <c r="D26" s="544">
        <v>0</v>
      </c>
      <c r="E26" s="554"/>
      <c r="F26" s="544">
        <v>1</v>
      </c>
      <c r="G26" s="544">
        <v>1</v>
      </c>
      <c r="H26" s="543"/>
      <c r="I26" s="544">
        <v>3</v>
      </c>
      <c r="J26" s="544">
        <v>76</v>
      </c>
      <c r="K26" s="543"/>
      <c r="L26" s="544">
        <v>1</v>
      </c>
      <c r="M26" s="544">
        <v>2</v>
      </c>
      <c r="N26" s="543"/>
      <c r="O26" s="543"/>
    </row>
    <row r="27" spans="2:15" s="3" customFormat="1">
      <c r="B27" s="553" t="s">
        <v>1104</v>
      </c>
      <c r="C27" s="544">
        <v>3</v>
      </c>
      <c r="D27" s="544">
        <v>55</v>
      </c>
      <c r="E27" s="554"/>
      <c r="F27" s="544">
        <v>3</v>
      </c>
      <c r="G27" s="544">
        <v>61</v>
      </c>
      <c r="H27" s="543"/>
      <c r="I27" s="544">
        <v>5</v>
      </c>
      <c r="J27" s="544">
        <v>71</v>
      </c>
      <c r="K27" s="543"/>
      <c r="L27" s="544">
        <v>1</v>
      </c>
      <c r="M27" s="544">
        <v>2</v>
      </c>
      <c r="N27" s="543"/>
      <c r="O27" s="543"/>
    </row>
    <row r="28" spans="2:15" s="3" customFormat="1">
      <c r="B28" s="553" t="s">
        <v>1101</v>
      </c>
      <c r="C28" s="544">
        <v>2</v>
      </c>
      <c r="D28" s="544">
        <v>105</v>
      </c>
      <c r="E28" s="554"/>
      <c r="F28" s="544">
        <v>4</v>
      </c>
      <c r="G28" s="544">
        <v>131</v>
      </c>
      <c r="H28" s="543"/>
      <c r="I28" s="544">
        <v>7</v>
      </c>
      <c r="J28" s="544">
        <v>236</v>
      </c>
      <c r="K28" s="543"/>
      <c r="L28" s="544">
        <v>0</v>
      </c>
      <c r="M28" s="544">
        <v>0</v>
      </c>
      <c r="N28" s="543"/>
      <c r="O28" s="543"/>
    </row>
    <row r="29" spans="2:15" s="3" customFormat="1">
      <c r="B29" s="553" t="s">
        <v>1105</v>
      </c>
      <c r="C29" s="544">
        <v>1</v>
      </c>
      <c r="D29" s="544">
        <v>50</v>
      </c>
      <c r="E29" s="554"/>
      <c r="F29" s="544">
        <v>1</v>
      </c>
      <c r="G29" s="544">
        <v>1</v>
      </c>
      <c r="H29" s="543"/>
      <c r="I29" s="544">
        <v>2</v>
      </c>
      <c r="J29" s="544">
        <v>26</v>
      </c>
      <c r="K29" s="543"/>
      <c r="L29" s="544">
        <v>0</v>
      </c>
      <c r="M29" s="544">
        <v>0</v>
      </c>
      <c r="N29" s="543"/>
      <c r="O29" s="543"/>
    </row>
    <row r="30" spans="2:15" s="3" customFormat="1">
      <c r="B30" s="553" t="s">
        <v>1106</v>
      </c>
      <c r="C30" s="544">
        <v>0</v>
      </c>
      <c r="D30" s="544">
        <v>0</v>
      </c>
      <c r="E30" s="554"/>
      <c r="F30" s="544">
        <v>1</v>
      </c>
      <c r="G30" s="544">
        <v>1</v>
      </c>
      <c r="H30" s="543"/>
      <c r="I30" s="544">
        <v>1</v>
      </c>
      <c r="J30" s="544">
        <v>1</v>
      </c>
      <c r="K30" s="543"/>
      <c r="L30" s="544">
        <v>0</v>
      </c>
      <c r="M30" s="544">
        <v>0</v>
      </c>
      <c r="N30" s="543"/>
      <c r="O30" s="543"/>
    </row>
    <row r="31" spans="2:15" s="3" customFormat="1">
      <c r="B31" s="553" t="s">
        <v>1456</v>
      </c>
      <c r="C31" s="544">
        <v>0</v>
      </c>
      <c r="D31" s="544">
        <v>0</v>
      </c>
      <c r="E31" s="554"/>
      <c r="F31" s="544">
        <v>0</v>
      </c>
      <c r="G31" s="544">
        <v>0</v>
      </c>
      <c r="H31" s="543"/>
      <c r="I31" s="544">
        <v>0</v>
      </c>
      <c r="J31" s="544">
        <v>0</v>
      </c>
      <c r="K31" s="543"/>
      <c r="L31" s="544">
        <v>0</v>
      </c>
      <c r="M31" s="544">
        <v>0</v>
      </c>
      <c r="N31" s="543"/>
      <c r="O31" s="543"/>
    </row>
    <row r="32" spans="2:15" s="3" customFormat="1">
      <c r="B32" s="553" t="s">
        <v>1457</v>
      </c>
      <c r="C32" s="544">
        <v>0</v>
      </c>
      <c r="D32" s="544">
        <v>0</v>
      </c>
      <c r="E32" s="555"/>
      <c r="F32" s="544">
        <v>0</v>
      </c>
      <c r="G32" s="544">
        <v>0</v>
      </c>
      <c r="H32" s="552"/>
      <c r="I32" s="544">
        <v>0</v>
      </c>
      <c r="J32" s="544">
        <v>0</v>
      </c>
      <c r="K32" s="552"/>
      <c r="L32" s="544">
        <v>0</v>
      </c>
      <c r="M32" s="544">
        <v>0</v>
      </c>
      <c r="N32" s="543"/>
      <c r="O32" s="543"/>
    </row>
    <row r="33" spans="2:15" s="3" customFormat="1">
      <c r="B33" s="553" t="s">
        <v>1458</v>
      </c>
      <c r="C33" s="544">
        <v>0</v>
      </c>
      <c r="D33" s="544">
        <v>0</v>
      </c>
      <c r="E33" s="555"/>
      <c r="F33" s="544">
        <v>0</v>
      </c>
      <c r="G33" s="544">
        <v>0</v>
      </c>
      <c r="H33" s="552"/>
      <c r="I33" s="544">
        <v>0</v>
      </c>
      <c r="J33" s="544">
        <v>0</v>
      </c>
      <c r="K33" s="552"/>
      <c r="L33" s="544">
        <v>0</v>
      </c>
      <c r="M33" s="544">
        <v>0</v>
      </c>
      <c r="N33" s="543"/>
      <c r="O33" s="543"/>
    </row>
    <row r="34" spans="2:15" s="3" customFormat="1">
      <c r="B34" s="553" t="s">
        <v>1459</v>
      </c>
      <c r="C34" s="544">
        <v>0</v>
      </c>
      <c r="D34" s="544">
        <v>0</v>
      </c>
      <c r="E34" s="555"/>
      <c r="F34" s="544">
        <v>0</v>
      </c>
      <c r="G34" s="544">
        <v>0</v>
      </c>
      <c r="H34" s="552"/>
      <c r="I34" s="544">
        <v>0</v>
      </c>
      <c r="J34" s="544">
        <v>0</v>
      </c>
      <c r="K34" s="552"/>
      <c r="L34" s="544">
        <v>0</v>
      </c>
      <c r="M34" s="544">
        <v>0</v>
      </c>
      <c r="N34" s="543"/>
      <c r="O34" s="543"/>
    </row>
    <row r="35" spans="2:15" s="3" customFormat="1">
      <c r="B35" s="553" t="s">
        <v>1460</v>
      </c>
      <c r="C35" s="544">
        <v>0</v>
      </c>
      <c r="D35" s="544">
        <v>0</v>
      </c>
      <c r="E35" s="555"/>
      <c r="F35" s="544">
        <v>0</v>
      </c>
      <c r="G35" s="544">
        <v>0</v>
      </c>
      <c r="H35" s="552"/>
      <c r="I35" s="544">
        <v>0</v>
      </c>
      <c r="J35" s="544">
        <v>0</v>
      </c>
      <c r="K35" s="552"/>
      <c r="L35" s="544">
        <v>0</v>
      </c>
      <c r="M35" s="544">
        <v>0</v>
      </c>
      <c r="N35" s="543"/>
      <c r="O35" s="543"/>
    </row>
    <row r="36" spans="2:15" s="3" customFormat="1">
      <c r="B36" s="553" t="s">
        <v>1107</v>
      </c>
      <c r="C36" s="544">
        <v>0</v>
      </c>
      <c r="D36" s="544">
        <v>0</v>
      </c>
      <c r="E36" s="555"/>
      <c r="F36" s="544">
        <v>1</v>
      </c>
      <c r="G36" s="544">
        <v>1</v>
      </c>
      <c r="H36" s="552"/>
      <c r="I36" s="544">
        <v>0</v>
      </c>
      <c r="J36" s="544">
        <v>0</v>
      </c>
      <c r="K36" s="552"/>
      <c r="L36" s="544">
        <v>0</v>
      </c>
      <c r="M36" s="544">
        <v>0</v>
      </c>
      <c r="N36" s="543"/>
      <c r="O36" s="543"/>
    </row>
    <row r="37" spans="2:15" s="3" customFormat="1">
      <c r="B37" s="553" t="s">
        <v>1461</v>
      </c>
      <c r="C37" s="544">
        <v>0</v>
      </c>
      <c r="D37" s="544">
        <v>0</v>
      </c>
      <c r="E37" s="555"/>
      <c r="F37" s="544">
        <v>0</v>
      </c>
      <c r="G37" s="544">
        <v>0</v>
      </c>
      <c r="H37" s="552"/>
      <c r="I37" s="544">
        <v>0</v>
      </c>
      <c r="J37" s="544">
        <v>0</v>
      </c>
      <c r="K37" s="552"/>
      <c r="L37" s="544">
        <v>0</v>
      </c>
      <c r="M37" s="544">
        <v>0</v>
      </c>
      <c r="N37" s="543"/>
      <c r="O37" s="543"/>
    </row>
    <row r="38" spans="2:15" s="3" customFormat="1">
      <c r="B38" s="553" t="s">
        <v>1462</v>
      </c>
      <c r="C38" s="544">
        <v>0</v>
      </c>
      <c r="D38" s="544">
        <v>0</v>
      </c>
      <c r="E38" s="555"/>
      <c r="F38" s="544">
        <v>0</v>
      </c>
      <c r="G38" s="544">
        <v>0</v>
      </c>
      <c r="H38" s="552"/>
      <c r="I38" s="544">
        <v>0</v>
      </c>
      <c r="J38" s="544">
        <v>0</v>
      </c>
      <c r="K38" s="552"/>
      <c r="L38" s="544">
        <v>0</v>
      </c>
      <c r="M38" s="544">
        <v>0</v>
      </c>
      <c r="N38" s="543"/>
      <c r="O38" s="543"/>
    </row>
    <row r="39" spans="2:15" s="3" customFormat="1">
      <c r="B39" s="553" t="s">
        <v>1463</v>
      </c>
      <c r="C39" s="544">
        <v>0</v>
      </c>
      <c r="D39" s="544">
        <v>0</v>
      </c>
      <c r="E39" s="555"/>
      <c r="F39" s="544">
        <v>0</v>
      </c>
      <c r="G39" s="544">
        <v>0</v>
      </c>
      <c r="H39" s="552"/>
      <c r="I39" s="544">
        <v>0</v>
      </c>
      <c r="J39" s="544">
        <v>0</v>
      </c>
      <c r="K39" s="552"/>
      <c r="L39" s="544">
        <v>0</v>
      </c>
      <c r="M39" s="544">
        <v>0</v>
      </c>
      <c r="N39" s="543"/>
      <c r="O39" s="543"/>
    </row>
    <row r="40" spans="2:15" s="3" customFormat="1">
      <c r="B40" s="553" t="s">
        <v>1108</v>
      </c>
      <c r="C40" s="544">
        <v>0</v>
      </c>
      <c r="D40" s="544">
        <v>0</v>
      </c>
      <c r="E40" s="555"/>
      <c r="F40" s="544">
        <v>1</v>
      </c>
      <c r="G40" s="544">
        <v>1</v>
      </c>
      <c r="H40" s="552"/>
      <c r="I40" s="544">
        <v>0</v>
      </c>
      <c r="J40" s="544">
        <v>0</v>
      </c>
      <c r="K40" s="552"/>
      <c r="L40" s="544">
        <v>0</v>
      </c>
      <c r="M40" s="544">
        <v>0</v>
      </c>
      <c r="N40" s="543"/>
      <c r="O40" s="543"/>
    </row>
    <row r="41" spans="2:15" s="3" customFormat="1">
      <c r="B41" s="553" t="s">
        <v>1464</v>
      </c>
      <c r="C41" s="544">
        <v>0</v>
      </c>
      <c r="D41" s="544">
        <v>0</v>
      </c>
      <c r="E41" s="555"/>
      <c r="F41" s="544">
        <v>0</v>
      </c>
      <c r="G41" s="544">
        <v>0</v>
      </c>
      <c r="H41" s="552"/>
      <c r="I41" s="544">
        <v>0</v>
      </c>
      <c r="J41" s="544">
        <v>0</v>
      </c>
      <c r="K41" s="552"/>
      <c r="L41" s="544">
        <v>0</v>
      </c>
      <c r="M41" s="544">
        <v>0</v>
      </c>
      <c r="N41" s="543"/>
      <c r="O41" s="543"/>
    </row>
    <row r="42" spans="2:15" s="3" customFormat="1" ht="6" customHeight="1">
      <c r="B42" s="553"/>
      <c r="C42" s="544"/>
      <c r="D42" s="552"/>
      <c r="E42" s="555"/>
      <c r="F42" s="544"/>
      <c r="G42" s="552"/>
      <c r="H42" s="552"/>
      <c r="I42" s="544"/>
      <c r="J42" s="552"/>
      <c r="K42" s="552"/>
      <c r="L42" s="544"/>
      <c r="M42" s="552"/>
      <c r="N42" s="543"/>
      <c r="O42" s="543"/>
    </row>
    <row r="43" spans="2:15" s="3" customFormat="1">
      <c r="B43" s="556" t="s">
        <v>547</v>
      </c>
      <c r="C43" s="557">
        <f>SUM(C6:C41)</f>
        <v>41155</v>
      </c>
      <c r="D43" s="557">
        <f t="shared" ref="D43:M43" si="0">SUM(D6:D41)</f>
        <v>1515943.33</v>
      </c>
      <c r="E43" s="557"/>
      <c r="F43" s="557">
        <f t="shared" si="0"/>
        <v>44041</v>
      </c>
      <c r="G43" s="558">
        <f t="shared" si="0"/>
        <v>1843295.92</v>
      </c>
      <c r="H43" s="557"/>
      <c r="I43" s="557">
        <f t="shared" ref="I43:J43" si="1">SUM(I6:I41)</f>
        <v>35112</v>
      </c>
      <c r="J43" s="558">
        <f t="shared" si="1"/>
        <v>1393944.89</v>
      </c>
      <c r="K43" s="557"/>
      <c r="L43" s="557">
        <f t="shared" si="0"/>
        <v>30446</v>
      </c>
      <c r="M43" s="558">
        <f t="shared" si="0"/>
        <v>1308990.4400000002</v>
      </c>
      <c r="N43" s="543"/>
      <c r="O43" s="543"/>
    </row>
    <row r="44" spans="2:15" s="3" customFormat="1" ht="6" customHeight="1">
      <c r="B44" s="559"/>
      <c r="C44" s="560"/>
      <c r="D44" s="561"/>
      <c r="E44" s="562"/>
      <c r="F44" s="560"/>
      <c r="G44" s="563"/>
      <c r="H44" s="563"/>
      <c r="I44" s="560"/>
      <c r="J44" s="560"/>
      <c r="K44" s="563"/>
      <c r="L44" s="560"/>
      <c r="M44" s="560"/>
      <c r="N44" s="543"/>
      <c r="O44" s="543"/>
    </row>
    <row r="45" spans="2:15" s="3" customFormat="1" ht="12">
      <c r="B45" s="564" t="s">
        <v>24</v>
      </c>
      <c r="C45" s="565"/>
      <c r="D45" s="566"/>
      <c r="E45" s="566"/>
      <c r="F45" s="565"/>
      <c r="G45" s="567"/>
      <c r="H45" s="567"/>
      <c r="I45" s="565"/>
      <c r="J45" s="567"/>
      <c r="K45" s="567"/>
      <c r="L45" s="565"/>
      <c r="M45" s="567"/>
      <c r="N45" s="564"/>
      <c r="O45" s="564"/>
    </row>
    <row r="46" spans="2:15" s="3" customFormat="1" ht="24" customHeight="1">
      <c r="B46" s="833" t="s">
        <v>1109</v>
      </c>
      <c r="C46" s="833"/>
      <c r="D46" s="833"/>
      <c r="E46" s="833"/>
      <c r="F46" s="833"/>
      <c r="G46" s="833"/>
      <c r="H46" s="833"/>
      <c r="I46" s="833"/>
      <c r="J46" s="833"/>
      <c r="K46" s="833"/>
      <c r="L46" s="833"/>
      <c r="M46" s="833"/>
      <c r="N46" s="834"/>
      <c r="O46" s="834"/>
    </row>
    <row r="47" spans="2:15" s="3" customFormat="1" ht="24" customHeight="1">
      <c r="B47" s="833" t="s">
        <v>1465</v>
      </c>
      <c r="C47" s="833"/>
      <c r="D47" s="833"/>
      <c r="E47" s="833"/>
      <c r="F47" s="833"/>
      <c r="G47" s="833"/>
      <c r="H47" s="833"/>
      <c r="I47" s="833"/>
      <c r="J47" s="833"/>
      <c r="K47" s="833"/>
      <c r="L47" s="833"/>
      <c r="M47" s="833"/>
      <c r="N47" s="834"/>
      <c r="O47" s="834"/>
    </row>
    <row r="48" spans="2:15" s="3" customFormat="1" ht="24" customHeight="1">
      <c r="B48" s="833" t="s">
        <v>1110</v>
      </c>
      <c r="C48" s="833"/>
      <c r="D48" s="833"/>
      <c r="E48" s="833"/>
      <c r="F48" s="833"/>
      <c r="G48" s="833"/>
      <c r="H48" s="833"/>
      <c r="I48" s="833"/>
      <c r="J48" s="833"/>
      <c r="K48" s="833"/>
      <c r="L48" s="833"/>
      <c r="M48" s="833"/>
      <c r="N48" s="834"/>
      <c r="O48" s="834"/>
    </row>
    <row r="49" spans="2:15" s="3" customFormat="1" ht="12" customHeight="1">
      <c r="B49" s="835" t="s">
        <v>1111</v>
      </c>
      <c r="C49" s="835"/>
      <c r="D49" s="835"/>
      <c r="E49" s="835"/>
      <c r="F49" s="835"/>
      <c r="G49" s="835"/>
      <c r="H49" s="835"/>
      <c r="I49" s="835"/>
      <c r="J49" s="835"/>
      <c r="K49" s="835"/>
      <c r="L49" s="835"/>
      <c r="M49" s="835"/>
      <c r="N49" s="834"/>
      <c r="O49" s="834"/>
    </row>
    <row r="50" spans="2:15" s="3" customFormat="1" ht="24" customHeight="1">
      <c r="B50" s="836" t="s">
        <v>1466</v>
      </c>
      <c r="C50" s="833"/>
      <c r="D50" s="833"/>
      <c r="E50" s="833"/>
      <c r="F50" s="833"/>
      <c r="G50" s="833"/>
      <c r="H50" s="833"/>
      <c r="I50" s="833"/>
      <c r="J50" s="833"/>
      <c r="K50" s="833"/>
      <c r="L50" s="833"/>
      <c r="M50" s="833"/>
      <c r="N50" s="834"/>
      <c r="O50" s="834"/>
    </row>
    <row r="51" spans="2:15" s="3" customFormat="1" ht="24" customHeight="1">
      <c r="B51" s="833" t="s">
        <v>1467</v>
      </c>
      <c r="C51" s="833"/>
      <c r="D51" s="833"/>
      <c r="E51" s="833"/>
      <c r="F51" s="833"/>
      <c r="G51" s="833"/>
      <c r="H51" s="833"/>
      <c r="I51" s="833"/>
      <c r="J51" s="833"/>
      <c r="K51" s="833"/>
      <c r="L51" s="833"/>
      <c r="M51" s="833"/>
      <c r="N51" s="834"/>
      <c r="O51" s="834"/>
    </row>
    <row r="53" spans="2:15">
      <c r="B53" s="7" t="s">
        <v>1112</v>
      </c>
    </row>
    <row r="54" spans="2:15">
      <c r="B54" s="7"/>
    </row>
  </sheetData>
  <mergeCells count="6">
    <mergeCell ref="B51:O51"/>
    <mergeCell ref="B46:O46"/>
    <mergeCell ref="B47:O47"/>
    <mergeCell ref="B48:O48"/>
    <mergeCell ref="B49:O49"/>
    <mergeCell ref="B50:O50"/>
  </mergeCells>
  <conditionalFormatting sqref="N6:N31">
    <cfRule type="cellIs" dxfId="2" priority="1" stopIfTrue="1" operator="equal">
      <formula>0</formula>
    </cfRule>
  </conditionalFormatting>
  <hyperlinks>
    <hyperlink ref="A1" location="TOC!A1" display="Back" xr:uid="{F7EF4DF8-8B9D-49D9-9799-BBEBCE3E4FF2}"/>
  </hyperlinks>
  <pageMargins left="0.5" right="0.5" top="0.4" bottom="0.8" header="0.25" footer="0.35"/>
  <pageSetup scale="73" orientation="landscape" cellComments="asDisplayed" r:id="rId1"/>
  <headerFooter scaleWithDoc="0">
    <oddHeader>&amp;R&amp;P</oddHeader>
    <oddFooter>&amp;R&amp;G&amp;L© 2025 Virginia Department of Taxation, All Rights Reserved</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CE51A-96DB-4E19-A671-65339B2220F3}">
  <sheetPr codeName="Sheet27">
    <pageSetUpPr fitToPage="1"/>
  </sheetPr>
  <dimension ref="A1:I21"/>
  <sheetViews>
    <sheetView zoomScaleNormal="100" workbookViewId="0"/>
  </sheetViews>
  <sheetFormatPr defaultRowHeight="13"/>
  <cols>
    <col min="1" max="1" width="4.19921875" customWidth="1"/>
    <col min="2" max="2" width="18.69921875" customWidth="1"/>
    <col min="3" max="3" width="3.69921875" customWidth="1"/>
    <col min="4" max="4" width="18.69921875" customWidth="1"/>
    <col min="5" max="6" width="3.69921875" customWidth="1"/>
    <col min="7" max="7" width="83.59765625" customWidth="1"/>
    <col min="8" max="8" width="1.69921875" customWidth="1"/>
    <col min="9" max="9" width="5.19921875" customWidth="1"/>
  </cols>
  <sheetData>
    <row r="1" spans="1:9" ht="15.5">
      <c r="A1" s="813" t="s">
        <v>42</v>
      </c>
      <c r="B1" s="226" t="s">
        <v>1052</v>
      </c>
      <c r="C1" s="66"/>
      <c r="D1" s="66"/>
      <c r="E1" s="66"/>
      <c r="F1" s="66"/>
      <c r="G1" s="66"/>
      <c r="H1" s="276"/>
      <c r="I1" s="8"/>
    </row>
    <row r="2" spans="1:9">
      <c r="B2" s="233" t="s">
        <v>1053</v>
      </c>
      <c r="C2" s="66"/>
      <c r="D2" s="66"/>
      <c r="E2" s="66"/>
      <c r="F2" s="66"/>
      <c r="G2" s="66"/>
      <c r="H2" s="276"/>
    </row>
    <row r="3" spans="1:9" ht="13.5" thickBot="1">
      <c r="B3" s="233"/>
      <c r="C3" s="66"/>
      <c r="D3" s="66"/>
      <c r="E3" s="66"/>
      <c r="F3" s="66"/>
      <c r="G3" s="66"/>
      <c r="H3" s="276"/>
    </row>
    <row r="4" spans="1:9" ht="18" customHeight="1">
      <c r="B4" s="496" t="s">
        <v>220</v>
      </c>
      <c r="C4" s="497"/>
      <c r="D4" s="498" t="s">
        <v>796</v>
      </c>
      <c r="E4" s="497"/>
      <c r="F4" s="494"/>
      <c r="G4" s="66"/>
      <c r="H4" s="276"/>
    </row>
    <row r="5" spans="1:9" ht="24" customHeight="1">
      <c r="B5" s="187">
        <v>2016</v>
      </c>
      <c r="C5" s="66"/>
      <c r="D5" s="81">
        <v>764948013.7700001</v>
      </c>
      <c r="E5" s="66"/>
      <c r="F5" s="66"/>
      <c r="G5" s="66"/>
      <c r="H5" s="276"/>
    </row>
    <row r="6" spans="1:9" ht="14.5" customHeight="1">
      <c r="B6" s="187">
        <v>2017</v>
      </c>
      <c r="C6" s="66"/>
      <c r="D6" s="82">
        <v>826960822.31000006</v>
      </c>
      <c r="E6" s="66"/>
      <c r="F6" s="66"/>
      <c r="G6" s="66"/>
      <c r="H6" s="276"/>
    </row>
    <row r="7" spans="1:9" ht="14.5" customHeight="1">
      <c r="B7" s="187">
        <v>2018</v>
      </c>
      <c r="C7" s="66"/>
      <c r="D7" s="82">
        <v>861897138.17999983</v>
      </c>
      <c r="E7" s="66"/>
      <c r="F7" s="66"/>
      <c r="G7" s="66"/>
      <c r="H7" s="276"/>
    </row>
    <row r="8" spans="1:9" ht="14.5" customHeight="1">
      <c r="B8" s="187">
        <v>2019</v>
      </c>
      <c r="C8" s="66"/>
      <c r="D8" s="82">
        <v>943390660.94999993</v>
      </c>
      <c r="E8" s="66"/>
      <c r="F8" s="66"/>
      <c r="G8" s="323"/>
      <c r="H8" s="276"/>
    </row>
    <row r="9" spans="1:9" ht="14.5" customHeight="1">
      <c r="B9" s="187">
        <v>2020</v>
      </c>
      <c r="C9" s="66"/>
      <c r="D9" s="82">
        <v>1011649618.3</v>
      </c>
      <c r="E9" s="66"/>
      <c r="F9" s="66"/>
      <c r="G9" s="324"/>
      <c r="H9" s="276"/>
    </row>
    <row r="10" spans="1:9" ht="14.5" customHeight="1">
      <c r="B10" s="187">
        <v>2021</v>
      </c>
      <c r="C10" s="66"/>
      <c r="D10" s="82">
        <v>1515692110.6500001</v>
      </c>
      <c r="E10" s="66"/>
      <c r="F10" s="66"/>
      <c r="G10" s="325">
        <f>D10/D9-1</f>
        <v>0.49823820741118374</v>
      </c>
      <c r="H10" s="276"/>
    </row>
    <row r="11" spans="1:9" s="3" customFormat="1" ht="14.5" customHeight="1">
      <c r="B11" s="187">
        <v>2022</v>
      </c>
      <c r="C11" s="66"/>
      <c r="D11" s="82">
        <v>1978697205.29</v>
      </c>
      <c r="E11" s="66"/>
      <c r="F11" s="66"/>
      <c r="G11" s="325"/>
      <c r="H11" s="276"/>
    </row>
    <row r="12" spans="1:9" s="3" customFormat="1" ht="14.5" customHeight="1">
      <c r="B12" s="187">
        <v>2023</v>
      </c>
      <c r="C12" s="326"/>
      <c r="D12" s="82">
        <v>2031120170.5999999</v>
      </c>
      <c r="E12" s="326"/>
      <c r="F12" s="326"/>
      <c r="G12" s="323"/>
      <c r="H12" s="276"/>
    </row>
    <row r="13" spans="1:9" s="3" customFormat="1" ht="14.5" customHeight="1">
      <c r="B13" s="187">
        <v>2024</v>
      </c>
      <c r="C13" s="326"/>
      <c r="D13" s="82">
        <v>1907065381.2499995</v>
      </c>
      <c r="E13" s="326"/>
      <c r="F13" s="326"/>
      <c r="G13" s="323"/>
      <c r="H13" s="276"/>
    </row>
    <row r="14" spans="1:9" s="3" customFormat="1" ht="14.5" customHeight="1">
      <c r="B14" s="187">
        <v>2025</v>
      </c>
      <c r="C14" s="326"/>
      <c r="D14" s="82">
        <v>1878586172.1000001</v>
      </c>
      <c r="E14" s="326"/>
      <c r="F14" s="326"/>
      <c r="G14" s="323"/>
      <c r="H14" s="276"/>
    </row>
    <row r="15" spans="1:9" s="3" customFormat="1">
      <c r="B15" s="187"/>
      <c r="C15" s="326"/>
      <c r="D15" s="82"/>
      <c r="E15" s="326"/>
      <c r="F15" s="326"/>
      <c r="G15" s="323"/>
      <c r="H15" s="276"/>
    </row>
    <row r="16" spans="1:9" s="3" customFormat="1">
      <c r="B16" s="328" t="s">
        <v>246</v>
      </c>
      <c r="C16" s="327"/>
      <c r="D16" s="230"/>
      <c r="E16" s="327"/>
      <c r="F16" s="327"/>
      <c r="G16" s="230"/>
      <c r="H16" s="276"/>
    </row>
    <row r="17" spans="2:7">
      <c r="B17" s="328" t="s">
        <v>1054</v>
      </c>
      <c r="C17" s="327"/>
      <c r="D17" s="230"/>
      <c r="E17" s="327"/>
      <c r="F17" s="327"/>
      <c r="G17" s="230"/>
    </row>
    <row r="18" spans="2:7" ht="25.5" customHeight="1">
      <c r="B18" s="829" t="s">
        <v>1055</v>
      </c>
      <c r="C18" s="830"/>
      <c r="D18" s="830"/>
      <c r="E18" s="830"/>
      <c r="F18" s="830"/>
      <c r="G18" s="830"/>
    </row>
    <row r="20" spans="2:7">
      <c r="B20" s="7" t="s">
        <v>40</v>
      </c>
    </row>
    <row r="21" spans="2:7">
      <c r="B21" s="7"/>
    </row>
  </sheetData>
  <mergeCells count="1">
    <mergeCell ref="B18:G18"/>
  </mergeCells>
  <hyperlinks>
    <hyperlink ref="A1" location="TOC!A1" display="Back" xr:uid="{AAD76621-FEDB-4490-A8C7-8348D20E5B0B}"/>
  </hyperlinks>
  <pageMargins left="0.5" right="0.5" top="0.4" bottom="0.8" header="0.25" footer="0.35"/>
  <pageSetup orientation="landscape" cellComments="asDisplayed" r:id="rId1"/>
  <headerFooter scaleWithDoc="0">
    <oddHeader>&amp;R&amp;P</oddHeader>
    <oddFooter>&amp;R&amp;G&amp;L© 2025 Virginia Department of Taxation, All Rights Reserved</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87834-DE9E-4986-9996-09974A63EDC6}">
  <sheetPr codeName="Sheet29">
    <pageSetUpPr fitToPage="1"/>
  </sheetPr>
  <dimension ref="A1:L28"/>
  <sheetViews>
    <sheetView zoomScaleNormal="100" workbookViewId="0"/>
  </sheetViews>
  <sheetFormatPr defaultRowHeight="13"/>
  <cols>
    <col min="1" max="1" width="4.19921875" customWidth="1"/>
    <col min="2" max="2" width="25.69921875" customWidth="1"/>
    <col min="3" max="3" width="18.69921875" customWidth="1"/>
    <col min="4" max="4" width="9.69921875" customWidth="1"/>
    <col min="5" max="5" width="2.69921875" customWidth="1"/>
    <col min="6" max="6" width="19.69921875" customWidth="1"/>
    <col min="7" max="7" width="8.69921875" customWidth="1"/>
    <col min="8" max="8" width="2.69921875" customWidth="1"/>
    <col min="9" max="9" width="19.69921875" customWidth="1"/>
    <col min="10" max="10" width="8.69921875" customWidth="1"/>
    <col min="11" max="11" width="1.69921875" customWidth="1"/>
    <col min="12" max="12" width="5.19921875" customWidth="1"/>
  </cols>
  <sheetData>
    <row r="1" spans="1:12" ht="15.5">
      <c r="A1" s="812" t="s">
        <v>42</v>
      </c>
      <c r="B1" s="372" t="s">
        <v>1071</v>
      </c>
      <c r="C1" s="374"/>
      <c r="D1" s="375"/>
      <c r="E1" s="375"/>
      <c r="F1" s="374"/>
      <c r="G1" s="375"/>
      <c r="H1" s="375"/>
      <c r="I1" s="374"/>
      <c r="J1" s="375"/>
      <c r="K1" s="66"/>
      <c r="L1" s="8"/>
    </row>
    <row r="2" spans="1:12">
      <c r="B2" s="541" t="s">
        <v>1072</v>
      </c>
      <c r="C2" s="374"/>
      <c r="D2" s="375"/>
      <c r="E2" s="375"/>
      <c r="F2" s="374"/>
      <c r="G2" s="375"/>
      <c r="H2" s="375"/>
      <c r="I2" s="374"/>
      <c r="J2" s="375"/>
      <c r="K2" s="66"/>
    </row>
    <row r="3" spans="1:12">
      <c r="B3" s="499" t="s">
        <v>1431</v>
      </c>
      <c r="C3" s="374"/>
      <c r="D3" s="375"/>
      <c r="E3" s="375"/>
      <c r="F3" s="374"/>
      <c r="G3" s="375"/>
      <c r="H3" s="375"/>
      <c r="I3" s="374"/>
      <c r="J3" s="375"/>
      <c r="K3" s="66"/>
    </row>
    <row r="4" spans="1:12" ht="6" customHeight="1" thickBot="1">
      <c r="B4" s="373"/>
      <c r="C4" s="374"/>
      <c r="D4" s="375"/>
      <c r="E4" s="375"/>
      <c r="F4" s="374"/>
      <c r="G4" s="375"/>
      <c r="H4" s="375"/>
      <c r="I4" s="374"/>
      <c r="J4" s="375"/>
      <c r="K4" s="66"/>
    </row>
    <row r="5" spans="1:12" ht="26">
      <c r="B5" s="500" t="s">
        <v>1058</v>
      </c>
      <c r="C5" s="501" t="s">
        <v>1073</v>
      </c>
      <c r="D5" s="502" t="s">
        <v>1060</v>
      </c>
      <c r="E5" s="503"/>
      <c r="F5" s="504" t="s">
        <v>1068</v>
      </c>
      <c r="G5" s="502" t="s">
        <v>1060</v>
      </c>
      <c r="H5" s="502"/>
      <c r="I5" s="504" t="s">
        <v>1074</v>
      </c>
      <c r="J5" s="502" t="s">
        <v>1060</v>
      </c>
      <c r="K5" s="66"/>
    </row>
    <row r="6" spans="1:12" ht="21" customHeight="1">
      <c r="B6" s="505" t="s">
        <v>1062</v>
      </c>
      <c r="C6" s="391">
        <v>46695</v>
      </c>
      <c r="D6" s="506">
        <v>0.60356750468558129</v>
      </c>
      <c r="E6" s="506"/>
      <c r="F6" s="526">
        <v>0</v>
      </c>
      <c r="G6" s="506">
        <v>0</v>
      </c>
      <c r="H6" s="507"/>
      <c r="I6" s="526">
        <v>89602777.5</v>
      </c>
      <c r="J6" s="506">
        <v>4.5399337922842065E-2</v>
      </c>
      <c r="K6" s="66"/>
    </row>
    <row r="7" spans="1:12">
      <c r="B7" s="390" t="s">
        <v>1063</v>
      </c>
      <c r="C7" s="391">
        <v>15726</v>
      </c>
      <c r="D7" s="506">
        <v>0.20327021262844955</v>
      </c>
      <c r="E7" s="506"/>
      <c r="F7" s="437">
        <v>105738227.05</v>
      </c>
      <c r="G7" s="506">
        <v>3.3768270976000836E-3</v>
      </c>
      <c r="H7" s="507"/>
      <c r="I7" s="437">
        <v>6369799.8600000003</v>
      </c>
      <c r="J7" s="506">
        <v>3.227407725670246E-3</v>
      </c>
      <c r="K7" s="66"/>
    </row>
    <row r="8" spans="1:12">
      <c r="B8" s="390" t="s">
        <v>924</v>
      </c>
      <c r="C8" s="391">
        <v>3177</v>
      </c>
      <c r="D8" s="506">
        <v>4.106508110902863E-2</v>
      </c>
      <c r="E8" s="506"/>
      <c r="F8" s="437">
        <v>114304282.67</v>
      </c>
      <c r="G8" s="506">
        <v>3.6503903068970142E-3</v>
      </c>
      <c r="H8" s="507"/>
      <c r="I8" s="437">
        <v>6880979.2400000002</v>
      </c>
      <c r="J8" s="506">
        <v>3.4864086859006239E-3</v>
      </c>
      <c r="K8" s="66"/>
    </row>
    <row r="9" spans="1:12">
      <c r="B9" s="390" t="s">
        <v>925</v>
      </c>
      <c r="C9" s="391">
        <v>2942</v>
      </c>
      <c r="D9" s="506">
        <v>3.8027531829638722E-2</v>
      </c>
      <c r="E9" s="506"/>
      <c r="F9" s="437">
        <v>210666738.33000001</v>
      </c>
      <c r="G9" s="506">
        <v>6.7277953338425135E-3</v>
      </c>
      <c r="H9" s="507"/>
      <c r="I9" s="437">
        <v>12639999</v>
      </c>
      <c r="J9" s="506">
        <v>6.404350422567936E-3</v>
      </c>
      <c r="K9" s="66"/>
    </row>
    <row r="10" spans="1:12">
      <c r="B10" s="390" t="s">
        <v>926</v>
      </c>
      <c r="C10" s="391">
        <v>4886</v>
      </c>
      <c r="D10" s="506">
        <v>6.3155173528081171E-2</v>
      </c>
      <c r="E10" s="506"/>
      <c r="F10" s="437">
        <v>1127813625.3399999</v>
      </c>
      <c r="G10" s="506">
        <v>3.601754745982097E-2</v>
      </c>
      <c r="H10" s="507"/>
      <c r="I10" s="437">
        <v>67668913</v>
      </c>
      <c r="J10" s="506">
        <v>3.4286033690846249E-2</v>
      </c>
      <c r="K10" s="66"/>
    </row>
    <row r="11" spans="1:12">
      <c r="B11" s="390" t="s">
        <v>927</v>
      </c>
      <c r="C11" s="391">
        <v>1328</v>
      </c>
      <c r="D11" s="506">
        <v>1.7165384863956568E-2</v>
      </c>
      <c r="E11" s="506"/>
      <c r="F11" s="437">
        <v>938316951.64999998</v>
      </c>
      <c r="G11" s="506">
        <v>2.9965833519895655E-2</v>
      </c>
      <c r="H11" s="507"/>
      <c r="I11" s="437">
        <v>56325224</v>
      </c>
      <c r="J11" s="506">
        <v>2.8538488976591982E-2</v>
      </c>
      <c r="K11" s="66"/>
    </row>
    <row r="12" spans="1:12">
      <c r="B12" s="390" t="s">
        <v>928</v>
      </c>
      <c r="C12" s="391">
        <v>936</v>
      </c>
      <c r="D12" s="506">
        <v>1.2098494151101919E-2</v>
      </c>
      <c r="E12" s="506"/>
      <c r="F12" s="437">
        <v>1332737467.6800001</v>
      </c>
      <c r="G12" s="506">
        <v>4.2561939238120981E-2</v>
      </c>
      <c r="H12" s="507"/>
      <c r="I12" s="437">
        <v>79964256</v>
      </c>
      <c r="J12" s="506">
        <v>4.051575610915243E-2</v>
      </c>
      <c r="K12" s="66"/>
    </row>
    <row r="13" spans="1:12">
      <c r="B13" s="390" t="s">
        <v>929</v>
      </c>
      <c r="C13" s="391">
        <v>1232</v>
      </c>
      <c r="D13" s="506">
        <v>1.5924513668971758E-2</v>
      </c>
      <c r="E13" s="506"/>
      <c r="F13" s="437">
        <v>5372865813.6499996</v>
      </c>
      <c r="G13" s="506">
        <v>0.17158637304106794</v>
      </c>
      <c r="H13" s="507"/>
      <c r="I13" s="437">
        <v>322544544</v>
      </c>
      <c r="J13" s="506">
        <v>0.16342471915253967</v>
      </c>
      <c r="K13" s="66"/>
    </row>
    <row r="14" spans="1:12" ht="21" customHeight="1">
      <c r="B14" s="404" t="s">
        <v>930</v>
      </c>
      <c r="C14" s="405">
        <v>443</v>
      </c>
      <c r="D14" s="508">
        <v>5.7261035351903319E-3</v>
      </c>
      <c r="E14" s="508"/>
      <c r="F14" s="527">
        <v>22110450326.98</v>
      </c>
      <c r="G14" s="508">
        <v>0.70611329400275491</v>
      </c>
      <c r="H14" s="509"/>
      <c r="I14" s="527">
        <v>1331661750</v>
      </c>
      <c r="J14" s="508">
        <v>0.67471749731388886</v>
      </c>
      <c r="K14" s="66"/>
    </row>
    <row r="15" spans="1:12" ht="14" customHeight="1">
      <c r="B15" s="411" t="s">
        <v>931</v>
      </c>
      <c r="C15" s="412">
        <v>77365</v>
      </c>
      <c r="D15" s="510">
        <v>0.99999999999999989</v>
      </c>
      <c r="E15" s="510"/>
      <c r="F15" s="528">
        <v>31312893433.349998</v>
      </c>
      <c r="G15" s="510">
        <v>1</v>
      </c>
      <c r="H15" s="510"/>
      <c r="I15" s="528">
        <v>1973658242.5999999</v>
      </c>
      <c r="J15" s="510">
        <v>1</v>
      </c>
      <c r="K15" s="66"/>
    </row>
    <row r="16" spans="1:12" ht="21" customHeight="1">
      <c r="B16" s="418" t="s">
        <v>932</v>
      </c>
      <c r="C16" s="397"/>
      <c r="D16" s="511"/>
      <c r="E16" s="512"/>
      <c r="F16" s="529">
        <v>-556975442.57000005</v>
      </c>
      <c r="G16" s="513">
        <v>-1.8109537251886614E-2</v>
      </c>
      <c r="H16" s="511"/>
      <c r="I16" s="529">
        <v>-31748235.899999902</v>
      </c>
      <c r="J16" s="513">
        <v>-1.6348973840426061E-2</v>
      </c>
      <c r="K16" s="66"/>
    </row>
    <row r="17" spans="2:11" ht="14" customHeight="1">
      <c r="B17" s="522" t="s">
        <v>560</v>
      </c>
      <c r="C17" s="523"/>
      <c r="D17" s="524"/>
      <c r="E17" s="524"/>
      <c r="F17" s="530">
        <v>30755917990.779999</v>
      </c>
      <c r="G17" s="525">
        <v>1</v>
      </c>
      <c r="H17" s="524"/>
      <c r="I17" s="530">
        <v>1941910006.7</v>
      </c>
      <c r="J17" s="525">
        <v>1</v>
      </c>
      <c r="K17" s="66"/>
    </row>
    <row r="18" spans="2:11" ht="6" customHeight="1">
      <c r="B18" s="454"/>
      <c r="C18" s="431"/>
      <c r="D18" s="455"/>
      <c r="E18" s="455"/>
      <c r="F18" s="520"/>
      <c r="G18" s="455"/>
      <c r="H18" s="455"/>
      <c r="I18" s="520"/>
      <c r="J18" s="455"/>
      <c r="K18" s="66"/>
    </row>
    <row r="19" spans="2:11">
      <c r="B19" s="531" t="s">
        <v>24</v>
      </c>
      <c r="C19" s="535"/>
      <c r="D19" s="536"/>
      <c r="E19" s="536"/>
      <c r="F19" s="537"/>
      <c r="G19" s="536"/>
      <c r="H19" s="536"/>
      <c r="I19" s="537"/>
      <c r="J19" s="536"/>
      <c r="K19" s="66"/>
    </row>
    <row r="20" spans="2:11" ht="25" customHeight="1">
      <c r="B20" s="838" t="s">
        <v>1432</v>
      </c>
      <c r="C20" s="838"/>
      <c r="D20" s="838"/>
      <c r="E20" s="838"/>
      <c r="F20" s="838"/>
      <c r="G20" s="838"/>
      <c r="H20" s="838"/>
      <c r="I20" s="838"/>
      <c r="J20" s="838"/>
      <c r="K20" s="66"/>
    </row>
    <row r="21" spans="2:11" s="3" customFormat="1" ht="25" customHeight="1">
      <c r="B21" s="837" t="s">
        <v>1075</v>
      </c>
      <c r="C21" s="837"/>
      <c r="D21" s="837"/>
      <c r="E21" s="837"/>
      <c r="F21" s="837"/>
      <c r="G21" s="837"/>
      <c r="H21" s="837"/>
      <c r="I21" s="837"/>
      <c r="J21" s="837"/>
      <c r="K21" s="65"/>
    </row>
    <row r="22" spans="2:11" s="3" customFormat="1" ht="12">
      <c r="B22" s="534" t="s">
        <v>1076</v>
      </c>
      <c r="C22" s="532"/>
      <c r="D22" s="532"/>
      <c r="E22" s="532"/>
      <c r="F22" s="532"/>
      <c r="G22" s="532"/>
      <c r="H22" s="532"/>
      <c r="I22" s="532"/>
      <c r="J22" s="532"/>
      <c r="K22" s="65"/>
    </row>
    <row r="23" spans="2:11" s="3" customFormat="1" ht="12">
      <c r="B23" s="532" t="s">
        <v>1077</v>
      </c>
      <c r="C23" s="532"/>
      <c r="D23" s="532"/>
      <c r="E23" s="532"/>
      <c r="F23" s="532"/>
      <c r="G23" s="532"/>
      <c r="H23" s="532"/>
      <c r="I23" s="532"/>
      <c r="J23" s="532"/>
      <c r="K23" s="65"/>
    </row>
    <row r="24" spans="2:11" s="3" customFormat="1" ht="25" customHeight="1">
      <c r="B24" s="839" t="s">
        <v>1078</v>
      </c>
      <c r="C24" s="839"/>
      <c r="D24" s="839"/>
      <c r="E24" s="839"/>
      <c r="F24" s="839"/>
      <c r="G24" s="839"/>
      <c r="H24" s="839"/>
      <c r="I24" s="839"/>
      <c r="J24" s="839"/>
      <c r="K24" s="65"/>
    </row>
    <row r="25" spans="2:11" ht="13" customHeight="1">
      <c r="B25" s="540" t="s">
        <v>1433</v>
      </c>
      <c r="E25" s="840"/>
      <c r="F25" s="841"/>
      <c r="G25" s="538"/>
      <c r="H25" s="538"/>
      <c r="I25" s="539"/>
      <c r="J25" s="538"/>
      <c r="K25" s="66"/>
    </row>
    <row r="27" spans="2:11">
      <c r="B27" s="7" t="s">
        <v>1079</v>
      </c>
    </row>
    <row r="28" spans="2:11">
      <c r="B28" s="7"/>
    </row>
  </sheetData>
  <mergeCells count="4">
    <mergeCell ref="B21:J21"/>
    <mergeCell ref="B20:J20"/>
    <mergeCell ref="B24:J24"/>
    <mergeCell ref="E25:F25"/>
  </mergeCells>
  <hyperlinks>
    <hyperlink ref="A1" location="TOC!A1" display="Back" xr:uid="{79AA6ADD-9881-40E1-897A-5678E812B993}"/>
  </hyperlinks>
  <pageMargins left="0.5" right="0.5" top="0.4" bottom="0.8" header="0.25" footer="0.35"/>
  <pageSetup orientation="landscape" cellComments="asDisplayed" r:id="rId1"/>
  <headerFooter scaleWithDoc="0">
    <oddHeader>&amp;R&amp;P</oddHeader>
    <oddFooter>&amp;R&amp;G&amp;L© 2025 Virginia Department of Taxation, All Rights Reserved</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DCDA-A34E-4416-9175-8D90EE97A30E}">
  <sheetPr codeName="Sheet28">
    <pageSetUpPr fitToPage="1"/>
  </sheetPr>
  <dimension ref="A1:L26"/>
  <sheetViews>
    <sheetView zoomScaleNormal="100" workbookViewId="0"/>
  </sheetViews>
  <sheetFormatPr defaultRowHeight="13"/>
  <cols>
    <col min="1" max="1" width="4.19921875" customWidth="1"/>
    <col min="2" max="2" width="25.69921875" customWidth="1"/>
    <col min="3" max="3" width="18.69921875" customWidth="1"/>
    <col min="4" max="4" width="9.69921875" customWidth="1"/>
    <col min="5" max="5" width="2.69921875" customWidth="1"/>
    <col min="6" max="6" width="19.69921875" customWidth="1"/>
    <col min="7" max="7" width="8.69921875" customWidth="1"/>
    <col min="8" max="8" width="2.69921875" customWidth="1"/>
    <col min="9" max="9" width="19.69921875" customWidth="1"/>
    <col min="10" max="10" width="8.69921875" customWidth="1"/>
    <col min="11" max="11" width="1.69921875" customWidth="1"/>
    <col min="12" max="12" width="5.19921875" customWidth="1"/>
  </cols>
  <sheetData>
    <row r="1" spans="1:12" ht="15.5">
      <c r="A1" s="812" t="s">
        <v>42</v>
      </c>
      <c r="B1" s="372" t="s">
        <v>1056</v>
      </c>
      <c r="C1" s="374"/>
      <c r="D1" s="375"/>
      <c r="E1" s="375"/>
      <c r="F1" s="374"/>
      <c r="G1" s="375"/>
      <c r="H1" s="375"/>
      <c r="I1" s="374"/>
      <c r="J1" s="375"/>
      <c r="K1" s="66"/>
      <c r="L1" s="8"/>
    </row>
    <row r="2" spans="1:12">
      <c r="B2" s="541" t="s">
        <v>1057</v>
      </c>
      <c r="C2" s="374"/>
      <c r="D2" s="375"/>
      <c r="E2" s="375"/>
      <c r="F2" s="374"/>
      <c r="G2" s="375"/>
      <c r="H2" s="375"/>
      <c r="I2" s="374"/>
      <c r="J2" s="375"/>
      <c r="K2" s="66"/>
    </row>
    <row r="3" spans="1:12">
      <c r="B3" s="499" t="s">
        <v>1434</v>
      </c>
      <c r="C3" s="374"/>
      <c r="D3" s="375"/>
      <c r="E3" s="375"/>
      <c r="F3" s="374"/>
      <c r="G3" s="375"/>
      <c r="H3" s="375"/>
      <c r="I3" s="374"/>
      <c r="J3" s="375"/>
      <c r="K3" s="66"/>
    </row>
    <row r="4" spans="1:12" ht="6" customHeight="1" thickBot="1">
      <c r="B4" s="373"/>
      <c r="C4" s="374"/>
      <c r="D4" s="375"/>
      <c r="E4" s="375"/>
      <c r="F4" s="374"/>
      <c r="G4" s="375"/>
      <c r="H4" s="375"/>
      <c r="I4" s="374"/>
      <c r="J4" s="375"/>
      <c r="K4" s="66"/>
    </row>
    <row r="5" spans="1:12" ht="26">
      <c r="B5" s="500" t="s">
        <v>1058</v>
      </c>
      <c r="C5" s="501" t="s">
        <v>1059</v>
      </c>
      <c r="D5" s="502" t="s">
        <v>1060</v>
      </c>
      <c r="E5" s="503"/>
      <c r="F5" s="504" t="s">
        <v>1070</v>
      </c>
      <c r="G5" s="502" t="s">
        <v>1060</v>
      </c>
      <c r="H5" s="502"/>
      <c r="I5" s="504" t="s">
        <v>1061</v>
      </c>
      <c r="J5" s="502" t="s">
        <v>1060</v>
      </c>
      <c r="K5" s="66"/>
    </row>
    <row r="6" spans="1:12" ht="21" customHeight="1">
      <c r="B6" s="505" t="s">
        <v>1062</v>
      </c>
      <c r="C6" s="391">
        <v>1551</v>
      </c>
      <c r="D6" s="506">
        <f t="shared" ref="D6:D14" si="0">C6/$C$15</f>
        <v>5.166039369816474E-2</v>
      </c>
      <c r="E6" s="506"/>
      <c r="F6" s="526">
        <v>0</v>
      </c>
      <c r="G6" s="506">
        <f t="shared" ref="G6:G14" si="1">F6/$F$15</f>
        <v>0</v>
      </c>
      <c r="H6" s="507"/>
      <c r="I6" s="526">
        <v>0</v>
      </c>
      <c r="J6" s="506">
        <f>I6/$I$15</f>
        <v>0</v>
      </c>
      <c r="K6" s="66"/>
    </row>
    <row r="7" spans="1:12">
      <c r="B7" s="390" t="s">
        <v>1063</v>
      </c>
      <c r="C7" s="391">
        <v>3468</v>
      </c>
      <c r="D7" s="506">
        <f t="shared" si="0"/>
        <v>0.11551144122839156</v>
      </c>
      <c r="E7" s="506"/>
      <c r="F7" s="437">
        <v>40471635</v>
      </c>
      <c r="G7" s="506">
        <f t="shared" si="1"/>
        <v>1.4791142506788569E-3</v>
      </c>
      <c r="H7" s="507"/>
      <c r="I7" s="437">
        <v>2328116.48</v>
      </c>
      <c r="J7" s="506">
        <f t="shared" ref="J7:J14" si="2">I7/$I$15</f>
        <v>1.4797472436324289E-3</v>
      </c>
      <c r="K7" s="66"/>
    </row>
    <row r="8" spans="1:12">
      <c r="B8" s="390" t="s">
        <v>924</v>
      </c>
      <c r="C8" s="391">
        <v>2849</v>
      </c>
      <c r="D8" s="506">
        <f t="shared" si="0"/>
        <v>9.4893914665423171E-2</v>
      </c>
      <c r="E8" s="506"/>
      <c r="F8" s="437">
        <v>105915667</v>
      </c>
      <c r="G8" s="506">
        <f t="shared" si="1"/>
        <v>3.8708930941350984E-3</v>
      </c>
      <c r="H8" s="507"/>
      <c r="I8" s="437">
        <v>6090160.9100000001</v>
      </c>
      <c r="J8" s="506">
        <f t="shared" si="2"/>
        <v>3.8708968804904752E-3</v>
      </c>
      <c r="K8" s="66"/>
    </row>
    <row r="9" spans="1:12">
      <c r="B9" s="390" t="s">
        <v>925</v>
      </c>
      <c r="C9" s="391">
        <v>4371</v>
      </c>
      <c r="D9" s="506">
        <f t="shared" si="0"/>
        <v>0.14558838224028245</v>
      </c>
      <c r="E9" s="506"/>
      <c r="F9" s="437">
        <v>320527541</v>
      </c>
      <c r="G9" s="506">
        <f t="shared" si="1"/>
        <v>1.1714299499591543E-2</v>
      </c>
      <c r="H9" s="507"/>
      <c r="I9" s="437">
        <v>18430347.449999999</v>
      </c>
      <c r="J9" s="506">
        <f t="shared" si="2"/>
        <v>1.1714300410916496E-2</v>
      </c>
      <c r="K9" s="66"/>
    </row>
    <row r="10" spans="1:12">
      <c r="B10" s="390" t="s">
        <v>926</v>
      </c>
      <c r="C10" s="391">
        <v>10960</v>
      </c>
      <c r="D10" s="506">
        <f t="shared" si="0"/>
        <v>0.36505345901475533</v>
      </c>
      <c r="E10" s="506"/>
      <c r="F10" s="437">
        <v>2607785958</v>
      </c>
      <c r="G10" s="506">
        <f t="shared" si="1"/>
        <v>9.5306586284394368E-2</v>
      </c>
      <c r="H10" s="507"/>
      <c r="I10" s="437">
        <v>149947754.13999999</v>
      </c>
      <c r="J10" s="506">
        <f t="shared" si="2"/>
        <v>9.5306561241101692E-2</v>
      </c>
      <c r="K10" s="66"/>
    </row>
    <row r="11" spans="1:12">
      <c r="B11" s="390" t="s">
        <v>927</v>
      </c>
      <c r="C11" s="391">
        <v>2989</v>
      </c>
      <c r="D11" s="506">
        <f t="shared" si="0"/>
        <v>9.9557006295173694E-2</v>
      </c>
      <c r="E11" s="506"/>
      <c r="F11" s="437">
        <v>2097694156</v>
      </c>
      <c r="G11" s="506">
        <f t="shared" si="1"/>
        <v>7.6664293886455473E-2</v>
      </c>
      <c r="H11" s="507"/>
      <c r="I11" s="437">
        <v>120617416.81999999</v>
      </c>
      <c r="J11" s="506">
        <f t="shared" si="2"/>
        <v>7.6664244081747476E-2</v>
      </c>
      <c r="K11" s="66"/>
    </row>
    <row r="12" spans="1:12">
      <c r="B12" s="390" t="s">
        <v>928</v>
      </c>
      <c r="C12" s="391">
        <v>1800</v>
      </c>
      <c r="D12" s="506">
        <f t="shared" si="0"/>
        <v>5.9954035239649602E-2</v>
      </c>
      <c r="E12" s="506"/>
      <c r="F12" s="437">
        <v>2523156356</v>
      </c>
      <c r="G12" s="506">
        <f t="shared" si="1"/>
        <v>9.2213633643675019E-2</v>
      </c>
      <c r="H12" s="507"/>
      <c r="I12" s="437">
        <v>145081476.81</v>
      </c>
      <c r="J12" s="506">
        <f t="shared" si="2"/>
        <v>9.2213562876252514E-2</v>
      </c>
      <c r="K12" s="66"/>
    </row>
    <row r="13" spans="1:12">
      <c r="B13" s="390" t="s">
        <v>929</v>
      </c>
      <c r="C13" s="391">
        <v>1659</v>
      </c>
      <c r="D13" s="506">
        <f t="shared" si="0"/>
        <v>5.5257635812543719E-2</v>
      </c>
      <c r="E13" s="506"/>
      <c r="F13" s="437">
        <v>6855831384</v>
      </c>
      <c r="G13" s="506">
        <f t="shared" si="1"/>
        <v>0.25055963022807826</v>
      </c>
      <c r="H13" s="507"/>
      <c r="I13" s="437">
        <v>394210292.23000002</v>
      </c>
      <c r="J13" s="506">
        <f t="shared" si="2"/>
        <v>0.25055945368286592</v>
      </c>
      <c r="K13" s="66"/>
    </row>
    <row r="14" spans="1:12" ht="21" customHeight="1">
      <c r="B14" s="404" t="s">
        <v>930</v>
      </c>
      <c r="C14" s="405">
        <v>376</v>
      </c>
      <c r="D14" s="508">
        <f t="shared" si="0"/>
        <v>1.2523731805615695E-2</v>
      </c>
      <c r="E14" s="508"/>
      <c r="F14" s="527">
        <v>12810692262</v>
      </c>
      <c r="G14" s="508">
        <f t="shared" si="1"/>
        <v>0.46819154911299138</v>
      </c>
      <c r="H14" s="509"/>
      <c r="I14" s="527">
        <v>736614804.58000004</v>
      </c>
      <c r="J14" s="508">
        <f t="shared" si="2"/>
        <v>0.46819123358299297</v>
      </c>
      <c r="K14" s="66"/>
    </row>
    <row r="15" spans="1:12" ht="14" customHeight="1">
      <c r="B15" s="411" t="s">
        <v>931</v>
      </c>
      <c r="C15" s="412">
        <f>SUM(C6:C14)</f>
        <v>30023</v>
      </c>
      <c r="D15" s="510">
        <f>SUM(D6:D14)</f>
        <v>1</v>
      </c>
      <c r="E15" s="510"/>
      <c r="F15" s="528">
        <f>SUM(F6:F14)</f>
        <v>27362074959</v>
      </c>
      <c r="G15" s="510">
        <f>SUM(G6:G14)</f>
        <v>1</v>
      </c>
      <c r="H15" s="510"/>
      <c r="I15" s="528">
        <f>SUM(I6:I14)</f>
        <v>1573320369.4200001</v>
      </c>
      <c r="J15" s="510">
        <f>SUM(J6:J14)</f>
        <v>1</v>
      </c>
      <c r="K15" s="66"/>
    </row>
    <row r="16" spans="1:12" ht="21" customHeight="1">
      <c r="B16" s="418" t="s">
        <v>932</v>
      </c>
      <c r="C16" s="397"/>
      <c r="D16" s="511"/>
      <c r="E16" s="512"/>
      <c r="F16" s="529"/>
      <c r="G16" s="513">
        <f>F16/F17</f>
        <v>0</v>
      </c>
      <c r="H16" s="511"/>
      <c r="I16" s="529"/>
      <c r="J16" s="513">
        <f>I16/I17</f>
        <v>0</v>
      </c>
      <c r="K16" s="66"/>
    </row>
    <row r="17" spans="2:11" ht="14" customHeight="1">
      <c r="B17" s="522" t="s">
        <v>560</v>
      </c>
      <c r="C17" s="523"/>
      <c r="D17" s="524"/>
      <c r="E17" s="524"/>
      <c r="F17" s="530">
        <f>SUM(F15,F16)</f>
        <v>27362074959</v>
      </c>
      <c r="G17" s="525">
        <f>F17/F17</f>
        <v>1</v>
      </c>
      <c r="H17" s="524"/>
      <c r="I17" s="530">
        <f>SUM(I15,I16)</f>
        <v>1573320369.4200001</v>
      </c>
      <c r="J17" s="525">
        <f>I17/I17</f>
        <v>1</v>
      </c>
      <c r="K17" s="66"/>
    </row>
    <row r="18" spans="2:11" ht="6" customHeight="1">
      <c r="B18" s="454"/>
      <c r="C18" s="431"/>
      <c r="D18" s="455"/>
      <c r="E18" s="455"/>
      <c r="F18" s="520"/>
      <c r="G18" s="455"/>
      <c r="H18" s="455"/>
      <c r="I18" s="520"/>
      <c r="J18" s="455"/>
      <c r="K18" s="66"/>
    </row>
    <row r="19" spans="2:11">
      <c r="B19" s="531" t="s">
        <v>24</v>
      </c>
      <c r="C19" s="514"/>
      <c r="D19" s="515"/>
      <c r="E19" s="515"/>
      <c r="F19" s="516"/>
      <c r="G19" s="515"/>
      <c r="H19" s="515"/>
      <c r="I19" s="516"/>
      <c r="J19" s="515"/>
      <c r="K19" s="66"/>
    </row>
    <row r="20" spans="2:11">
      <c r="B20" s="532" t="s">
        <v>1064</v>
      </c>
      <c r="C20" s="517"/>
      <c r="D20" s="517"/>
      <c r="E20" s="517"/>
      <c r="F20" s="517"/>
      <c r="G20" s="517"/>
      <c r="H20" s="517"/>
      <c r="I20" s="517"/>
      <c r="J20" s="517"/>
      <c r="K20" s="66"/>
    </row>
    <row r="21" spans="2:11" s="3" customFormat="1">
      <c r="B21" s="533" t="s">
        <v>1065</v>
      </c>
      <c r="C21" s="518"/>
      <c r="D21" s="518"/>
      <c r="E21" s="518"/>
      <c r="F21" s="518"/>
      <c r="G21" s="518"/>
      <c r="H21" s="518"/>
      <c r="I21" s="518"/>
      <c r="J21" s="518"/>
      <c r="K21" s="65"/>
    </row>
    <row r="22" spans="2:11" s="3" customFormat="1">
      <c r="B22" s="534" t="s">
        <v>1066</v>
      </c>
      <c r="C22" s="519"/>
      <c r="D22" s="519"/>
      <c r="E22" s="519"/>
      <c r="F22" s="519"/>
      <c r="G22" s="519"/>
      <c r="H22" s="519"/>
      <c r="I22" s="519"/>
      <c r="J22" s="519"/>
      <c r="K22" s="65"/>
    </row>
    <row r="23" spans="2:11">
      <c r="B23" s="534" t="s">
        <v>1067</v>
      </c>
      <c r="C23" s="521"/>
      <c r="D23" s="517"/>
      <c r="E23" s="517"/>
      <c r="F23" s="517"/>
      <c r="G23" s="517"/>
      <c r="H23" s="517"/>
      <c r="I23" s="517"/>
      <c r="J23" s="517"/>
      <c r="K23" s="66"/>
    </row>
    <row r="25" spans="2:11">
      <c r="B25" s="7" t="s">
        <v>1069</v>
      </c>
    </row>
    <row r="26" spans="2:11">
      <c r="B26" s="7"/>
    </row>
  </sheetData>
  <hyperlinks>
    <hyperlink ref="A1" location="TOC!A1" display="Back" xr:uid="{1DEF85A7-E245-4E4F-A171-514DA14085F4}"/>
  </hyperlinks>
  <pageMargins left="0.5" right="0.5" top="0.4" bottom="0.8" header="0.25" footer="0.35"/>
  <pageSetup orientation="landscape" cellComments="asDisplayed" r:id="rId1"/>
  <headerFooter scaleWithDoc="0">
    <oddHeader>&amp;R&amp;P</oddHeader>
    <oddFooter>&amp;R&amp;G&amp;L© 2025 Virginia Department of Taxation, All Rights Reserved</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5F8EB-6802-4665-B4A6-C619703F123C}">
  <sheetPr codeName="Sheet26">
    <pageSetUpPr fitToPage="1"/>
  </sheetPr>
  <dimension ref="A1:M60"/>
  <sheetViews>
    <sheetView zoomScaleNormal="100" workbookViewId="0">
      <selection activeCell="B1" sqref="B1"/>
    </sheetView>
  </sheetViews>
  <sheetFormatPr defaultRowHeight="13"/>
  <cols>
    <col min="1" max="1" width="4.19921875" customWidth="1"/>
    <col min="2" max="2" width="25.69921875" customWidth="1"/>
    <col min="3" max="3" width="63.69921875" customWidth="1"/>
    <col min="4" max="4" width="24.69921875" customWidth="1"/>
    <col min="5" max="5" width="33.69921875" customWidth="1"/>
    <col min="6" max="6" width="17.69921875" customWidth="1"/>
    <col min="7" max="7" width="13.69921875" customWidth="1"/>
    <col min="8" max="8" width="1.69921875" customWidth="1"/>
    <col min="9" max="9" width="4.69921875" customWidth="1"/>
    <col min="11" max="11" width="8.796875" customWidth="1"/>
    <col min="17" max="17" width="34.3984375" bestFit="1" customWidth="1"/>
  </cols>
  <sheetData>
    <row r="1" spans="1:13" ht="15.5">
      <c r="A1" s="812" t="s">
        <v>42</v>
      </c>
      <c r="B1" s="466" t="s">
        <v>948</v>
      </c>
      <c r="C1" s="464"/>
      <c r="D1" s="464"/>
      <c r="E1" s="464"/>
      <c r="F1" s="82"/>
      <c r="G1" s="465"/>
      <c r="I1" s="8"/>
    </row>
    <row r="2" spans="1:13">
      <c r="B2" s="494" t="s">
        <v>949</v>
      </c>
      <c r="C2" s="464"/>
      <c r="D2" s="464"/>
      <c r="E2" s="464"/>
      <c r="F2" s="82"/>
      <c r="G2" s="465"/>
    </row>
    <row r="3" spans="1:13">
      <c r="B3" s="495" t="s">
        <v>1404</v>
      </c>
      <c r="C3" s="464"/>
      <c r="D3" s="464"/>
      <c r="E3" s="464"/>
      <c r="F3" s="82"/>
      <c r="G3" s="465"/>
    </row>
    <row r="4" spans="1:13" ht="6" customHeight="1" thickBot="1">
      <c r="B4" s="467"/>
      <c r="C4" s="467"/>
      <c r="D4" s="467"/>
      <c r="E4" s="467"/>
      <c r="F4" s="468"/>
      <c r="G4" s="469"/>
    </row>
    <row r="5" spans="1:13" ht="13.5" thickTop="1">
      <c r="B5" s="470" t="s">
        <v>950</v>
      </c>
      <c r="C5" s="470" t="s">
        <v>951</v>
      </c>
      <c r="D5" s="470" t="s">
        <v>952</v>
      </c>
      <c r="E5" s="470" t="s">
        <v>953</v>
      </c>
      <c r="F5" s="471" t="s">
        <v>919</v>
      </c>
      <c r="G5" s="471" t="s">
        <v>796</v>
      </c>
    </row>
    <row r="6" spans="1:13" ht="14" customHeight="1">
      <c r="B6" s="66" t="s">
        <v>954</v>
      </c>
      <c r="C6" s="329" t="s">
        <v>563</v>
      </c>
      <c r="D6" s="803" t="s">
        <v>955</v>
      </c>
      <c r="E6" s="66" t="s">
        <v>1398</v>
      </c>
      <c r="F6" s="472">
        <v>4048</v>
      </c>
      <c r="G6" s="473">
        <v>16842082.390000004</v>
      </c>
    </row>
    <row r="7" spans="1:13">
      <c r="B7" s="66" t="s">
        <v>956</v>
      </c>
      <c r="C7" s="329" t="s">
        <v>957</v>
      </c>
      <c r="D7" s="803" t="s">
        <v>958</v>
      </c>
      <c r="E7" s="66" t="s">
        <v>1399</v>
      </c>
      <c r="F7" s="472">
        <v>13</v>
      </c>
      <c r="G7" s="472">
        <v>13769</v>
      </c>
      <c r="M7" s="746"/>
    </row>
    <row r="8" spans="1:13">
      <c r="B8" s="66" t="s">
        <v>959</v>
      </c>
      <c r="C8" s="329" t="s">
        <v>960</v>
      </c>
      <c r="D8" s="803" t="s">
        <v>961</v>
      </c>
      <c r="E8" s="66" t="s">
        <v>1399</v>
      </c>
      <c r="F8" s="472">
        <v>129</v>
      </c>
      <c r="G8" s="804">
        <v>1211423.04</v>
      </c>
    </row>
    <row r="9" spans="1:13" ht="26">
      <c r="B9" s="474" t="s">
        <v>962</v>
      </c>
      <c r="C9" s="475" t="s">
        <v>963</v>
      </c>
      <c r="D9" s="805" t="s">
        <v>964</v>
      </c>
      <c r="E9" s="474" t="s">
        <v>1399</v>
      </c>
      <c r="F9" s="476">
        <v>97</v>
      </c>
      <c r="G9" s="476">
        <v>62413</v>
      </c>
    </row>
    <row r="10" spans="1:13" ht="14" customHeight="1">
      <c r="B10" s="66" t="s">
        <v>965</v>
      </c>
      <c r="C10" s="329" t="s">
        <v>564</v>
      </c>
      <c r="D10" s="803" t="s">
        <v>966</v>
      </c>
      <c r="E10" s="66" t="s">
        <v>1400</v>
      </c>
      <c r="F10" s="472">
        <v>8</v>
      </c>
      <c r="G10" s="472">
        <v>1785141.5</v>
      </c>
    </row>
    <row r="11" spans="1:13">
      <c r="B11" s="230" t="s">
        <v>967</v>
      </c>
      <c r="C11" s="477" t="s">
        <v>968</v>
      </c>
      <c r="D11" s="803" t="s">
        <v>969</v>
      </c>
      <c r="E11" s="66" t="s">
        <v>1399</v>
      </c>
      <c r="F11" s="472">
        <v>9</v>
      </c>
      <c r="G11" s="472">
        <v>10681549</v>
      </c>
      <c r="M11" s="746"/>
    </row>
    <row r="12" spans="1:13">
      <c r="B12" s="230" t="s">
        <v>970</v>
      </c>
      <c r="C12" s="477" t="s">
        <v>565</v>
      </c>
      <c r="D12" s="803" t="s">
        <v>971</v>
      </c>
      <c r="E12" s="66" t="s">
        <v>1401</v>
      </c>
      <c r="F12" s="472">
        <v>479</v>
      </c>
      <c r="G12" s="472">
        <v>67993479.439999998</v>
      </c>
    </row>
    <row r="13" spans="1:13">
      <c r="B13" s="230" t="s">
        <v>972</v>
      </c>
      <c r="C13" s="477" t="s">
        <v>973</v>
      </c>
      <c r="D13" s="803" t="s">
        <v>974</v>
      </c>
      <c r="E13" s="66" t="s">
        <v>1399</v>
      </c>
      <c r="F13" s="472">
        <v>135</v>
      </c>
      <c r="G13" s="804">
        <v>568037.84</v>
      </c>
    </row>
    <row r="14" spans="1:13">
      <c r="B14" s="478" t="s">
        <v>975</v>
      </c>
      <c r="C14" s="479" t="s">
        <v>936</v>
      </c>
      <c r="D14" s="806" t="s">
        <v>976</v>
      </c>
      <c r="E14" s="478" t="s">
        <v>1402</v>
      </c>
      <c r="F14" s="481">
        <v>348</v>
      </c>
      <c r="G14" s="481">
        <v>9378183.1600000001</v>
      </c>
    </row>
    <row r="15" spans="1:13" ht="14" customHeight="1">
      <c r="B15" s="230" t="s">
        <v>977</v>
      </c>
      <c r="C15" s="477" t="s">
        <v>937</v>
      </c>
      <c r="D15" s="748" t="s">
        <v>978</v>
      </c>
      <c r="E15" s="230" t="s">
        <v>1402</v>
      </c>
      <c r="F15" s="482">
        <v>6</v>
      </c>
      <c r="G15" s="482">
        <v>1891674</v>
      </c>
    </row>
    <row r="16" spans="1:13">
      <c r="B16" s="230" t="s">
        <v>979</v>
      </c>
      <c r="C16" s="477" t="s">
        <v>980</v>
      </c>
      <c r="D16" s="803" t="s">
        <v>978</v>
      </c>
      <c r="E16" s="66" t="s">
        <v>800</v>
      </c>
      <c r="F16" s="472">
        <v>287</v>
      </c>
      <c r="G16" s="472">
        <v>558250.41</v>
      </c>
    </row>
    <row r="17" spans="2:13">
      <c r="B17" s="230" t="s">
        <v>981</v>
      </c>
      <c r="C17" s="477" t="s">
        <v>982</v>
      </c>
      <c r="D17" s="803" t="s">
        <v>983</v>
      </c>
      <c r="E17" s="66" t="s">
        <v>800</v>
      </c>
      <c r="F17" s="472">
        <v>271</v>
      </c>
      <c r="G17" s="804">
        <v>3307503</v>
      </c>
    </row>
    <row r="18" spans="2:13">
      <c r="B18" s="230" t="s">
        <v>984</v>
      </c>
      <c r="C18" s="477" t="s">
        <v>985</v>
      </c>
      <c r="D18" s="803" t="s">
        <v>983</v>
      </c>
      <c r="E18" s="66" t="s">
        <v>1399</v>
      </c>
      <c r="F18" s="472">
        <v>20</v>
      </c>
      <c r="G18" s="472">
        <v>51145</v>
      </c>
    </row>
    <row r="19" spans="2:13">
      <c r="B19" s="478" t="s">
        <v>986</v>
      </c>
      <c r="C19" s="479" t="s">
        <v>987</v>
      </c>
      <c r="D19" s="807" t="s">
        <v>983</v>
      </c>
      <c r="E19" s="485" t="s">
        <v>1399</v>
      </c>
      <c r="F19" s="484">
        <v>57</v>
      </c>
      <c r="G19" s="484">
        <v>2473757.6</v>
      </c>
    </row>
    <row r="20" spans="2:13" ht="14" customHeight="1">
      <c r="B20" s="230" t="s">
        <v>988</v>
      </c>
      <c r="C20" s="477" t="s">
        <v>989</v>
      </c>
      <c r="D20" s="803" t="s">
        <v>990</v>
      </c>
      <c r="E20" s="66" t="s">
        <v>800</v>
      </c>
      <c r="F20" s="472">
        <v>11</v>
      </c>
      <c r="G20" s="472">
        <v>381</v>
      </c>
      <c r="M20" s="746"/>
    </row>
    <row r="21" spans="2:13" s="3" customFormat="1">
      <c r="B21" s="66" t="s">
        <v>992</v>
      </c>
      <c r="C21" s="477" t="s">
        <v>993</v>
      </c>
      <c r="D21" s="803" t="s">
        <v>990</v>
      </c>
      <c r="E21" s="66" t="s">
        <v>1399</v>
      </c>
      <c r="F21" s="804">
        <v>184</v>
      </c>
      <c r="G21" s="804">
        <v>1309283</v>
      </c>
      <c r="J21"/>
      <c r="L21"/>
    </row>
    <row r="22" spans="2:13" s="3" customFormat="1">
      <c r="B22" s="66" t="s">
        <v>994</v>
      </c>
      <c r="C22" s="477" t="s">
        <v>995</v>
      </c>
      <c r="D22" s="803" t="s">
        <v>990</v>
      </c>
      <c r="E22" s="66" t="s">
        <v>1399</v>
      </c>
      <c r="F22" s="472">
        <v>4205</v>
      </c>
      <c r="G22" s="472">
        <v>69467508.329999998</v>
      </c>
      <c r="J22"/>
      <c r="L22"/>
    </row>
    <row r="23" spans="2:13" s="3" customFormat="1">
      <c r="B23" s="485" t="s">
        <v>1427</v>
      </c>
      <c r="C23" s="483" t="s">
        <v>1428</v>
      </c>
      <c r="D23" s="807" t="s">
        <v>1430</v>
      </c>
      <c r="E23" s="485" t="s">
        <v>1403</v>
      </c>
      <c r="F23" s="484" t="s">
        <v>991</v>
      </c>
      <c r="G23" s="484">
        <v>60505</v>
      </c>
      <c r="J23"/>
      <c r="L23"/>
    </row>
    <row r="24" spans="2:13" s="3" customFormat="1" ht="14" customHeight="1">
      <c r="B24" s="66" t="s">
        <v>996</v>
      </c>
      <c r="C24" s="329" t="s">
        <v>997</v>
      </c>
      <c r="D24" s="803" t="s">
        <v>998</v>
      </c>
      <c r="E24" s="66" t="s">
        <v>800</v>
      </c>
      <c r="F24" s="472">
        <v>522435</v>
      </c>
      <c r="G24" s="472">
        <v>224156631</v>
      </c>
      <c r="J24"/>
      <c r="L24"/>
    </row>
    <row r="25" spans="2:13" s="3" customFormat="1">
      <c r="B25" s="66" t="s">
        <v>999</v>
      </c>
      <c r="C25" s="329" t="s">
        <v>1000</v>
      </c>
      <c r="D25" s="803" t="s">
        <v>998</v>
      </c>
      <c r="E25" s="66" t="s">
        <v>800</v>
      </c>
      <c r="F25" s="472">
        <v>89</v>
      </c>
      <c r="G25" s="804">
        <v>260583.63999999996</v>
      </c>
      <c r="J25"/>
      <c r="L25"/>
      <c r="M25" s="747"/>
    </row>
    <row r="26" spans="2:13" s="3" customFormat="1">
      <c r="B26" s="66" t="s">
        <v>1001</v>
      </c>
      <c r="C26" s="329" t="s">
        <v>1429</v>
      </c>
      <c r="D26" s="803" t="s">
        <v>1002</v>
      </c>
      <c r="E26" s="66" t="s">
        <v>800</v>
      </c>
      <c r="F26" s="472">
        <v>0</v>
      </c>
      <c r="G26" s="472">
        <v>0</v>
      </c>
      <c r="J26"/>
      <c r="L26"/>
    </row>
    <row r="27" spans="2:13" s="3" customFormat="1">
      <c r="B27" s="66" t="s">
        <v>1003</v>
      </c>
      <c r="C27" s="329" t="s">
        <v>1004</v>
      </c>
      <c r="D27" s="803" t="s">
        <v>1005</v>
      </c>
      <c r="E27" s="66" t="s">
        <v>800</v>
      </c>
      <c r="F27" s="472">
        <v>4</v>
      </c>
      <c r="G27" s="472">
        <v>3609</v>
      </c>
      <c r="J27"/>
      <c r="L27"/>
    </row>
    <row r="28" spans="2:13" s="3" customFormat="1">
      <c r="B28" s="485" t="s">
        <v>1006</v>
      </c>
      <c r="C28" s="483" t="s">
        <v>1007</v>
      </c>
      <c r="D28" s="807" t="s">
        <v>1008</v>
      </c>
      <c r="E28" s="485" t="s">
        <v>800</v>
      </c>
      <c r="F28" s="484">
        <v>47</v>
      </c>
      <c r="G28" s="484">
        <v>200085</v>
      </c>
      <c r="J28"/>
      <c r="L28"/>
    </row>
    <row r="29" spans="2:13" s="3" customFormat="1" ht="14" customHeight="1">
      <c r="B29" s="66" t="s">
        <v>1009</v>
      </c>
      <c r="C29" s="329" t="s">
        <v>1010</v>
      </c>
      <c r="D29" s="803" t="s">
        <v>1008</v>
      </c>
      <c r="E29" s="66" t="s">
        <v>1399</v>
      </c>
      <c r="F29" s="472">
        <v>6</v>
      </c>
      <c r="G29" s="804">
        <v>4738</v>
      </c>
      <c r="J29"/>
      <c r="L29"/>
    </row>
    <row r="30" spans="2:13" s="3" customFormat="1">
      <c r="B30" s="66" t="s">
        <v>1011</v>
      </c>
      <c r="C30" s="329" t="s">
        <v>1012</v>
      </c>
      <c r="D30" s="803" t="s">
        <v>1013</v>
      </c>
      <c r="E30" s="66" t="s">
        <v>1403</v>
      </c>
      <c r="F30" s="472" t="s">
        <v>991</v>
      </c>
      <c r="G30" s="472">
        <v>3500000</v>
      </c>
      <c r="J30"/>
      <c r="L30"/>
    </row>
    <row r="31" spans="2:13" s="3" customFormat="1">
      <c r="B31" s="66" t="s">
        <v>1014</v>
      </c>
      <c r="C31" s="329" t="s">
        <v>1015</v>
      </c>
      <c r="D31" s="803" t="s">
        <v>1016</v>
      </c>
      <c r="E31" s="66" t="s">
        <v>1399</v>
      </c>
      <c r="F31" s="472">
        <v>47</v>
      </c>
      <c r="G31" s="472">
        <v>122317</v>
      </c>
      <c r="J31"/>
      <c r="L31"/>
    </row>
    <row r="32" spans="2:13" s="3" customFormat="1">
      <c r="B32" s="66" t="s">
        <v>1017</v>
      </c>
      <c r="C32" s="329" t="s">
        <v>1018</v>
      </c>
      <c r="D32" s="803" t="s">
        <v>1016</v>
      </c>
      <c r="E32" s="66" t="s">
        <v>1403</v>
      </c>
      <c r="F32" s="472" t="s">
        <v>991</v>
      </c>
      <c r="G32" s="472">
        <v>416857</v>
      </c>
      <c r="J32"/>
      <c r="L32"/>
    </row>
    <row r="33" spans="2:12" s="3" customFormat="1">
      <c r="B33" s="478" t="s">
        <v>1019</v>
      </c>
      <c r="C33" s="479" t="s">
        <v>1439</v>
      </c>
      <c r="D33" s="806" t="s">
        <v>1016</v>
      </c>
      <c r="E33" s="478" t="s">
        <v>1399</v>
      </c>
      <c r="F33" s="481">
        <v>211</v>
      </c>
      <c r="G33" s="481">
        <v>5273071</v>
      </c>
      <c r="J33"/>
      <c r="L33"/>
    </row>
    <row r="34" spans="2:12" s="3" customFormat="1" ht="14" customHeight="1">
      <c r="B34" s="230" t="s">
        <v>1020</v>
      </c>
      <c r="C34" s="329" t="s">
        <v>1469</v>
      </c>
      <c r="D34" s="803" t="s">
        <v>1016</v>
      </c>
      <c r="E34" s="66" t="s">
        <v>1403</v>
      </c>
      <c r="F34" s="472">
        <v>4</v>
      </c>
      <c r="G34" s="804">
        <v>-54811</v>
      </c>
      <c r="J34"/>
      <c r="L34"/>
    </row>
    <row r="35" spans="2:12" s="3" customFormat="1">
      <c r="B35" s="230" t="s">
        <v>1021</v>
      </c>
      <c r="C35" s="230" t="s">
        <v>1022</v>
      </c>
      <c r="D35" s="748" t="s">
        <v>1016</v>
      </c>
      <c r="E35" s="230" t="s">
        <v>1399</v>
      </c>
      <c r="F35" s="482">
        <v>29</v>
      </c>
      <c r="G35" s="482">
        <v>1223373.4100000001</v>
      </c>
      <c r="J35"/>
      <c r="L35"/>
    </row>
    <row r="36" spans="2:12" s="3" customFormat="1">
      <c r="B36" s="66" t="s">
        <v>1023</v>
      </c>
      <c r="C36" s="329" t="s">
        <v>938</v>
      </c>
      <c r="D36" s="803" t="s">
        <v>1024</v>
      </c>
      <c r="E36" s="66" t="s">
        <v>1401</v>
      </c>
      <c r="F36" s="472">
        <v>1721</v>
      </c>
      <c r="G36" s="472">
        <v>14012910.34</v>
      </c>
      <c r="J36"/>
      <c r="L36"/>
    </row>
    <row r="37" spans="2:12" s="3" customFormat="1">
      <c r="B37" s="230" t="s">
        <v>1025</v>
      </c>
      <c r="C37" s="477" t="s">
        <v>1026</v>
      </c>
      <c r="D37" s="748" t="s">
        <v>1027</v>
      </c>
      <c r="E37" s="230" t="s">
        <v>1399</v>
      </c>
      <c r="F37" s="482">
        <v>74</v>
      </c>
      <c r="G37" s="808">
        <v>20685057.75</v>
      </c>
      <c r="J37"/>
      <c r="L37"/>
    </row>
    <row r="38" spans="2:12" s="3" customFormat="1">
      <c r="B38" s="478" t="s">
        <v>1028</v>
      </c>
      <c r="C38" s="479" t="s">
        <v>1029</v>
      </c>
      <c r="D38" s="806" t="s">
        <v>1027</v>
      </c>
      <c r="E38" s="478" t="s">
        <v>800</v>
      </c>
      <c r="F38" s="481">
        <v>22</v>
      </c>
      <c r="G38" s="481">
        <v>36565</v>
      </c>
      <c r="J38"/>
      <c r="L38"/>
    </row>
    <row r="39" spans="2:12" s="3" customFormat="1" ht="14" customHeight="1">
      <c r="B39" s="230" t="s">
        <v>1030</v>
      </c>
      <c r="C39" s="477" t="s">
        <v>1031</v>
      </c>
      <c r="D39" s="748" t="s">
        <v>1032</v>
      </c>
      <c r="E39" s="230" t="s">
        <v>1399</v>
      </c>
      <c r="F39" s="482">
        <v>7</v>
      </c>
      <c r="G39" s="808">
        <v>51935</v>
      </c>
      <c r="J39"/>
      <c r="L39"/>
    </row>
    <row r="40" spans="2:12" s="3" customFormat="1">
      <c r="B40" s="487" t="s">
        <v>1033</v>
      </c>
      <c r="C40" s="488" t="s">
        <v>1034</v>
      </c>
      <c r="D40" s="487" t="s">
        <v>1035</v>
      </c>
      <c r="E40" s="487" t="s">
        <v>800</v>
      </c>
      <c r="F40" s="482">
        <v>55348</v>
      </c>
      <c r="G40" s="808">
        <v>1695918868</v>
      </c>
      <c r="J40"/>
      <c r="L40"/>
    </row>
    <row r="41" spans="2:12" s="3" customFormat="1">
      <c r="B41" s="487" t="s">
        <v>1033</v>
      </c>
      <c r="C41" s="488" t="s">
        <v>1036</v>
      </c>
      <c r="D41" s="487" t="s">
        <v>1035</v>
      </c>
      <c r="E41" s="487" t="s">
        <v>800</v>
      </c>
      <c r="F41" s="482">
        <v>3312</v>
      </c>
      <c r="G41" s="808">
        <v>240676342.09999999</v>
      </c>
      <c r="J41"/>
      <c r="L41"/>
    </row>
    <row r="42" spans="2:12" s="3" customFormat="1">
      <c r="B42" s="487" t="s">
        <v>1037</v>
      </c>
      <c r="C42" s="488" t="s">
        <v>1038</v>
      </c>
      <c r="D42" s="487" t="s">
        <v>1039</v>
      </c>
      <c r="E42" s="487" t="s">
        <v>800</v>
      </c>
      <c r="F42" s="482">
        <v>8</v>
      </c>
      <c r="G42" s="808">
        <v>6558.8</v>
      </c>
      <c r="J42"/>
      <c r="L42"/>
    </row>
    <row r="43" spans="2:12" s="3" customFormat="1">
      <c r="B43" s="230" t="s">
        <v>1040</v>
      </c>
      <c r="C43" s="329" t="s">
        <v>1041</v>
      </c>
      <c r="D43" s="748" t="s">
        <v>1042</v>
      </c>
      <c r="E43" s="230" t="s">
        <v>800</v>
      </c>
      <c r="F43" s="482">
        <v>1283</v>
      </c>
      <c r="G43" s="482">
        <v>326170.71000000002</v>
      </c>
    </row>
    <row r="44" spans="2:12" s="3" customFormat="1" ht="2" customHeight="1">
      <c r="B44" s="478"/>
      <c r="C44" s="479"/>
      <c r="D44" s="480"/>
      <c r="E44" s="479"/>
      <c r="F44" s="481"/>
      <c r="G44" s="481"/>
    </row>
    <row r="45" spans="2:12" s="3" customFormat="1" ht="2" customHeight="1">
      <c r="B45" s="487"/>
      <c r="C45" s="488"/>
      <c r="D45" s="488"/>
      <c r="E45" s="488"/>
      <c r="F45" s="482"/>
      <c r="G45" s="486"/>
    </row>
    <row r="46" spans="2:12" s="3" customFormat="1" ht="2" customHeight="1">
      <c r="B46" s="487"/>
      <c r="C46" s="488"/>
      <c r="D46" s="488"/>
      <c r="E46" s="488"/>
      <c r="F46" s="482"/>
      <c r="G46" s="486"/>
    </row>
    <row r="47" spans="2:12" s="3" customFormat="1" ht="11" customHeight="1">
      <c r="B47" s="489" t="s">
        <v>24</v>
      </c>
      <c r="C47" s="489"/>
      <c r="D47" s="489"/>
      <c r="E47" s="489"/>
      <c r="F47" s="490"/>
      <c r="G47" s="490"/>
    </row>
    <row r="48" spans="2:12" s="3" customFormat="1" ht="11" customHeight="1">
      <c r="B48" s="489" t="s">
        <v>1406</v>
      </c>
      <c r="C48" s="489"/>
      <c r="D48" s="489"/>
      <c r="E48" s="489"/>
      <c r="F48" s="491"/>
      <c r="G48" s="491"/>
    </row>
    <row r="49" spans="2:7" s="3" customFormat="1" ht="23" customHeight="1">
      <c r="B49" s="842" t="s">
        <v>1405</v>
      </c>
      <c r="C49" s="843"/>
      <c r="D49" s="843"/>
      <c r="E49" s="843"/>
      <c r="F49" s="843"/>
      <c r="G49" s="843"/>
    </row>
    <row r="50" spans="2:7" s="3" customFormat="1" ht="11" customHeight="1">
      <c r="B50" s="489" t="s">
        <v>1043</v>
      </c>
      <c r="C50" s="489"/>
      <c r="D50" s="489"/>
      <c r="E50" s="489"/>
      <c r="F50" s="491"/>
      <c r="G50" s="491"/>
    </row>
    <row r="51" spans="2:7" s="3" customFormat="1" ht="11" customHeight="1">
      <c r="B51" s="489" t="s">
        <v>1044</v>
      </c>
      <c r="C51" s="489"/>
      <c r="D51" s="489"/>
      <c r="E51" s="489"/>
      <c r="F51" s="491"/>
      <c r="G51" s="491"/>
    </row>
    <row r="52" spans="2:7" s="3" customFormat="1" ht="11" customHeight="1">
      <c r="B52" s="489" t="s">
        <v>1045</v>
      </c>
      <c r="C52" s="489"/>
      <c r="D52" s="489"/>
      <c r="E52" s="489"/>
      <c r="F52" s="491"/>
      <c r="G52" s="491"/>
    </row>
    <row r="53" spans="2:7" s="3" customFormat="1" ht="11" customHeight="1">
      <c r="B53" s="489" t="s">
        <v>1046</v>
      </c>
      <c r="C53" s="489"/>
      <c r="D53" s="489"/>
      <c r="E53" s="489"/>
      <c r="F53" s="491"/>
      <c r="G53" s="491"/>
    </row>
    <row r="54" spans="2:7" s="3" customFormat="1" ht="11" customHeight="1">
      <c r="B54" s="492" t="s">
        <v>1047</v>
      </c>
      <c r="C54" s="492"/>
      <c r="D54" s="492"/>
      <c r="E54" s="492"/>
      <c r="F54" s="493"/>
      <c r="G54" s="493"/>
    </row>
    <row r="55" spans="2:7" s="3" customFormat="1" ht="11" customHeight="1">
      <c r="B55" s="489" t="s">
        <v>1048</v>
      </c>
      <c r="C55" s="489"/>
      <c r="D55" s="489"/>
      <c r="E55" s="489"/>
      <c r="F55" s="491"/>
      <c r="G55" s="491"/>
    </row>
    <row r="56" spans="2:7" s="3" customFormat="1" ht="11" customHeight="1">
      <c r="B56" s="492" t="s">
        <v>1049</v>
      </c>
      <c r="C56" s="492"/>
      <c r="D56" s="492"/>
      <c r="E56" s="492"/>
      <c r="F56" s="493"/>
      <c r="G56" s="493"/>
    </row>
    <row r="57" spans="2:7" s="3" customFormat="1" ht="11" customHeight="1">
      <c r="B57" s="823" t="s">
        <v>1470</v>
      </c>
      <c r="C57" s="492"/>
      <c r="D57" s="492"/>
      <c r="E57" s="492"/>
      <c r="F57" s="493"/>
      <c r="G57" s="493"/>
    </row>
    <row r="59" spans="2:7">
      <c r="B59" s="7" t="s">
        <v>1050</v>
      </c>
    </row>
    <row r="60" spans="2:7">
      <c r="B60" s="7"/>
    </row>
  </sheetData>
  <mergeCells count="1">
    <mergeCell ref="B49:G49"/>
  </mergeCells>
  <hyperlinks>
    <hyperlink ref="A1" location="TOC!A1" display="Back" xr:uid="{7D1308A5-CF5C-4252-8C32-A562D0BA2FA8}"/>
  </hyperlinks>
  <pageMargins left="0.5" right="0.5" top="0.4" bottom="0.8" header="0.25" footer="0.35"/>
  <pageSetup scale="72" orientation="landscape" cellComments="asDisplayed" r:id="rId1"/>
  <headerFooter scaleWithDoc="0">
    <oddHeader>&amp;R&amp;P</oddHeader>
    <oddFooter>&amp;R&amp;G&amp;L© 2025 Virginia Department of Taxation, All Rights Reserved</oddFooter>
  </headerFooter>
  <rowBreaks count="1" manualBreakCount="1">
    <brk id="30" min="1" max="9"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E618C-B1EB-4FE4-A7AE-58509A2093AC}">
  <sheetPr codeName="Sheet2">
    <pageSetUpPr fitToPage="1"/>
  </sheetPr>
  <dimension ref="A1:S41"/>
  <sheetViews>
    <sheetView zoomScale="90" zoomScaleNormal="90" workbookViewId="0"/>
  </sheetViews>
  <sheetFormatPr defaultRowHeight="13"/>
  <cols>
    <col min="1" max="1" width="4.69921875" customWidth="1"/>
    <col min="2" max="2" width="6.69921875" customWidth="1"/>
    <col min="3" max="4" width="14.69921875" customWidth="1"/>
    <col min="5" max="5" width="13.69921875" customWidth="1"/>
    <col min="6" max="7" width="13.19921875" customWidth="1"/>
    <col min="8" max="8" width="14.69921875" customWidth="1"/>
    <col min="9" max="10" width="12.69921875" customWidth="1"/>
    <col min="11" max="11" width="10.69921875" customWidth="1"/>
    <col min="12" max="12" width="11.69921875" customWidth="1"/>
    <col min="13" max="13" width="10.69921875" customWidth="1"/>
    <col min="14" max="15" width="14.69921875" customWidth="1"/>
    <col min="16" max="16" width="15.69921875" customWidth="1"/>
    <col min="17" max="17" width="14.69921875" customWidth="1"/>
    <col min="18" max="18" width="1.69921875" customWidth="1"/>
    <col min="19" max="19" width="8.69921875" customWidth="1"/>
  </cols>
  <sheetData>
    <row r="1" spans="1:17" ht="15.5">
      <c r="A1" s="813" t="s">
        <v>42</v>
      </c>
      <c r="B1" s="63" t="s">
        <v>4</v>
      </c>
      <c r="C1" s="66"/>
      <c r="D1" s="66"/>
      <c r="E1" s="66"/>
      <c r="F1" s="66"/>
      <c r="G1" s="66"/>
      <c r="H1" s="66"/>
      <c r="I1" s="66"/>
      <c r="J1" s="66"/>
      <c r="K1" s="66"/>
      <c r="L1" s="66"/>
      <c r="M1" s="66"/>
      <c r="N1" s="66"/>
      <c r="O1" s="66"/>
      <c r="P1" s="66"/>
      <c r="Q1" s="66"/>
    </row>
    <row r="2" spans="1:17" ht="15.5">
      <c r="B2" s="63" t="s">
        <v>5</v>
      </c>
      <c r="C2" s="66"/>
      <c r="D2" s="66"/>
      <c r="E2" s="66"/>
      <c r="F2" s="66"/>
      <c r="G2" s="66"/>
      <c r="H2" s="66"/>
      <c r="I2" s="66"/>
      <c r="J2" s="66"/>
      <c r="K2" s="66"/>
      <c r="L2" s="66"/>
      <c r="M2" s="66"/>
      <c r="N2" s="66"/>
      <c r="O2" s="66"/>
      <c r="P2" s="66"/>
      <c r="Q2" s="66"/>
    </row>
    <row r="3" spans="1:17" ht="13.5" thickBot="1">
      <c r="B3" s="66"/>
      <c r="C3" s="66"/>
      <c r="D3" s="66"/>
      <c r="E3" s="66"/>
      <c r="F3" s="66"/>
      <c r="G3" s="66"/>
      <c r="H3" s="66"/>
      <c r="I3" s="66"/>
      <c r="J3" s="66"/>
      <c r="K3" s="66"/>
      <c r="L3" s="66"/>
      <c r="M3" s="66"/>
      <c r="N3" s="66"/>
      <c r="O3" s="66"/>
      <c r="P3" s="66"/>
      <c r="Q3" s="66"/>
    </row>
    <row r="4" spans="1:17">
      <c r="B4" s="169"/>
      <c r="C4" s="217" t="s">
        <v>6</v>
      </c>
      <c r="D4" s="217"/>
      <c r="E4" s="217"/>
      <c r="F4" s="218"/>
      <c r="G4" s="218"/>
      <c r="H4" s="218"/>
      <c r="I4" s="218"/>
      <c r="J4" s="218"/>
      <c r="K4" s="218"/>
      <c r="L4" s="218"/>
      <c r="M4" s="219"/>
      <c r="N4" s="220"/>
      <c r="O4" s="217" t="s">
        <v>7</v>
      </c>
      <c r="P4" s="217"/>
      <c r="Q4" s="220"/>
    </row>
    <row r="5" spans="1:17" ht="53" customHeight="1" thickBot="1">
      <c r="B5" s="221" t="s">
        <v>8</v>
      </c>
      <c r="C5" s="221" t="s">
        <v>9</v>
      </c>
      <c r="D5" s="222" t="s">
        <v>10</v>
      </c>
      <c r="E5" s="223" t="s">
        <v>11</v>
      </c>
      <c r="F5" s="223" t="s">
        <v>12</v>
      </c>
      <c r="G5" s="223" t="s">
        <v>13</v>
      </c>
      <c r="H5" s="223" t="s">
        <v>14</v>
      </c>
      <c r="I5" s="221" t="s">
        <v>15</v>
      </c>
      <c r="J5" s="221" t="s">
        <v>16</v>
      </c>
      <c r="K5" s="221" t="s">
        <v>17</v>
      </c>
      <c r="L5" s="221" t="s">
        <v>18</v>
      </c>
      <c r="M5" s="224" t="s">
        <v>19</v>
      </c>
      <c r="N5" s="222" t="s">
        <v>20</v>
      </c>
      <c r="O5" s="223" t="s">
        <v>21</v>
      </c>
      <c r="P5" s="223" t="s">
        <v>22</v>
      </c>
      <c r="Q5" s="223" t="s">
        <v>23</v>
      </c>
    </row>
    <row r="6" spans="1:17" hidden="1">
      <c r="B6" s="66">
        <v>2011</v>
      </c>
      <c r="C6" s="81">
        <v>3012379000</v>
      </c>
      <c r="D6" s="81"/>
      <c r="E6" s="81">
        <v>477329000</v>
      </c>
      <c r="F6" s="81"/>
      <c r="G6" s="81"/>
      <c r="H6" s="81"/>
      <c r="I6" s="81"/>
      <c r="J6" s="81"/>
      <c r="K6" s="81"/>
      <c r="L6" s="81"/>
      <c r="M6" s="81"/>
      <c r="N6" s="81">
        <v>3489708000</v>
      </c>
      <c r="O6" s="81">
        <v>1010205000</v>
      </c>
      <c r="P6" s="81">
        <v>204027000</v>
      </c>
      <c r="Q6" s="81">
        <v>4762261000</v>
      </c>
    </row>
    <row r="7" spans="1:17" hidden="1">
      <c r="B7" s="66">
        <v>2012</v>
      </c>
      <c r="C7" s="81">
        <v>3121503000</v>
      </c>
      <c r="D7" s="81"/>
      <c r="E7" s="81">
        <v>503070000</v>
      </c>
      <c r="F7" s="81"/>
      <c r="G7" s="81"/>
      <c r="H7" s="81"/>
      <c r="I7" s="81"/>
      <c r="J7" s="81"/>
      <c r="K7" s="81"/>
      <c r="L7" s="81"/>
      <c r="M7" s="81"/>
      <c r="N7" s="81">
        <v>3624573000</v>
      </c>
      <c r="O7" s="81">
        <v>1052522000</v>
      </c>
      <c r="P7" s="81">
        <v>214098000</v>
      </c>
      <c r="Q7" s="81">
        <v>4891193000</v>
      </c>
    </row>
    <row r="8" spans="1:17" hidden="1">
      <c r="B8" s="66">
        <v>2013</v>
      </c>
      <c r="C8" s="81">
        <v>3219798000</v>
      </c>
      <c r="D8" s="81"/>
      <c r="E8" s="81">
        <v>521180000</v>
      </c>
      <c r="F8" s="81"/>
      <c r="G8" s="81"/>
      <c r="H8" s="81"/>
      <c r="I8" s="81"/>
      <c r="J8" s="81"/>
      <c r="K8" s="81"/>
      <c r="L8" s="81"/>
      <c r="M8" s="81"/>
      <c r="N8" s="81">
        <v>3740978000</v>
      </c>
      <c r="O8" s="81">
        <v>1089743000</v>
      </c>
      <c r="P8" s="81">
        <v>221396000</v>
      </c>
      <c r="Q8" s="81">
        <v>5052117000</v>
      </c>
    </row>
    <row r="9" spans="1:17" hidden="1">
      <c r="B9" s="66">
        <v>2014</v>
      </c>
      <c r="C9" s="81">
        <v>3066456000</v>
      </c>
      <c r="D9" s="81"/>
      <c r="E9" s="81">
        <v>492018000</v>
      </c>
      <c r="F9" s="81">
        <v>191217000</v>
      </c>
      <c r="G9" s="81">
        <v>41908000</v>
      </c>
      <c r="H9" s="81">
        <v>62864000</v>
      </c>
      <c r="I9" s="81">
        <v>203933000</v>
      </c>
      <c r="J9" s="81">
        <v>107424000</v>
      </c>
      <c r="K9" s="81"/>
      <c r="L9" s="81"/>
      <c r="M9" s="81"/>
      <c r="N9" s="81">
        <v>4165820000</v>
      </c>
      <c r="O9" s="81">
        <v>1094794000</v>
      </c>
      <c r="P9" s="81">
        <v>334030000</v>
      </c>
      <c r="Q9" s="81">
        <v>5594644000</v>
      </c>
    </row>
    <row r="10" spans="1:17" ht="21" hidden="1" customHeight="1">
      <c r="B10" s="66">
        <v>2015</v>
      </c>
      <c r="C10" s="81">
        <v>3235444000</v>
      </c>
      <c r="D10" s="81"/>
      <c r="E10" s="81">
        <v>590709000</v>
      </c>
      <c r="F10" s="81">
        <v>277880000</v>
      </c>
      <c r="G10" s="81">
        <v>50520000</v>
      </c>
      <c r="H10" s="81">
        <v>75746000</v>
      </c>
      <c r="I10" s="81">
        <v>246324000</v>
      </c>
      <c r="J10" s="81">
        <v>129918000</v>
      </c>
      <c r="K10" s="81"/>
      <c r="L10" s="81"/>
      <c r="M10" s="81"/>
      <c r="N10" s="81">
        <v>4606541000</v>
      </c>
      <c r="O10" s="81">
        <v>1143330000</v>
      </c>
      <c r="P10" s="81">
        <v>352406000</v>
      </c>
      <c r="Q10" s="81">
        <v>6102277000</v>
      </c>
    </row>
    <row r="11" spans="1:17" ht="21" customHeight="1">
      <c r="B11" s="66">
        <v>2016</v>
      </c>
      <c r="C11" s="81">
        <v>3295853000</v>
      </c>
      <c r="D11" s="81"/>
      <c r="E11" s="81">
        <v>599055000</v>
      </c>
      <c r="F11" s="81">
        <v>276849000</v>
      </c>
      <c r="G11" s="81">
        <v>49877000</v>
      </c>
      <c r="H11" s="81">
        <v>74782000</v>
      </c>
      <c r="I11" s="81">
        <v>237314000</v>
      </c>
      <c r="J11" s="81">
        <v>126537000</v>
      </c>
      <c r="K11" s="81"/>
      <c r="L11" s="81"/>
      <c r="M11" s="81"/>
      <c r="N11" s="81">
        <v>4660267000</v>
      </c>
      <c r="O11" s="81">
        <v>1188704000</v>
      </c>
      <c r="P11" s="81">
        <v>355547000</v>
      </c>
      <c r="Q11" s="81">
        <v>6204518000</v>
      </c>
    </row>
    <row r="12" spans="1:17">
      <c r="B12" s="66">
        <v>2017</v>
      </c>
      <c r="C12" s="82">
        <v>3354561000</v>
      </c>
      <c r="D12" s="82"/>
      <c r="E12" s="82">
        <v>615572000</v>
      </c>
      <c r="F12" s="82">
        <v>277061000</v>
      </c>
      <c r="G12" s="82">
        <v>51043000</v>
      </c>
      <c r="H12" s="82">
        <v>76683000</v>
      </c>
      <c r="I12" s="82">
        <v>251601000</v>
      </c>
      <c r="J12" s="82">
        <v>131472000</v>
      </c>
      <c r="K12" s="82"/>
      <c r="L12" s="82"/>
      <c r="M12" s="82"/>
      <c r="N12" s="82">
        <v>4757993000</v>
      </c>
      <c r="O12" s="82">
        <v>1213929000</v>
      </c>
      <c r="P12" s="82">
        <v>365878000</v>
      </c>
      <c r="Q12" s="82">
        <v>6337800000</v>
      </c>
    </row>
    <row r="13" spans="1:17">
      <c r="B13" s="66">
        <v>2018</v>
      </c>
      <c r="C13" s="82">
        <v>3458249000</v>
      </c>
      <c r="D13" s="82"/>
      <c r="E13" s="82">
        <v>618387000</v>
      </c>
      <c r="F13" s="82">
        <v>292518000</v>
      </c>
      <c r="G13" s="82">
        <v>53159000</v>
      </c>
      <c r="H13" s="82">
        <v>79742000</v>
      </c>
      <c r="I13" s="82">
        <v>256443000</v>
      </c>
      <c r="J13" s="82">
        <v>137059000</v>
      </c>
      <c r="K13" s="82"/>
      <c r="L13" s="82"/>
      <c r="M13" s="82"/>
      <c r="N13" s="82">
        <v>4895557000</v>
      </c>
      <c r="O13" s="82">
        <v>1243480000</v>
      </c>
      <c r="P13" s="82">
        <v>376561000</v>
      </c>
      <c r="Q13" s="82">
        <v>6515598000</v>
      </c>
    </row>
    <row r="14" spans="1:17">
      <c r="B14" s="66">
        <v>2019</v>
      </c>
      <c r="C14" s="82">
        <v>3580355000</v>
      </c>
      <c r="D14" s="82"/>
      <c r="E14" s="82">
        <v>649451000</v>
      </c>
      <c r="F14" s="82">
        <v>301429000</v>
      </c>
      <c r="G14" s="82">
        <v>54797000</v>
      </c>
      <c r="H14" s="82">
        <v>82165000</v>
      </c>
      <c r="I14" s="82">
        <v>263031000</v>
      </c>
      <c r="J14" s="82">
        <v>139640000</v>
      </c>
      <c r="K14" s="82">
        <v>20358000</v>
      </c>
      <c r="L14" s="82"/>
      <c r="M14" s="82"/>
      <c r="N14" s="82">
        <v>5091226000</v>
      </c>
      <c r="O14" s="82">
        <v>1292804000</v>
      </c>
      <c r="P14" s="82">
        <v>392605000</v>
      </c>
      <c r="Q14" s="82">
        <v>6776635000</v>
      </c>
    </row>
    <row r="15" spans="1:17">
      <c r="B15" s="66">
        <v>2020</v>
      </c>
      <c r="C15" s="82">
        <v>3706817000</v>
      </c>
      <c r="D15" s="82"/>
      <c r="E15" s="82">
        <v>678024000</v>
      </c>
      <c r="F15" s="82">
        <v>304875000</v>
      </c>
      <c r="G15" s="82">
        <v>56216000</v>
      </c>
      <c r="H15" s="82">
        <v>84325000</v>
      </c>
      <c r="I15" s="82">
        <v>268748000</v>
      </c>
      <c r="J15" s="82">
        <v>142864000</v>
      </c>
      <c r="K15" s="82">
        <v>22731000</v>
      </c>
      <c r="L15" s="82"/>
      <c r="M15" s="82"/>
      <c r="N15" s="82">
        <v>5264600000</v>
      </c>
      <c r="O15" s="82">
        <v>1358988000</v>
      </c>
      <c r="P15" s="82">
        <v>406044000</v>
      </c>
      <c r="Q15" s="82">
        <v>7029632000</v>
      </c>
    </row>
    <row r="16" spans="1:17">
      <c r="B16" s="66">
        <v>2021</v>
      </c>
      <c r="C16" s="82">
        <v>4166182000</v>
      </c>
      <c r="D16" s="82">
        <v>1264050000</v>
      </c>
      <c r="E16" s="225">
        <v>0</v>
      </c>
      <c r="F16" s="225">
        <v>0</v>
      </c>
      <c r="G16" s="225">
        <v>0</v>
      </c>
      <c r="H16" s="225">
        <v>0</v>
      </c>
      <c r="I16" s="82">
        <v>286170000</v>
      </c>
      <c r="J16" s="82">
        <v>168804000</v>
      </c>
      <c r="K16" s="82">
        <v>22969000</v>
      </c>
      <c r="L16" s="82">
        <v>89337000</v>
      </c>
      <c r="M16" s="82">
        <v>2689000</v>
      </c>
      <c r="N16" s="82">
        <v>6000201000</v>
      </c>
      <c r="O16" s="82">
        <v>1477201000</v>
      </c>
      <c r="P16" s="82">
        <v>458363000</v>
      </c>
      <c r="Q16" s="82">
        <v>7935765000</v>
      </c>
    </row>
    <row r="17" spans="2:19">
      <c r="B17" s="66">
        <v>2022</v>
      </c>
      <c r="C17" s="82">
        <v>4558082000</v>
      </c>
      <c r="D17" s="82">
        <v>1368275000</v>
      </c>
      <c r="E17" s="225">
        <v>0</v>
      </c>
      <c r="F17" s="225">
        <v>0</v>
      </c>
      <c r="G17" s="225">
        <v>0</v>
      </c>
      <c r="H17" s="225">
        <v>0</v>
      </c>
      <c r="I17" s="82">
        <v>321756000</v>
      </c>
      <c r="J17" s="82">
        <v>179779000</v>
      </c>
      <c r="K17" s="82">
        <v>27210000</v>
      </c>
      <c r="L17" s="82">
        <v>152019000</v>
      </c>
      <c r="M17" s="82">
        <v>17784000</v>
      </c>
      <c r="N17" s="82">
        <v>6624905000</v>
      </c>
      <c r="O17" s="82">
        <v>1662897000</v>
      </c>
      <c r="P17" s="82">
        <v>522472000</v>
      </c>
      <c r="Q17" s="82">
        <v>8810274000</v>
      </c>
    </row>
    <row r="18" spans="2:19">
      <c r="B18" s="66">
        <v>2023</v>
      </c>
      <c r="C18" s="82">
        <v>4734549000</v>
      </c>
      <c r="D18" s="82">
        <v>1416622000</v>
      </c>
      <c r="E18" s="225">
        <v>0</v>
      </c>
      <c r="F18" s="225">
        <v>0</v>
      </c>
      <c r="G18" s="225">
        <v>0</v>
      </c>
      <c r="H18" s="225">
        <v>0</v>
      </c>
      <c r="I18" s="82">
        <v>346490000</v>
      </c>
      <c r="J18" s="82">
        <v>189311000</v>
      </c>
      <c r="K18" s="82">
        <v>28784000</v>
      </c>
      <c r="L18" s="82">
        <v>156994000</v>
      </c>
      <c r="M18" s="82">
        <v>28442000</v>
      </c>
      <c r="N18" s="82">
        <v>6901192000</v>
      </c>
      <c r="O18" s="82">
        <v>1770842000</v>
      </c>
      <c r="P18" s="82">
        <v>557007000</v>
      </c>
      <c r="Q18" s="82">
        <v>9229041000</v>
      </c>
    </row>
    <row r="19" spans="2:19">
      <c r="B19" s="66">
        <v>2024</v>
      </c>
      <c r="C19" s="82">
        <v>4709661000</v>
      </c>
      <c r="D19" s="82">
        <v>1377114000</v>
      </c>
      <c r="E19" s="225">
        <v>0</v>
      </c>
      <c r="F19" s="225">
        <v>0</v>
      </c>
      <c r="G19" s="225">
        <v>0</v>
      </c>
      <c r="H19" s="225">
        <v>0</v>
      </c>
      <c r="I19" s="82">
        <v>349060000</v>
      </c>
      <c r="J19" s="82">
        <v>194458000</v>
      </c>
      <c r="K19" s="82">
        <v>29743000</v>
      </c>
      <c r="L19" s="82">
        <v>163631000</v>
      </c>
      <c r="M19" s="82">
        <v>34634000</v>
      </c>
      <c r="N19" s="82">
        <v>6858301000</v>
      </c>
      <c r="O19" s="82">
        <v>1808583000</v>
      </c>
      <c r="P19" s="82">
        <v>573835000</v>
      </c>
      <c r="Q19" s="82">
        <v>9240719000</v>
      </c>
    </row>
    <row r="20" spans="2:19">
      <c r="B20" s="66">
        <v>2025</v>
      </c>
      <c r="C20" s="82">
        <v>4812737000</v>
      </c>
      <c r="D20" s="82">
        <v>1412430000</v>
      </c>
      <c r="E20" s="225">
        <v>0</v>
      </c>
      <c r="F20" s="225">
        <v>0</v>
      </c>
      <c r="G20" s="225">
        <v>0</v>
      </c>
      <c r="H20" s="225">
        <v>0</v>
      </c>
      <c r="I20" s="82">
        <v>360041000</v>
      </c>
      <c r="J20" s="82">
        <v>200783000</v>
      </c>
      <c r="K20" s="82">
        <v>30247000</v>
      </c>
      <c r="L20" s="82">
        <v>169851000</v>
      </c>
      <c r="M20" s="82">
        <v>36142000</v>
      </c>
      <c r="N20" s="82">
        <v>7022231000</v>
      </c>
      <c r="O20" s="82">
        <v>1876913000</v>
      </c>
      <c r="P20" s="82">
        <v>587930000</v>
      </c>
      <c r="Q20" s="82">
        <v>9487074000</v>
      </c>
    </row>
    <row r="21" spans="2:19" s="3" customFormat="1">
      <c r="B21" s="66"/>
      <c r="C21" s="82"/>
      <c r="D21" s="82"/>
      <c r="E21" s="82"/>
      <c r="F21" s="82"/>
      <c r="G21" s="82"/>
      <c r="H21" s="82"/>
      <c r="I21" s="82"/>
      <c r="J21" s="82"/>
      <c r="K21" s="82"/>
      <c r="L21" s="82"/>
      <c r="M21" s="82"/>
      <c r="N21" s="82"/>
      <c r="O21" s="82"/>
      <c r="P21" s="82"/>
      <c r="Q21" s="82"/>
      <c r="R21"/>
      <c r="S21"/>
    </row>
    <row r="22" spans="2:19" s="3" customFormat="1" ht="12.5" customHeight="1">
      <c r="B22" s="65" t="s">
        <v>24</v>
      </c>
      <c r="C22" s="65"/>
      <c r="D22" s="65"/>
      <c r="E22" s="65"/>
      <c r="F22" s="65"/>
      <c r="G22" s="65"/>
      <c r="H22" s="65"/>
      <c r="I22" s="65"/>
      <c r="J22" s="65"/>
      <c r="K22" s="65"/>
      <c r="L22" s="65"/>
      <c r="M22" s="65"/>
      <c r="N22" s="65"/>
      <c r="O22" s="65"/>
      <c r="P22" s="65"/>
      <c r="Q22" s="65"/>
    </row>
    <row r="23" spans="2:19" s="3" customFormat="1" ht="12.5" customHeight="1">
      <c r="B23" s="65" t="s">
        <v>25</v>
      </c>
      <c r="C23" s="65"/>
      <c r="D23" s="65"/>
      <c r="E23" s="65"/>
      <c r="F23" s="65"/>
      <c r="G23" s="65"/>
      <c r="H23" s="65"/>
      <c r="I23" s="65"/>
      <c r="J23" s="65"/>
      <c r="K23" s="65"/>
      <c r="L23" s="65"/>
      <c r="M23" s="65"/>
      <c r="N23" s="65"/>
      <c r="O23" s="65"/>
      <c r="P23" s="65"/>
      <c r="Q23" s="65"/>
    </row>
    <row r="24" spans="2:19" s="3" customFormat="1" ht="12.5" customHeight="1">
      <c r="B24" s="65" t="s">
        <v>26</v>
      </c>
      <c r="C24" s="65"/>
      <c r="D24" s="65"/>
      <c r="E24" s="65"/>
      <c r="F24" s="65"/>
      <c r="G24" s="65"/>
      <c r="H24" s="65"/>
      <c r="I24" s="65"/>
      <c r="J24" s="65"/>
      <c r="K24" s="65"/>
      <c r="L24" s="65"/>
      <c r="M24" s="65"/>
      <c r="N24" s="65"/>
      <c r="O24" s="65"/>
      <c r="P24" s="65"/>
      <c r="Q24" s="65"/>
    </row>
    <row r="25" spans="2:19" s="3" customFormat="1" ht="12.5" customHeight="1">
      <c r="B25" s="65" t="s">
        <v>27</v>
      </c>
      <c r="C25" s="65"/>
      <c r="D25" s="65"/>
      <c r="E25" s="65"/>
      <c r="F25" s="65"/>
      <c r="G25" s="65"/>
      <c r="H25" s="65"/>
      <c r="I25" s="65"/>
      <c r="J25" s="65"/>
      <c r="K25" s="65"/>
      <c r="L25" s="65"/>
      <c r="M25" s="65"/>
      <c r="N25" s="65"/>
      <c r="O25" s="65"/>
      <c r="P25" s="65"/>
      <c r="Q25" s="65"/>
    </row>
    <row r="26" spans="2:19" s="3" customFormat="1" ht="25" customHeight="1">
      <c r="B26" s="844" t="s">
        <v>28</v>
      </c>
      <c r="C26" s="845"/>
      <c r="D26" s="845"/>
      <c r="E26" s="845"/>
      <c r="F26" s="845"/>
      <c r="G26" s="845"/>
      <c r="H26" s="845"/>
      <c r="I26" s="845"/>
      <c r="J26" s="65"/>
      <c r="K26" s="65"/>
      <c r="L26" s="65"/>
      <c r="M26" s="65"/>
      <c r="N26" s="65"/>
      <c r="O26" s="65"/>
      <c r="P26" s="65"/>
      <c r="Q26" s="65"/>
    </row>
    <row r="27" spans="2:19" s="3" customFormat="1" ht="25" customHeight="1">
      <c r="B27" s="844" t="s">
        <v>29</v>
      </c>
      <c r="C27" s="845"/>
      <c r="D27" s="845"/>
      <c r="E27" s="845"/>
      <c r="F27" s="845"/>
      <c r="G27" s="845"/>
      <c r="H27" s="845"/>
      <c r="I27" s="845"/>
      <c r="J27" s="65"/>
      <c r="K27" s="65"/>
      <c r="L27" s="65"/>
      <c r="M27" s="65"/>
      <c r="N27" s="65"/>
      <c r="O27" s="65"/>
      <c r="P27" s="65"/>
      <c r="Q27" s="65"/>
    </row>
    <row r="28" spans="2:19" s="3" customFormat="1" ht="25" customHeight="1">
      <c r="B28" s="844" t="s">
        <v>30</v>
      </c>
      <c r="C28" s="845"/>
      <c r="D28" s="845"/>
      <c r="E28" s="845"/>
      <c r="F28" s="845"/>
      <c r="G28" s="845"/>
      <c r="H28" s="845"/>
      <c r="I28" s="845"/>
      <c r="J28" s="65"/>
      <c r="K28" s="65"/>
      <c r="L28" s="65"/>
      <c r="M28" s="65"/>
      <c r="N28" s="65"/>
      <c r="O28" s="65"/>
      <c r="P28" s="65"/>
      <c r="Q28" s="65"/>
    </row>
    <row r="29" spans="2:19" s="3" customFormat="1" ht="25" customHeight="1">
      <c r="B29" s="844" t="s">
        <v>31</v>
      </c>
      <c r="C29" s="845"/>
      <c r="D29" s="845"/>
      <c r="E29" s="845"/>
      <c r="F29" s="845"/>
      <c r="G29" s="845"/>
      <c r="H29" s="845"/>
      <c r="I29" s="845"/>
      <c r="J29" s="65"/>
      <c r="K29" s="65"/>
      <c r="L29" s="65"/>
      <c r="M29" s="65"/>
      <c r="N29" s="65"/>
      <c r="O29" s="65"/>
      <c r="P29" s="65"/>
      <c r="Q29" s="65"/>
    </row>
    <row r="30" spans="2:19" s="3" customFormat="1" ht="25" customHeight="1">
      <c r="B30" s="844" t="s">
        <v>32</v>
      </c>
      <c r="C30" s="845"/>
      <c r="D30" s="845"/>
      <c r="E30" s="845"/>
      <c r="F30" s="845"/>
      <c r="G30" s="845"/>
      <c r="H30" s="845"/>
      <c r="I30" s="845"/>
      <c r="J30" s="65"/>
      <c r="K30" s="65"/>
      <c r="L30" s="65"/>
      <c r="M30" s="65"/>
      <c r="N30" s="65"/>
      <c r="O30" s="65"/>
      <c r="P30" s="65"/>
      <c r="Q30" s="65"/>
    </row>
    <row r="31" spans="2:19" s="3" customFormat="1" ht="25" customHeight="1">
      <c r="B31" s="844" t="s">
        <v>33</v>
      </c>
      <c r="C31" s="845"/>
      <c r="D31" s="845"/>
      <c r="E31" s="845"/>
      <c r="F31" s="845"/>
      <c r="G31" s="845"/>
      <c r="H31" s="845"/>
      <c r="I31" s="845"/>
      <c r="J31" s="65"/>
      <c r="K31" s="65"/>
      <c r="L31" s="65"/>
      <c r="M31" s="65"/>
      <c r="N31" s="65"/>
      <c r="O31" s="65"/>
      <c r="P31" s="65"/>
      <c r="Q31" s="65"/>
    </row>
    <row r="32" spans="2:19" s="3" customFormat="1" ht="37" customHeight="1">
      <c r="B32" s="844" t="s">
        <v>34</v>
      </c>
      <c r="C32" s="845"/>
      <c r="D32" s="845"/>
      <c r="E32" s="845"/>
      <c r="F32" s="845"/>
      <c r="G32" s="845"/>
      <c r="H32" s="845"/>
      <c r="I32" s="845"/>
      <c r="J32" s="65"/>
      <c r="K32" s="65"/>
      <c r="L32" s="65"/>
      <c r="M32" s="65"/>
      <c r="N32" s="65"/>
      <c r="O32" s="65"/>
      <c r="P32" s="65"/>
      <c r="Q32" s="65"/>
    </row>
    <row r="33" spans="2:19" s="3" customFormat="1" ht="37" customHeight="1">
      <c r="B33" s="844" t="s">
        <v>35</v>
      </c>
      <c r="C33" s="845"/>
      <c r="D33" s="845"/>
      <c r="E33" s="845"/>
      <c r="F33" s="845"/>
      <c r="G33" s="845"/>
      <c r="H33" s="845"/>
      <c r="I33" s="845"/>
      <c r="J33" s="65"/>
      <c r="K33" s="65"/>
      <c r="L33" s="65"/>
      <c r="M33" s="65"/>
      <c r="N33" s="65"/>
      <c r="O33" s="65"/>
      <c r="P33" s="65"/>
      <c r="Q33" s="65"/>
    </row>
    <row r="34" spans="2:19" s="3" customFormat="1" ht="25" customHeight="1">
      <c r="B34" s="844" t="s">
        <v>36</v>
      </c>
      <c r="C34" s="845"/>
      <c r="D34" s="845"/>
      <c r="E34" s="845"/>
      <c r="F34" s="845"/>
      <c r="G34" s="845"/>
      <c r="H34" s="845"/>
      <c r="I34" s="845"/>
      <c r="J34" s="65"/>
      <c r="K34" s="65"/>
      <c r="L34" s="65"/>
      <c r="M34" s="65"/>
      <c r="N34" s="65"/>
      <c r="O34" s="65"/>
      <c r="P34" s="65"/>
      <c r="Q34" s="65"/>
    </row>
    <row r="35" spans="2:19" s="3" customFormat="1" ht="25" customHeight="1">
      <c r="B35" s="844" t="s">
        <v>37</v>
      </c>
      <c r="C35" s="845"/>
      <c r="D35" s="845"/>
      <c r="E35" s="845"/>
      <c r="F35" s="845"/>
      <c r="G35" s="845"/>
      <c r="H35" s="845"/>
      <c r="I35" s="845"/>
      <c r="J35" s="65"/>
      <c r="K35" s="65"/>
      <c r="L35" s="65"/>
      <c r="M35" s="65"/>
      <c r="N35" s="65"/>
      <c r="O35" s="65"/>
      <c r="P35" s="65"/>
      <c r="Q35" s="65"/>
    </row>
    <row r="36" spans="2:19" s="3" customFormat="1" ht="12.5" customHeight="1">
      <c r="B36" s="844" t="s">
        <v>38</v>
      </c>
      <c r="C36" s="845"/>
      <c r="D36" s="845"/>
      <c r="E36" s="845"/>
      <c r="F36" s="845"/>
      <c r="G36" s="845"/>
      <c r="H36" s="845"/>
      <c r="I36" s="845"/>
      <c r="J36" s="65"/>
      <c r="K36" s="65"/>
      <c r="L36" s="65"/>
      <c r="M36" s="65"/>
      <c r="N36" s="65"/>
      <c r="O36" s="65"/>
      <c r="P36" s="65"/>
      <c r="Q36" s="65"/>
    </row>
    <row r="37" spans="2:19" ht="37" customHeight="1">
      <c r="B37" s="844" t="s">
        <v>39</v>
      </c>
      <c r="C37" s="845"/>
      <c r="D37" s="845"/>
      <c r="E37" s="845"/>
      <c r="F37" s="845"/>
      <c r="G37" s="845"/>
      <c r="H37" s="845"/>
      <c r="I37" s="845"/>
      <c r="J37" s="65"/>
      <c r="K37" s="65"/>
      <c r="L37" s="65"/>
      <c r="M37" s="65"/>
      <c r="N37" s="65"/>
      <c r="O37" s="65"/>
      <c r="P37" s="65"/>
      <c r="Q37" s="65"/>
      <c r="R37" s="3"/>
      <c r="S37" s="3"/>
    </row>
    <row r="38" spans="2:19">
      <c r="B38" s="66"/>
      <c r="C38" s="66"/>
      <c r="D38" s="66"/>
      <c r="E38" s="66"/>
      <c r="F38" s="66"/>
      <c r="G38" s="66"/>
      <c r="H38" s="66"/>
      <c r="I38" s="66"/>
      <c r="J38" s="66"/>
      <c r="K38" s="66"/>
      <c r="L38" s="66"/>
      <c r="M38" s="66"/>
      <c r="N38" s="66"/>
      <c r="O38" s="66"/>
      <c r="P38" s="66"/>
      <c r="Q38" s="66"/>
    </row>
    <row r="40" spans="2:19">
      <c r="B40" s="7" t="s">
        <v>40</v>
      </c>
    </row>
    <row r="41" spans="2:19">
      <c r="B41" s="7" t="s">
        <v>41</v>
      </c>
    </row>
  </sheetData>
  <mergeCells count="12">
    <mergeCell ref="B26:I26"/>
    <mergeCell ref="B37:I37"/>
    <mergeCell ref="B36:I36"/>
    <mergeCell ref="B35:I35"/>
    <mergeCell ref="B34:I34"/>
    <mergeCell ref="B33:I33"/>
    <mergeCell ref="B32:I32"/>
    <mergeCell ref="B31:I31"/>
    <mergeCell ref="B30:I30"/>
    <mergeCell ref="B29:I29"/>
    <mergeCell ref="B28:I28"/>
    <mergeCell ref="B27:I27"/>
  </mergeCells>
  <hyperlinks>
    <hyperlink ref="A1" location="TOC!A1" display="Back" xr:uid="{689F0459-77FE-4169-9B85-B10547D8FFE9}"/>
  </hyperlinks>
  <pageMargins left="0.5" right="0.5" top="0.4" bottom="0.8" header="0.25" footer="0.35"/>
  <pageSetup scale="68" orientation="landscape" cellComments="asDisplayed" r:id="rId1"/>
  <headerFooter scaleWithDoc="0">
    <oddHeader>&amp;R&amp;P</oddHeader>
    <oddFooter>&amp;R&amp;G&amp;L© 2025 Virginia Department of Taxation, All Rights Reserved</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96746-EF30-4D03-A74D-553F50DB8DA0}">
  <sheetPr codeName="Sheet12">
    <pageSetUpPr fitToPage="1"/>
  </sheetPr>
  <dimension ref="A1:N46"/>
  <sheetViews>
    <sheetView zoomScaleNormal="100" workbookViewId="0">
      <selection activeCell="B1" sqref="B1"/>
    </sheetView>
  </sheetViews>
  <sheetFormatPr defaultRowHeight="13"/>
  <cols>
    <col min="1" max="1" width="4.19921875" customWidth="1"/>
    <col min="2" max="2" width="65.69921875" customWidth="1"/>
    <col min="3" max="3" width="0.8984375" customWidth="1"/>
    <col min="4" max="8" width="17.69921875" customWidth="1"/>
    <col min="9" max="9" width="1.69921875" customWidth="1"/>
  </cols>
  <sheetData>
    <row r="1" spans="1:9" s="2" customFormat="1" ht="15.5">
      <c r="A1" s="813" t="s">
        <v>42</v>
      </c>
      <c r="B1" s="146" t="s">
        <v>587</v>
      </c>
      <c r="C1" s="166"/>
      <c r="D1" s="166"/>
      <c r="E1" s="166"/>
      <c r="F1" s="166"/>
      <c r="G1" s="166"/>
      <c r="H1" s="166"/>
      <c r="I1" s="166"/>
    </row>
    <row r="2" spans="1:9">
      <c r="B2" s="165" t="s">
        <v>588</v>
      </c>
      <c r="C2" s="147"/>
      <c r="D2" s="147"/>
      <c r="E2" s="147"/>
      <c r="F2" s="147"/>
      <c r="G2" s="147"/>
      <c r="H2" s="147"/>
      <c r="I2" s="147"/>
    </row>
    <row r="3" spans="1:9" ht="6" customHeight="1" thickBot="1">
      <c r="B3" s="147"/>
      <c r="C3" s="147"/>
      <c r="D3" s="147"/>
      <c r="E3" s="147"/>
      <c r="F3" s="147"/>
      <c r="G3" s="147"/>
      <c r="H3" s="147"/>
      <c r="I3" s="147"/>
    </row>
    <row r="4" spans="1:9">
      <c r="B4" s="148" t="s">
        <v>589</v>
      </c>
      <c r="C4" s="149"/>
      <c r="D4" s="150" t="s">
        <v>590</v>
      </c>
      <c r="E4" s="150" t="s">
        <v>591</v>
      </c>
      <c r="F4" s="150" t="s">
        <v>592</v>
      </c>
      <c r="G4" s="150" t="s">
        <v>163</v>
      </c>
      <c r="H4" s="150" t="s">
        <v>1442</v>
      </c>
      <c r="I4" s="147"/>
    </row>
    <row r="5" spans="1:9">
      <c r="B5" s="147" t="s">
        <v>593</v>
      </c>
      <c r="C5" s="151"/>
      <c r="D5" s="151">
        <v>343457996.44</v>
      </c>
      <c r="E5" s="151">
        <v>380960018.82000029</v>
      </c>
      <c r="F5" s="151">
        <v>401887807.80000001</v>
      </c>
      <c r="G5" s="151">
        <v>420936387.81</v>
      </c>
      <c r="H5" s="151">
        <v>432656406.05999994</v>
      </c>
      <c r="I5" s="152"/>
    </row>
    <row r="6" spans="1:9">
      <c r="B6" s="147" t="s">
        <v>594</v>
      </c>
      <c r="C6" s="153"/>
      <c r="D6" s="153">
        <v>757468403.81999981</v>
      </c>
      <c r="E6" s="153">
        <v>863716420.44000018</v>
      </c>
      <c r="F6" s="153">
        <v>871806794.55000007</v>
      </c>
      <c r="G6" s="153">
        <v>1000078482.2499998</v>
      </c>
      <c r="H6" s="153">
        <v>1061687732.4000001</v>
      </c>
      <c r="I6" s="152"/>
    </row>
    <row r="7" spans="1:9">
      <c r="B7" s="147" t="s">
        <v>595</v>
      </c>
      <c r="C7" s="153"/>
      <c r="D7" s="153">
        <v>2104605315.4099991</v>
      </c>
      <c r="E7" s="153">
        <v>2415541185.5699987</v>
      </c>
      <c r="F7" s="153">
        <v>2854535604.1699986</v>
      </c>
      <c r="G7" s="153">
        <v>2889761995.9700012</v>
      </c>
      <c r="H7" s="153">
        <v>3052738839.5400014</v>
      </c>
      <c r="I7" s="152"/>
    </row>
    <row r="8" spans="1:9">
      <c r="B8" s="147" t="s">
        <v>596</v>
      </c>
      <c r="C8" s="153"/>
      <c r="D8" s="153">
        <v>9198817342.7799988</v>
      </c>
      <c r="E8" s="153">
        <v>11047152801.48</v>
      </c>
      <c r="F8" s="153">
        <v>12439774395.190004</v>
      </c>
      <c r="G8" s="153">
        <v>12743158566.580004</v>
      </c>
      <c r="H8" s="153">
        <v>12984960756.330004</v>
      </c>
      <c r="I8" s="152"/>
    </row>
    <row r="9" spans="1:9">
      <c r="B9" s="147" t="s">
        <v>597</v>
      </c>
      <c r="C9" s="153"/>
      <c r="D9" s="153">
        <v>12709075508.01</v>
      </c>
      <c r="E9" s="153">
        <v>14973863018.57</v>
      </c>
      <c r="F9" s="153">
        <v>17605898229.57</v>
      </c>
      <c r="G9" s="153">
        <v>18143682978.109993</v>
      </c>
      <c r="H9" s="153">
        <v>18586617278.430004</v>
      </c>
      <c r="I9" s="152"/>
    </row>
    <row r="10" spans="1:9">
      <c r="B10" s="147" t="s">
        <v>598</v>
      </c>
      <c r="C10" s="153"/>
      <c r="D10" s="153">
        <v>73604833975.669983</v>
      </c>
      <c r="E10" s="153">
        <v>81413784682.449997</v>
      </c>
      <c r="F10" s="153">
        <v>85535328282.109985</v>
      </c>
      <c r="G10" s="153">
        <v>88877626116.969986</v>
      </c>
      <c r="H10" s="153">
        <v>89802032240.050003</v>
      </c>
      <c r="I10" s="152"/>
    </row>
    <row r="11" spans="1:9">
      <c r="B11" s="154" t="s">
        <v>599</v>
      </c>
      <c r="C11" s="153"/>
      <c r="D11" s="153">
        <v>1658963925.1699991</v>
      </c>
      <c r="E11" s="153">
        <v>1946097217.1999998</v>
      </c>
      <c r="F11" s="153">
        <v>1932000570.8600001</v>
      </c>
      <c r="G11" s="153">
        <v>1771118677.2700002</v>
      </c>
      <c r="H11" s="153">
        <v>1648727510.5199997</v>
      </c>
      <c r="I11" s="152"/>
    </row>
    <row r="12" spans="1:9">
      <c r="B12" s="154" t="s">
        <v>600</v>
      </c>
      <c r="C12" s="153"/>
      <c r="D12" s="153">
        <v>1281963872.98</v>
      </c>
      <c r="E12" s="153">
        <v>1489683749.05</v>
      </c>
      <c r="F12" s="153">
        <v>1544788522.3900003</v>
      </c>
      <c r="G12" s="153">
        <v>1435872452.2800002</v>
      </c>
      <c r="H12" s="153">
        <v>1412414876.5700002</v>
      </c>
      <c r="I12" s="152"/>
    </row>
    <row r="13" spans="1:9">
      <c r="B13" s="154" t="s">
        <v>601</v>
      </c>
      <c r="C13" s="153"/>
      <c r="D13" s="153">
        <v>8861137770.1399994</v>
      </c>
      <c r="E13" s="153">
        <v>9967343937.0699997</v>
      </c>
      <c r="F13" s="153">
        <v>10435955765.099997</v>
      </c>
      <c r="G13" s="153">
        <v>10125151240.679998</v>
      </c>
      <c r="H13" s="153">
        <v>9923579543.5400066</v>
      </c>
      <c r="I13" s="152"/>
    </row>
    <row r="14" spans="1:9">
      <c r="B14" s="154" t="s">
        <v>602</v>
      </c>
      <c r="C14" s="153"/>
      <c r="D14" s="153">
        <v>18861838314.450008</v>
      </c>
      <c r="E14" s="153">
        <v>19380710351.990009</v>
      </c>
      <c r="F14" s="153">
        <v>20535127388.170002</v>
      </c>
      <c r="G14" s="153">
        <v>21469360431.840008</v>
      </c>
      <c r="H14" s="153">
        <v>22022171364.670002</v>
      </c>
      <c r="I14" s="152"/>
    </row>
    <row r="15" spans="1:9">
      <c r="B15" s="154" t="s">
        <v>603</v>
      </c>
      <c r="C15" s="153"/>
      <c r="D15" s="153">
        <v>3530524598.0100017</v>
      </c>
      <c r="E15" s="153">
        <v>4571777794.5</v>
      </c>
      <c r="F15" s="153">
        <v>4797417625.4799986</v>
      </c>
      <c r="G15" s="153">
        <v>4976546570.1000004</v>
      </c>
      <c r="H15" s="153">
        <v>5079153446.8199978</v>
      </c>
      <c r="I15" s="152"/>
    </row>
    <row r="16" spans="1:9">
      <c r="B16" s="154" t="s">
        <v>604</v>
      </c>
      <c r="C16" s="153"/>
      <c r="D16" s="153">
        <v>1368591580.4500003</v>
      </c>
      <c r="E16" s="153">
        <v>1974071790.0300004</v>
      </c>
      <c r="F16" s="153">
        <v>2080756993.5499997</v>
      </c>
      <c r="G16" s="153">
        <v>2162648484.48</v>
      </c>
      <c r="H16" s="153">
        <v>2221609822.1399999</v>
      </c>
      <c r="I16" s="152"/>
    </row>
    <row r="17" spans="2:14">
      <c r="B17" s="154" t="s">
        <v>605</v>
      </c>
      <c r="C17" s="153"/>
      <c r="D17" s="153">
        <v>8306052828.6000004</v>
      </c>
      <c r="E17" s="153">
        <v>9110994135.8499947</v>
      </c>
      <c r="F17" s="153">
        <v>9707705980.4200001</v>
      </c>
      <c r="G17" s="153">
        <v>9992967745.3200054</v>
      </c>
      <c r="H17" s="153">
        <v>10131523177.259996</v>
      </c>
      <c r="I17" s="152"/>
    </row>
    <row r="18" spans="2:14">
      <c r="B18" s="154" t="s">
        <v>606</v>
      </c>
      <c r="C18" s="153"/>
      <c r="D18" s="153">
        <v>10432351876.689999</v>
      </c>
      <c r="E18" s="153">
        <v>10688115504.720007</v>
      </c>
      <c r="F18" s="153">
        <v>11106912254.389996</v>
      </c>
      <c r="G18" s="153">
        <v>12364398723.449993</v>
      </c>
      <c r="H18" s="153">
        <v>12813713099.23</v>
      </c>
      <c r="I18" s="152"/>
    </row>
    <row r="19" spans="2:14">
      <c r="B19" s="147" t="s">
        <v>607</v>
      </c>
      <c r="C19" s="153"/>
      <c r="D19" s="153">
        <v>331661775.24000001</v>
      </c>
      <c r="E19" s="153">
        <v>331074969.45000011</v>
      </c>
      <c r="F19" s="153">
        <v>407709599.61999995</v>
      </c>
      <c r="G19" s="153">
        <v>473964649.90999985</v>
      </c>
      <c r="H19" s="153">
        <v>505702134.3500002</v>
      </c>
      <c r="I19" s="152"/>
    </row>
    <row r="20" spans="2:14">
      <c r="B20" s="147" t="s">
        <v>608</v>
      </c>
      <c r="C20" s="153"/>
      <c r="D20" s="153">
        <v>4698837126.3300018</v>
      </c>
      <c r="E20" s="153">
        <v>4805743036.3000002</v>
      </c>
      <c r="F20" s="153">
        <v>4693410286.3000002</v>
      </c>
      <c r="G20" s="155">
        <v>4780281951.04</v>
      </c>
      <c r="H20" s="155">
        <v>4996290836.0500011</v>
      </c>
      <c r="I20" s="152"/>
    </row>
    <row r="21" spans="2:14" s="3" customFormat="1">
      <c r="B21" s="147" t="s">
        <v>609</v>
      </c>
      <c r="C21" s="153"/>
      <c r="D21" s="153">
        <v>800088358.83999991</v>
      </c>
      <c r="E21" s="153">
        <v>622455003.33999979</v>
      </c>
      <c r="F21" s="153">
        <v>662650360.06999993</v>
      </c>
      <c r="G21" s="153">
        <v>622653414.92999995</v>
      </c>
      <c r="H21" s="153">
        <v>721210921.90000021</v>
      </c>
      <c r="I21" s="152"/>
      <c r="M21"/>
      <c r="N21"/>
    </row>
    <row r="22" spans="2:14" s="3" customFormat="1">
      <c r="B22" s="147" t="s">
        <v>610</v>
      </c>
      <c r="C22" s="153"/>
      <c r="D22" s="153">
        <v>2706279237.9700003</v>
      </c>
      <c r="E22" s="153">
        <v>2932314683.6799994</v>
      </c>
      <c r="F22" s="153">
        <v>3092029318.9799991</v>
      </c>
      <c r="G22" s="153">
        <v>3362671826.2600007</v>
      </c>
      <c r="H22" s="153">
        <v>3630268690.5000005</v>
      </c>
      <c r="I22" s="152"/>
      <c r="M22"/>
      <c r="N22"/>
    </row>
    <row r="23" spans="2:14" s="3" customFormat="1">
      <c r="B23" s="147" t="s">
        <v>611</v>
      </c>
      <c r="C23" s="153"/>
      <c r="D23" s="153">
        <v>2031168321.0700006</v>
      </c>
      <c r="E23" s="153">
        <v>2306516142.7200003</v>
      </c>
      <c r="F23" s="153">
        <v>2554839430.2799993</v>
      </c>
      <c r="G23" s="153">
        <v>3017024228.0400014</v>
      </c>
      <c r="H23" s="153">
        <v>2421377262.4299998</v>
      </c>
      <c r="I23" s="152"/>
      <c r="M23"/>
      <c r="N23"/>
    </row>
    <row r="24" spans="2:14" s="3" customFormat="1">
      <c r="B24" s="147" t="s">
        <v>612</v>
      </c>
      <c r="C24" s="153"/>
      <c r="D24" s="153">
        <v>7136842713.6799965</v>
      </c>
      <c r="E24" s="153">
        <v>8897912879.75</v>
      </c>
      <c r="F24" s="153">
        <v>9594889366.5300007</v>
      </c>
      <c r="G24" s="153">
        <v>10139709519.530003</v>
      </c>
      <c r="H24" s="153">
        <v>10683270634.149998</v>
      </c>
      <c r="I24" s="152"/>
      <c r="M24"/>
      <c r="N24"/>
    </row>
    <row r="25" spans="2:14" s="3" customFormat="1">
      <c r="B25" s="147" t="s">
        <v>613</v>
      </c>
      <c r="C25" s="153"/>
      <c r="D25" s="153">
        <v>496466742.81000024</v>
      </c>
      <c r="E25" s="153">
        <v>602737294.14999974</v>
      </c>
      <c r="F25" s="153">
        <v>719144207.31999993</v>
      </c>
      <c r="G25" s="153">
        <v>958367153.72999978</v>
      </c>
      <c r="H25" s="153">
        <v>1287135159.9399996</v>
      </c>
      <c r="I25" s="152"/>
      <c r="M25"/>
      <c r="N25"/>
    </row>
    <row r="26" spans="2:14" s="3" customFormat="1">
      <c r="B26" s="147" t="s">
        <v>614</v>
      </c>
      <c r="C26" s="153"/>
      <c r="D26" s="153">
        <v>57346668.50999999</v>
      </c>
      <c r="E26" s="153">
        <v>59559757.820000015</v>
      </c>
      <c r="F26" s="153">
        <v>66038393.979999982</v>
      </c>
      <c r="G26" s="153">
        <v>78391911.420000017</v>
      </c>
      <c r="H26" s="153">
        <v>77594594.000000015</v>
      </c>
      <c r="I26" s="152"/>
      <c r="M26"/>
      <c r="N26"/>
    </row>
    <row r="27" spans="2:14" s="3" customFormat="1">
      <c r="B27" s="147" t="s">
        <v>615</v>
      </c>
      <c r="C27" s="153"/>
      <c r="D27" s="153">
        <v>370899705.68000019</v>
      </c>
      <c r="E27" s="153">
        <v>431803413.19</v>
      </c>
      <c r="F27" s="153">
        <v>424682517.53999996</v>
      </c>
      <c r="G27" s="153">
        <v>451366533.73999977</v>
      </c>
      <c r="H27" s="153">
        <v>466931115.54999965</v>
      </c>
      <c r="I27" s="152"/>
      <c r="M27"/>
      <c r="N27"/>
    </row>
    <row r="28" spans="2:14" s="3" customFormat="1">
      <c r="B28" s="147" t="s">
        <v>616</v>
      </c>
      <c r="C28" s="153"/>
      <c r="D28" s="153">
        <v>481503511.48000014</v>
      </c>
      <c r="E28" s="153">
        <v>725209837.78000045</v>
      </c>
      <c r="F28" s="153">
        <v>892104400.08999979</v>
      </c>
      <c r="G28" s="153">
        <v>1022143759.64</v>
      </c>
      <c r="H28" s="153">
        <v>1020136489.0500005</v>
      </c>
      <c r="I28" s="152"/>
      <c r="M28"/>
      <c r="N28"/>
    </row>
    <row r="29" spans="2:14" s="3" customFormat="1">
      <c r="B29" s="147" t="s">
        <v>617</v>
      </c>
      <c r="C29" s="153"/>
      <c r="D29" s="153">
        <v>15727070335.820004</v>
      </c>
      <c r="E29" s="153">
        <v>20056404284.169998</v>
      </c>
      <c r="F29" s="153">
        <v>23299767471.410004</v>
      </c>
      <c r="G29" s="153">
        <v>25220267124.190014</v>
      </c>
      <c r="H29" s="153">
        <v>26171008976.570004</v>
      </c>
      <c r="I29" s="152"/>
      <c r="M29"/>
      <c r="N29"/>
    </row>
    <row r="30" spans="2:14" s="3" customFormat="1">
      <c r="B30" s="154" t="s">
        <v>618</v>
      </c>
      <c r="C30" s="153"/>
      <c r="D30" s="153">
        <v>13587586393.560003</v>
      </c>
      <c r="E30" s="153">
        <v>16951622154.539997</v>
      </c>
      <c r="F30" s="153">
        <v>19147547654.870007</v>
      </c>
      <c r="G30" s="153">
        <v>20892953013.330009</v>
      </c>
      <c r="H30" s="153">
        <v>21760573083.840004</v>
      </c>
      <c r="I30" s="152"/>
      <c r="M30"/>
      <c r="N30"/>
    </row>
    <row r="31" spans="2:14" s="3" customFormat="1">
      <c r="B31" s="147" t="s">
        <v>619</v>
      </c>
      <c r="C31" s="153"/>
      <c r="D31" s="153">
        <v>2843323206.5099993</v>
      </c>
      <c r="E31" s="153">
        <v>3181889933.5099993</v>
      </c>
      <c r="F31" s="153">
        <v>3528480906.3599992</v>
      </c>
      <c r="G31" s="153">
        <v>3764990950.3600006</v>
      </c>
      <c r="H31" s="153">
        <v>3886239544.5200005</v>
      </c>
      <c r="I31" s="152"/>
      <c r="M31"/>
      <c r="N31"/>
    </row>
    <row r="32" spans="2:14" s="3" customFormat="1">
      <c r="B32" s="147" t="s">
        <v>620</v>
      </c>
      <c r="C32" s="153"/>
      <c r="D32" s="153">
        <v>13604056.470000003</v>
      </c>
      <c r="E32" s="153">
        <v>15659377.219999993</v>
      </c>
      <c r="F32" s="153">
        <v>23428591.729999997</v>
      </c>
      <c r="G32" s="153">
        <v>25593867.840000004</v>
      </c>
      <c r="H32" s="153">
        <v>29946352.670000013</v>
      </c>
      <c r="I32" s="152"/>
      <c r="M32"/>
      <c r="N32"/>
    </row>
    <row r="33" spans="2:14" s="3" customFormat="1">
      <c r="B33" s="147" t="s">
        <v>621</v>
      </c>
      <c r="C33" s="153"/>
      <c r="D33" s="153">
        <v>1529690827.8000004</v>
      </c>
      <c r="E33" s="153">
        <v>1546044092.2000003</v>
      </c>
      <c r="F33" s="153">
        <v>1501323884.6900005</v>
      </c>
      <c r="G33" s="155">
        <v>1487709017.7099996</v>
      </c>
      <c r="H33" s="155">
        <v>1435811506.1800003</v>
      </c>
      <c r="I33" s="152"/>
      <c r="M33"/>
      <c r="N33"/>
    </row>
    <row r="34" spans="2:14" s="3" customFormat="1" ht="6" customHeight="1">
      <c r="B34" s="147"/>
      <c r="C34" s="153"/>
      <c r="D34" s="153"/>
      <c r="E34" s="153"/>
      <c r="F34" s="147"/>
      <c r="G34" s="147"/>
      <c r="H34" s="147"/>
      <c r="I34" s="147"/>
    </row>
    <row r="35" spans="2:14" s="3" customFormat="1">
      <c r="B35" s="156" t="s">
        <v>547</v>
      </c>
      <c r="C35" s="157"/>
      <c r="D35" s="157">
        <f>SUM(D5:D10,D19:D29,D31:D33)</f>
        <v>137943041130.33997</v>
      </c>
      <c r="E35" s="157">
        <f>SUM(E5:E10,E19:E29,E31:E33)</f>
        <v>157610342832.61002</v>
      </c>
      <c r="F35" s="157">
        <f>SUM(F5:F10,F19:F29,F31:F33)</f>
        <v>171169729848.29001</v>
      </c>
      <c r="G35" s="157">
        <f>SUM(G5:G10,G19:G29,G31:G33)</f>
        <v>179480380436.03003</v>
      </c>
      <c r="H35" s="157">
        <f>SUM(H5:H10,H19:H29,H31:H33)</f>
        <v>183253617470.66998</v>
      </c>
      <c r="I35" s="147"/>
    </row>
    <row r="36" spans="2:14" s="3" customFormat="1" ht="6" customHeight="1">
      <c r="B36" s="147"/>
      <c r="C36" s="153"/>
      <c r="D36" s="153"/>
      <c r="E36" s="153"/>
      <c r="F36" s="153"/>
      <c r="G36" s="158"/>
      <c r="H36" s="158"/>
      <c r="I36" s="147"/>
    </row>
    <row r="37" spans="2:14" s="3" customFormat="1" ht="12">
      <c r="B37" s="159" t="s">
        <v>24</v>
      </c>
      <c r="C37" s="159"/>
      <c r="D37" s="159"/>
      <c r="E37" s="159"/>
      <c r="F37" s="159"/>
      <c r="G37" s="159"/>
      <c r="H37" s="159"/>
      <c r="I37" s="160"/>
    </row>
    <row r="38" spans="2:14" s="3" customFormat="1" ht="26" customHeight="1">
      <c r="B38" s="846" t="s">
        <v>1472</v>
      </c>
      <c r="C38" s="846"/>
      <c r="D38" s="846"/>
      <c r="E38" s="846"/>
      <c r="F38" s="846"/>
      <c r="G38" s="846"/>
      <c r="H38" s="846"/>
      <c r="I38" s="160"/>
    </row>
    <row r="39" spans="2:14" s="3" customFormat="1" ht="12">
      <c r="B39" s="161" t="s">
        <v>622</v>
      </c>
      <c r="C39" s="161"/>
      <c r="D39" s="161"/>
      <c r="E39" s="162"/>
      <c r="F39" s="162"/>
      <c r="G39" s="162"/>
      <c r="H39" s="162"/>
      <c r="I39" s="160"/>
    </row>
    <row r="40" spans="2:14" s="3" customFormat="1" ht="24" customHeight="1">
      <c r="B40" s="846" t="s">
        <v>623</v>
      </c>
      <c r="C40" s="848"/>
      <c r="D40" s="848"/>
      <c r="E40" s="848"/>
      <c r="F40" s="848"/>
      <c r="G40" s="848"/>
      <c r="H40" s="848"/>
      <c r="I40" s="160"/>
    </row>
    <row r="41" spans="2:14" s="3" customFormat="1" ht="12">
      <c r="B41" s="163" t="s">
        <v>624</v>
      </c>
      <c r="C41" s="163"/>
      <c r="D41" s="163"/>
      <c r="E41" s="164"/>
      <c r="F41" s="164"/>
      <c r="G41" s="164"/>
      <c r="H41" s="164"/>
      <c r="I41" s="160"/>
    </row>
    <row r="42" spans="2:14" s="3" customFormat="1" ht="48" customHeight="1">
      <c r="B42" s="846" t="s">
        <v>1479</v>
      </c>
      <c r="C42" s="846"/>
      <c r="D42" s="846"/>
      <c r="E42" s="847"/>
      <c r="F42" s="847"/>
      <c r="G42" s="847"/>
      <c r="H42" s="847"/>
      <c r="I42" s="160"/>
    </row>
    <row r="43" spans="2:14" s="3" customFormat="1" ht="12">
      <c r="B43" s="163" t="s">
        <v>625</v>
      </c>
      <c r="C43" s="163"/>
      <c r="D43" s="163"/>
      <c r="E43" s="164"/>
      <c r="F43" s="164"/>
      <c r="G43" s="164"/>
      <c r="H43" s="164"/>
      <c r="I43" s="160"/>
    </row>
    <row r="45" spans="2:14">
      <c r="B45" s="7" t="s">
        <v>626</v>
      </c>
    </row>
    <row r="46" spans="2:14">
      <c r="B46" s="7"/>
    </row>
  </sheetData>
  <mergeCells count="3">
    <mergeCell ref="B38:H38"/>
    <mergeCell ref="B42:H42"/>
    <mergeCell ref="B40:H40"/>
  </mergeCells>
  <hyperlinks>
    <hyperlink ref="A1" location="TOC!A1" display="Back" xr:uid="{AA666128-E076-4203-BAA3-8F17B9CD0CC3}"/>
  </hyperlinks>
  <pageMargins left="0.5" right="0.5" top="0.4" bottom="0.8" header="0.25" footer="0.35"/>
  <pageSetup scale="87" orientation="landscape" cellComments="asDisplayed" r:id="rId1"/>
  <headerFooter scaleWithDoc="0">
    <oddHeader>&amp;R&amp;P</oddHeader>
    <oddFooter>&amp;R&amp;G&amp;L© 2025 Virginia Department of Taxation, All Rights Reserved</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EDC77-4839-4AAA-9B4C-55A09FE6278C}">
  <sheetPr codeName="Sheet4">
    <pageSetUpPr fitToPage="1"/>
  </sheetPr>
  <dimension ref="A1:E54"/>
  <sheetViews>
    <sheetView zoomScaleNormal="100" workbookViewId="0"/>
  </sheetViews>
  <sheetFormatPr defaultRowHeight="13"/>
  <cols>
    <col min="1" max="1" width="7.69921875" customWidth="1"/>
    <col min="2" max="2" width="100.69921875" style="216" customWidth="1"/>
    <col min="3" max="4" width="22.69921875" customWidth="1"/>
    <col min="5" max="5" width="4.69921875" customWidth="1"/>
    <col min="6" max="6" width="1.69921875" customWidth="1"/>
  </cols>
  <sheetData>
    <row r="1" spans="1:5" ht="15.5">
      <c r="A1" s="226" t="s">
        <v>627</v>
      </c>
      <c r="B1" s="227"/>
      <c r="C1" s="228"/>
      <c r="D1" s="228"/>
      <c r="E1" s="229"/>
    </row>
    <row r="2" spans="1:5" ht="5" customHeight="1">
      <c r="A2" s="230"/>
      <c r="B2" s="231"/>
      <c r="C2" s="232"/>
      <c r="D2" s="232"/>
      <c r="E2" s="230"/>
    </row>
    <row r="3" spans="1:5">
      <c r="A3" s="233" t="s">
        <v>628</v>
      </c>
      <c r="B3" s="231"/>
      <c r="C3" s="232"/>
      <c r="D3" s="232"/>
      <c r="E3" s="230"/>
    </row>
    <row r="4" spans="1:5">
      <c r="A4" s="816" t="s">
        <v>1220</v>
      </c>
      <c r="B4" s="234" t="str">
        <f>RevExp!$B$1&amp;" …............................................................................................................................................................................................................................................................."</f>
        <v>Net Revenue Collections¹ ….............................................................................................................................................................................................................................................................</v>
      </c>
      <c r="C4" s="232"/>
      <c r="D4" s="232"/>
      <c r="E4" s="820">
        <v>3</v>
      </c>
    </row>
    <row r="5" spans="1:5">
      <c r="A5" s="816" t="s">
        <v>1221</v>
      </c>
      <c r="B5" s="234" t="str">
        <f>ByAcct!$B$1&amp;" …................................................................................................................................................................................................................................................."</f>
        <v>Net Revenue Collections After Refunds by Tax Type ….................................................................................................................................................................................................................................................</v>
      </c>
      <c r="C5" s="232"/>
      <c r="D5" s="232"/>
      <c r="E5" s="820">
        <v>4</v>
      </c>
    </row>
    <row r="6" spans="1:5" ht="5" customHeight="1">
      <c r="A6" s="232"/>
      <c r="B6" s="231"/>
      <c r="C6" s="232"/>
      <c r="D6" s="232"/>
      <c r="E6" s="230"/>
    </row>
    <row r="7" spans="1:5">
      <c r="A7" s="233" t="s">
        <v>629</v>
      </c>
      <c r="B7" s="231"/>
      <c r="C7" s="232"/>
      <c r="D7" s="232"/>
      <c r="E7" s="230"/>
    </row>
    <row r="8" spans="1:5">
      <c r="A8" s="810">
        <v>1.1000000000000001</v>
      </c>
      <c r="B8" s="234" t="str">
        <f>'1.1'!$B$2&amp;" …................................................................................................................................................................................................................................................."</f>
        <v>Individual Income Tax Liability ….................................................................................................................................................................................................................................................</v>
      </c>
      <c r="C8" s="232"/>
      <c r="D8" s="232"/>
      <c r="E8" s="820">
        <v>5</v>
      </c>
    </row>
    <row r="9" spans="1:5">
      <c r="A9" s="810">
        <v>1.2</v>
      </c>
      <c r="B9" s="234" t="str">
        <f>'1.2'!$B$2&amp;" …................................................................................................................................................................................................................................................."</f>
        <v>Virginia Adjusted Gross Income, Exemptions, Itemized and Standard Deductions, Total Taxable Income, Total Tax Liability, and Average Tax Rates ….................................................................................................................................................................................................................................................</v>
      </c>
      <c r="C9" s="232"/>
      <c r="D9" s="232"/>
      <c r="E9" s="820">
        <v>6</v>
      </c>
    </row>
    <row r="10" spans="1:5">
      <c r="A10" s="810">
        <v>1.3</v>
      </c>
      <c r="B10" s="234" t="str">
        <f>'1.3'!$B$2&amp;" …................................................................................................................................................................................................................................................."</f>
        <v>Number and Class of Returns by Virginia Adjusted Gross Income Class ….................................................................................................................................................................................................................................................</v>
      </c>
      <c r="C10" s="232"/>
      <c r="D10" s="232"/>
      <c r="E10" s="820">
        <v>7</v>
      </c>
    </row>
    <row r="11" spans="1:5">
      <c r="A11" s="810">
        <v>1.4</v>
      </c>
      <c r="B11" s="234" t="str">
        <f>'1.4'!$B$2&amp;" …................................................................................................................................................................................................................................................."</f>
        <v>Number and Class of Exemptions by Virginia Adjusted Gross Income Class ….................................................................................................................................................................................................................................................</v>
      </c>
      <c r="C11" s="232"/>
      <c r="D11" s="232"/>
      <c r="E11" s="820">
        <v>8</v>
      </c>
    </row>
    <row r="12" spans="1:5">
      <c r="A12" s="810">
        <v>1.5</v>
      </c>
      <c r="B12" s="234" t="str">
        <f>'1.5'!$B$2&amp;" …................................................................................................................................................................................................................................................."</f>
        <v>Virginia Adjusted Gross Income by Locality/Income Level, Taxable Year 2023 ….................................................................................................................................................................................................................................................</v>
      </c>
      <c r="C12" s="232"/>
      <c r="D12" s="232"/>
      <c r="E12" s="820">
        <v>9</v>
      </c>
    </row>
    <row r="13" spans="1:5">
      <c r="A13" s="810">
        <v>1.6</v>
      </c>
      <c r="B13" s="234" t="str">
        <f>'1.6'!$B$2&amp;" …................................................................................................................................................................................................................................................."</f>
        <v>Exemptions, Standard and Itemized Deductions, and Number of Returns by Filing Status/Locality, Taxable Year 2023 ….................................................................................................................................................................................................................................................</v>
      </c>
      <c r="C13" s="232"/>
      <c r="D13" s="232"/>
      <c r="E13" s="820">
        <v>14</v>
      </c>
    </row>
    <row r="14" spans="1:5">
      <c r="A14" s="811">
        <v>1.7</v>
      </c>
      <c r="B14" s="234" t="str">
        <f>'1.7'!$B$2&amp;" …................................................................................................................................................................................................................................................."</f>
        <v>Total Net Taxable Income, Amount Taxed at Each Tax Rate, Total Income Tax Liability by Locality, Taxable Year 2023 ….................................................................................................................................................................................................................................................</v>
      </c>
      <c r="C14" s="232"/>
      <c r="D14" s="232"/>
      <c r="E14" s="820">
        <v>19</v>
      </c>
    </row>
    <row r="15" spans="1:5">
      <c r="A15" s="811">
        <v>1.8</v>
      </c>
      <c r="B15" s="234" t="str">
        <f>'1.8-1.9'!$B$2&amp;" …................................................................................................................................................................................................................................................."</f>
        <v>Set-Off Debt Transferred to Agencies by Taxable Year ….................................................................................................................................................................................................................................................</v>
      </c>
      <c r="C15" s="232"/>
      <c r="D15" s="232"/>
      <c r="E15" s="820">
        <v>24</v>
      </c>
    </row>
    <row r="16" spans="1:5">
      <c r="A16" s="816">
        <v>1.9</v>
      </c>
      <c r="B16" s="234" t="str">
        <f>'1.8-1.9'!$B$26&amp;" …..........................................................................................................................................................................................................................................................."</f>
        <v>Refund Match Totals …...........................................................................................................................................................................................................................................................</v>
      </c>
      <c r="C16" s="232"/>
      <c r="D16" s="232"/>
      <c r="E16" s="820">
        <v>24</v>
      </c>
    </row>
    <row r="17" spans="1:5">
      <c r="A17" s="811" t="s">
        <v>630</v>
      </c>
      <c r="B17" s="234" t="str">
        <f>'1.10'!$B$2&amp;" …................................................................................................................................................................................................................................................."</f>
        <v>Voluntary Contributions by Taxable Year ….................................................................................................................................................................................................................................................</v>
      </c>
      <c r="C17" s="232"/>
      <c r="D17" s="232"/>
      <c r="E17" s="820">
        <v>25</v>
      </c>
    </row>
    <row r="18" spans="1:5" ht="5" customHeight="1">
      <c r="A18" s="232"/>
      <c r="B18" s="231"/>
      <c r="C18" s="232"/>
      <c r="D18" s="232"/>
      <c r="E18" s="230"/>
    </row>
    <row r="19" spans="1:5">
      <c r="A19" s="233" t="s">
        <v>631</v>
      </c>
      <c r="B19" s="231"/>
      <c r="C19" s="232"/>
      <c r="D19" s="232"/>
      <c r="E19" s="230"/>
    </row>
    <row r="20" spans="1:5">
      <c r="A20" s="810">
        <v>2.1</v>
      </c>
      <c r="B20" s="234" t="str">
        <f>'2.1'!$B$2&amp;" .............................................................................................................................................................................................................................................................."</f>
        <v>Corporate Income Tax Revenue ..............................................................................................................................................................................................................................................................</v>
      </c>
      <c r="C20" s="232"/>
      <c r="D20" s="232"/>
      <c r="E20" s="820">
        <v>26</v>
      </c>
    </row>
    <row r="21" spans="1:5">
      <c r="A21" s="810">
        <v>2.2000000000000002</v>
      </c>
      <c r="B21" s="234" t="str">
        <f>'2.2'!$B$2&amp;" .............................................................................................................................................................................................................................................................."</f>
        <v>Corporate Income Tax:  Number of Returns, Taxable Income, and Tax Liability ..............................................................................................................................................................................................................................................................</v>
      </c>
      <c r="C21" s="232"/>
      <c r="D21" s="232"/>
      <c r="E21" s="820">
        <v>27</v>
      </c>
    </row>
    <row r="22" spans="1:5">
      <c r="A22" s="810">
        <v>2.2999999999999998</v>
      </c>
      <c r="B22" s="234" t="str">
        <f>'2.3'!$B$2&amp;" .............................................................................................................................................................................................................................................................."</f>
        <v>Pass-Through Entity Tax:  Number of Returns, Taxable Income, and Tax Liability ..............................................................................................................................................................................................................................................................</v>
      </c>
      <c r="C22" s="232"/>
      <c r="D22" s="232"/>
      <c r="E22" s="820">
        <v>28</v>
      </c>
    </row>
    <row r="23" spans="1:5" ht="5" customHeight="1">
      <c r="A23" s="232"/>
      <c r="B23" s="231"/>
      <c r="C23" s="232"/>
      <c r="D23" s="232"/>
      <c r="E23" s="230"/>
    </row>
    <row r="24" spans="1:5">
      <c r="A24" s="233" t="s">
        <v>632</v>
      </c>
      <c r="B24" s="231"/>
      <c r="C24" s="232"/>
      <c r="D24" s="232"/>
      <c r="E24" s="230"/>
    </row>
    <row r="25" spans="1:5">
      <c r="A25" s="810">
        <v>3.1</v>
      </c>
      <c r="B25" s="234" t="str">
        <f>'3.1'!$B$2&amp;" …................................................................................................................................................................................................................................................."</f>
        <v>Tax Credits:  Individual and Corporate Income Tax, Insurance Premium License Tax, and Bank Franchise Tax ….................................................................................................................................................................................................................................................</v>
      </c>
      <c r="C25" s="232"/>
      <c r="D25" s="232"/>
      <c r="E25" s="820">
        <v>29</v>
      </c>
    </row>
    <row r="26" spans="1:5" ht="5" customHeight="1">
      <c r="A26" s="232"/>
      <c r="B26" s="231"/>
      <c r="C26" s="232"/>
      <c r="D26" s="232"/>
      <c r="E26" s="230"/>
    </row>
    <row r="27" spans="1:5">
      <c r="A27" s="233" t="s">
        <v>633</v>
      </c>
      <c r="B27" s="231"/>
      <c r="C27" s="232"/>
      <c r="D27" s="232"/>
      <c r="E27" s="230"/>
    </row>
    <row r="28" spans="1:5">
      <c r="A28" s="810">
        <v>4.0999999999999996</v>
      </c>
      <c r="B28" s="234" t="str">
        <f>'4.1'!$B$2&amp;" …................................................................................................................................................................................................................................................."</f>
        <v>State and Local Retail Sales and Use Tax Net Revenue Collections ….................................................................................................................................................................................................................................................</v>
      </c>
      <c r="C28" s="232"/>
      <c r="D28" s="232"/>
      <c r="E28" s="820">
        <v>30</v>
      </c>
    </row>
    <row r="29" spans="1:5">
      <c r="A29" s="811" t="s">
        <v>634</v>
      </c>
      <c r="B29" s="234" t="str">
        <f>'4.2'!$B$2&amp;" ….............................................................................................................................................................."</f>
        <v>Annual Taxable Sales by Industry for the Commonwealth of Virginia by Calendar Year * …..............................................................................................................................................................</v>
      </c>
      <c r="C29" s="232"/>
      <c r="D29" s="232"/>
      <c r="E29" s="820">
        <v>31</v>
      </c>
    </row>
    <row r="30" spans="1:5">
      <c r="A30" s="811" t="s">
        <v>635</v>
      </c>
      <c r="B30" s="234" t="str">
        <f>'4.3'!$B$2&amp;" ….........................................................................................................................................................................................................................................................."</f>
        <v>Local Sales Tax Distribution - Fiscal Year 2025 …..........................................................................................................................................................................................................................................................</v>
      </c>
      <c r="C30" s="232"/>
      <c r="D30" s="232"/>
      <c r="E30" s="820">
        <v>32</v>
      </c>
    </row>
    <row r="31" spans="1:5" ht="5" customHeight="1">
      <c r="A31" s="232"/>
      <c r="B31" s="231"/>
      <c r="C31" s="232"/>
      <c r="D31" s="232"/>
      <c r="E31" s="230"/>
    </row>
    <row r="32" spans="1:5">
      <c r="A32" s="233" t="s">
        <v>636</v>
      </c>
      <c r="B32" s="231"/>
      <c r="C32" s="232"/>
      <c r="D32" s="232"/>
      <c r="E32" s="230"/>
    </row>
    <row r="33" spans="1:5">
      <c r="A33" s="810">
        <v>5.0999999999999996</v>
      </c>
      <c r="B33" s="234" t="str">
        <f>'5.1'!$B$2&amp;" …............................................................................................................................................................................................................................"</f>
        <v>Other Taxes Net Revenue Collections - General Fund …............................................................................................................................................................................................................................</v>
      </c>
      <c r="C33" s="232"/>
      <c r="D33" s="232"/>
      <c r="E33" s="820">
        <v>34</v>
      </c>
    </row>
    <row r="34" spans="1:5" s="3" customFormat="1">
      <c r="A34" s="810">
        <v>5.2</v>
      </c>
      <c r="B34" s="234" t="str">
        <f>'5.2'!$B$2&amp;" …............................................................................................................................................................................................................................"</f>
        <v>Other Taxes Net Revenue Collections - Non-General Fund …............................................................................................................................................................................................................................</v>
      </c>
      <c r="C34" s="232"/>
      <c r="D34" s="232"/>
      <c r="E34" s="820">
        <v>35</v>
      </c>
    </row>
    <row r="35" spans="1:5" s="3" customFormat="1">
      <c r="A35" s="811" t="s">
        <v>637</v>
      </c>
      <c r="B35" s="234" t="str">
        <f>'5.3-5.4'!$B$2&amp;" …............................................................................................................................................................................................................................"</f>
        <v>Bank Franchise Tax Assessment Tax Statement - Fiscal Year 2025 …............................................................................................................................................................................................................................</v>
      </c>
      <c r="C35" s="232"/>
      <c r="D35" s="232"/>
      <c r="E35" s="820">
        <v>37</v>
      </c>
    </row>
    <row r="36" spans="1:5" s="3" customFormat="1">
      <c r="A36" s="811" t="s">
        <v>638</v>
      </c>
      <c r="B36" s="234" t="str">
        <f>'5.3-5.4'!$B$2&amp;" …............................................................................................................................................................................................................................"</f>
        <v>Bank Franchise Tax Assessment Tax Statement - Fiscal Year 2025 …............................................................................................................................................................................................................................</v>
      </c>
      <c r="C36" s="232"/>
      <c r="D36" s="232"/>
      <c r="E36" s="820">
        <v>37</v>
      </c>
    </row>
    <row r="37" spans="1:5" s="3" customFormat="1">
      <c r="A37" s="811" t="s">
        <v>639</v>
      </c>
      <c r="B37" s="234" t="str">
        <f>'5.5'!$B$2&amp;" …................................................................................................................................................................................................................................"</f>
        <v>Recordation Tax and Deeds of Conveyance Revenue Collections by Locality  …................................................................................................................................................................................................................................</v>
      </c>
      <c r="C37" s="232"/>
      <c r="D37" s="232"/>
      <c r="E37" s="820">
        <v>38</v>
      </c>
    </row>
    <row r="38" spans="1:5" s="3" customFormat="1">
      <c r="A38" s="811" t="s">
        <v>640</v>
      </c>
      <c r="B38" s="234" t="str">
        <f>'5.6'!$B$2&amp;" …............................................................................................................................................................................................................................."</f>
        <v>Communications Sales Tax Distributions, Fiscal Year 2025 ….............................................................................................................................................................................................................................</v>
      </c>
      <c r="C38" s="232"/>
      <c r="D38" s="232"/>
      <c r="E38" s="820">
        <v>43</v>
      </c>
    </row>
    <row r="39" spans="1:5" s="3" customFormat="1">
      <c r="A39" s="811" t="s">
        <v>641</v>
      </c>
      <c r="B39" s="234" t="str">
        <f>'5.7'!$B$2&amp;" …............................................................................................................................................................................................................................."</f>
        <v>Insurance Premiums License Tax: Number of Returns, Taxable Premium Income, and Tax Liability ….............................................................................................................................................................................................................................</v>
      </c>
      <c r="C39" s="232"/>
      <c r="D39" s="232"/>
      <c r="E39" s="820">
        <v>45</v>
      </c>
    </row>
    <row r="40" spans="1:5" s="3" customFormat="1" ht="5" customHeight="1">
      <c r="A40" s="232"/>
      <c r="B40" s="231"/>
      <c r="C40" s="232"/>
      <c r="D40" s="232"/>
      <c r="E40" s="230"/>
    </row>
    <row r="41" spans="1:5" s="3" customFormat="1">
      <c r="A41" s="233" t="s">
        <v>642</v>
      </c>
      <c r="B41" s="231"/>
      <c r="C41" s="232"/>
      <c r="D41" s="232"/>
      <c r="E41" s="230"/>
    </row>
    <row r="42" spans="1:5" s="3" customFormat="1">
      <c r="A42" s="810">
        <v>6.1</v>
      </c>
      <c r="B42" s="234" t="str">
        <f>'6.1'!$B$2&amp;" …........................................................................................................................................................................................................................"</f>
        <v>Assessed Values, Levies Assessed, and Average Tax Rates …........................................................................................................................................................................................................................</v>
      </c>
      <c r="C42" s="232"/>
      <c r="D42" s="232"/>
      <c r="E42" s="820">
        <v>46</v>
      </c>
    </row>
    <row r="43" spans="1:5" s="3" customFormat="1">
      <c r="A43" s="810">
        <v>6.2</v>
      </c>
      <c r="B43" s="234" t="str">
        <f>'6.2'!$B$2&amp;" …...................................................................................................................................................."</f>
        <v>Real Estate Fair Market Value (FMV), Fair Market Value (Taxable), and Local Levy by Locality - Tax Year 2024 …....................................................................................................................................................</v>
      </c>
      <c r="C43" s="232"/>
      <c r="D43" s="232"/>
      <c r="E43" s="820">
        <v>47</v>
      </c>
    </row>
    <row r="44" spans="1:5" s="3" customFormat="1">
      <c r="A44" s="810">
        <v>6.3</v>
      </c>
      <c r="B44" s="234" t="str">
        <f>'6.3'!$B$2&amp;" …...................................................................................................................................................."</f>
        <v>Comparison of Tax Exempt Value to Total Fair Market Value (FMV) of Real Estate by Locality - Tax Year 2024 …....................................................................................................................................................</v>
      </c>
      <c r="C44" s="232"/>
      <c r="D44" s="232"/>
      <c r="E44" s="820">
        <v>52</v>
      </c>
    </row>
    <row r="45" spans="1:5" s="3" customFormat="1">
      <c r="A45" s="810">
        <v>6.4</v>
      </c>
      <c r="B45" s="234" t="str">
        <f>'6.4'!$B$2&amp;" …...................................................................................................................................................."</f>
        <v>Tangible Personal Property, Machinery &amp; Tools, Merchants' Capital, and Public Service Corporations:  Assessed Values &amp; Levies by Locality - Tax Year 2024 …....................................................................................................................................................</v>
      </c>
      <c r="C45" s="232"/>
      <c r="D45" s="232"/>
      <c r="E45" s="820">
        <v>57</v>
      </c>
    </row>
    <row r="46" spans="1:5" s="3" customFormat="1">
      <c r="A46" s="810">
        <v>6.5</v>
      </c>
      <c r="B46" s="234" t="str">
        <f>'6.5'!$B$2&amp;" …............................................................................................................................................................................................................"</f>
        <v>Personal-Use Vehicles:  Personal Property Tax by Locality - Tax Year 2024 …............................................................................................................................................................................................................</v>
      </c>
      <c r="C46" s="232"/>
      <c r="D46" s="232"/>
      <c r="E46" s="820">
        <v>62</v>
      </c>
    </row>
    <row r="47" spans="1:5" s="3" customFormat="1" ht="5" customHeight="1">
      <c r="A47" s="232"/>
      <c r="B47" s="231"/>
      <c r="C47" s="232"/>
      <c r="D47" s="232"/>
      <c r="E47" s="230"/>
    </row>
    <row r="48" spans="1:5" s="3" customFormat="1">
      <c r="A48" s="233" t="s">
        <v>643</v>
      </c>
      <c r="B48" s="231"/>
      <c r="C48" s="232"/>
      <c r="D48" s="232"/>
      <c r="E48" s="230"/>
    </row>
    <row r="49" spans="1:5" s="3" customFormat="1">
      <c r="A49" s="810">
        <v>7.1</v>
      </c>
      <c r="B49" s="234" t="str">
        <f>'7.1'!$B$2&amp;" ….........................................................................................................................................................................................................................."</f>
        <v>Nonprofit Organization Tax Exemption Annual Report By Fiscal Year  …..........................................................................................................................................................................................................................</v>
      </c>
      <c r="C49" s="232"/>
      <c r="D49" s="232"/>
      <c r="E49" s="820">
        <v>67</v>
      </c>
    </row>
    <row r="50" spans="1:5" s="3" customFormat="1" ht="5" customHeight="1">
      <c r="A50" s="232"/>
      <c r="B50" s="231"/>
      <c r="C50" s="232"/>
      <c r="D50" s="232"/>
      <c r="E50" s="230"/>
    </row>
    <row r="51" spans="1:5">
      <c r="A51" s="233" t="s">
        <v>644</v>
      </c>
      <c r="B51" s="231"/>
      <c r="C51" s="232"/>
      <c r="D51" s="232"/>
      <c r="E51" s="820">
        <v>68</v>
      </c>
    </row>
    <row r="53" spans="1:5">
      <c r="A53" s="7"/>
    </row>
    <row r="54" spans="1:5">
      <c r="A54" s="7"/>
    </row>
  </sheetData>
  <hyperlinks>
    <hyperlink ref="E20" location="'2.1'!A1" display="'2.1'!A1" xr:uid="{8F875355-584C-4D29-A13C-9E18B75756F1}"/>
    <hyperlink ref="E21" location="'2.2'!A1" display="'2.2'!A1" xr:uid="{73E3019A-EADD-434A-AE06-E9C4A54D8F4B}"/>
    <hyperlink ref="E22" location="'2.3'!A1" display="'2.3'!A1" xr:uid="{EF6DD24F-5B31-4931-BDD2-FE751D9AA13D}"/>
    <hyperlink ref="A49" location="'7.1'!A1" display="'7.1'!A1" xr:uid="{6BEE46D6-8C1E-4C59-ABBB-3555AE86F0E4}"/>
    <hyperlink ref="A46" location="'6.5'!A1" display="'6.5'!A1" xr:uid="{A84B2A90-4BAB-4FF0-A39F-03AF0EFF82FB}"/>
    <hyperlink ref="A45" location="'6.4'!A1" display="'6.4'!A1" xr:uid="{AD8D1E88-13C1-4A43-A538-B4CC7A1C0B4C}"/>
    <hyperlink ref="A44" location="'6.3'!A1" display="'6.3'!A1" xr:uid="{66B12DB4-2444-4D96-933F-125880800ED4}"/>
    <hyperlink ref="A43" location="'6.2'!A1" display="'6.2'!A1" xr:uid="{487BC11A-8E75-4F52-BDAD-E712A40F2C0C}"/>
    <hyperlink ref="A42" location="'6.1'!A1" display="'6.1'!A1" xr:uid="{9623F190-92A2-470D-A196-AA842614B953}"/>
    <hyperlink ref="A39" location="'5.7'!A1" display="5.7" xr:uid="{1A67CA8B-0133-4AC9-8F71-E81FD753BB7D}"/>
    <hyperlink ref="A38" location="'5.6'!A1" display="5.6" xr:uid="{A6285245-572D-4448-9C67-BFCCC9D822ED}"/>
    <hyperlink ref="A37" location="'5.5'!A1" display="5.5" xr:uid="{B17C3795-9FA1-4128-863A-49A8C80423B0}"/>
    <hyperlink ref="A36" location="'5.3-5.4'!A1" display="5.4" xr:uid="{73C32539-3190-491A-8A8B-3224AADE7B49}"/>
    <hyperlink ref="A35" location="'5.3-5.4'!A1" display="5.3" xr:uid="{F0DA2FF9-A706-44DF-9497-FCAD426E1C7A}"/>
    <hyperlink ref="A34" location="'5.2'!A1" display="'5.2'!A1" xr:uid="{60007D88-B2F7-46DE-BEEF-AEFD87B2B326}"/>
    <hyperlink ref="A33" location="'5.1'!A1" display="'5.1'!A1" xr:uid="{B3C82FB4-7192-47A6-991E-489B20514935}"/>
    <hyperlink ref="A30" location="'4.3'!A1" display="4.3" xr:uid="{EF1010C8-20F9-49D3-B2C1-1C37B85384A8}"/>
    <hyperlink ref="A29" location="'4.2'!A1" display="4.2" xr:uid="{1FE4F9D3-0005-445A-9EBF-BD9A2394630D}"/>
    <hyperlink ref="A28" location="'4.1'!A1" display="'4.1'!A1" xr:uid="{02818604-AAB8-43E8-BFC0-F082AB854D14}"/>
    <hyperlink ref="A25" location="'3.1'!A1" display="'3.1'!A1" xr:uid="{06E29481-DC4F-4B6D-944D-5937D2BDA9E3}"/>
    <hyperlink ref="A22" location="'2.3'!A1" display="'2.3'!A1" xr:uid="{E367D32D-E68D-4B4C-8243-F2783001DDDA}"/>
    <hyperlink ref="A21" location="'2.2'!A1" display="'2.2'!A1" xr:uid="{21816A35-3E76-43D3-A707-0EBF6BD490E7}"/>
    <hyperlink ref="A20" location="'2.1'!A1" display="'2.1'!A1" xr:uid="{D87C21DA-89F7-46AD-99AE-D19704D9C5BE}"/>
    <hyperlink ref="A17" location="'1.10'!A1" display="1.10" xr:uid="{518D8734-EA9F-4F22-9219-E8E63421F551}"/>
    <hyperlink ref="A16" location="'1.8-1.9'!A1" display="'1.8-1.9'!A1" xr:uid="{4EFB1601-7B7D-4017-A906-3A22CD56FA53}"/>
    <hyperlink ref="A15" location="'1.8-1.9'!A1" display="'1.8-1.9'!A1" xr:uid="{9B361F9D-3378-4641-8662-B6CD3D3B1667}"/>
    <hyperlink ref="A14" location="'1.7'!A1" display="'1.7'!A1" xr:uid="{E820C202-2332-4893-AF67-8EE231CA03C5}"/>
    <hyperlink ref="A13" location="'1.6'!A1" display="'1.6'!A1" xr:uid="{C4D266DF-D87B-4390-B5D7-28938BA04226}"/>
    <hyperlink ref="A12" location="'1.5'!A1" display="'1.5'!A1" xr:uid="{AFF8204F-EE4F-45DA-82A3-D99C9FFA8961}"/>
    <hyperlink ref="A11" location="'1.4'!A1" display="'1.4'!A1" xr:uid="{FCE2FFA1-BA75-4CED-A9ED-FCFE6536DC36}"/>
    <hyperlink ref="A10" location="'1.3'!A1" display="'1.3'!A1" xr:uid="{7BBA3D93-EFB5-430D-82C1-372F16FEDEB8}"/>
    <hyperlink ref="A9" location="'1.2'!A1" display="'1.2'!A1" xr:uid="{0150A4C1-DCCE-41BB-8CB5-6D8A0E798FBB}"/>
    <hyperlink ref="A8" location="'1.1'!A1" display="'1.1'!A1" xr:uid="{90F34FAE-9932-4B83-946A-391A0E3C3D99}"/>
    <hyperlink ref="A5" location="ByAcct!A1" display="ByAcct" xr:uid="{AE01CCD5-33BA-44C0-A0D6-8D5A456D186C}"/>
    <hyperlink ref="A4" location="RevExp!A1" display="RevExp" xr:uid="{371AA5A9-DB78-4334-BD24-D3DCC3B005F3}"/>
  </hyperlinks>
  <pageMargins left="0.5" right="0.5" top="0.4" bottom="0.8" header="0.25" footer="0.35"/>
  <pageSetup scale="87" orientation="landscape" cellComments="asDisplayed" r:id="rId1"/>
  <headerFooter scaleWithDoc="0">
    <oddHeader>&amp;R&amp;P</oddHeader>
    <oddFooter>&amp;R&amp;G&amp;L© 2025 Virginia Department of Taxation, All Rights Reserved</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8A13A-FFCF-4418-BD4D-2AADB64EF856}">
  <sheetPr codeName="Sheet17"/>
  <dimension ref="A1:Q69"/>
  <sheetViews>
    <sheetView zoomScaleNormal="100" workbookViewId="0"/>
  </sheetViews>
  <sheetFormatPr defaultRowHeight="13"/>
  <cols>
    <col min="1" max="1" width="4.19921875" style="814" customWidth="1"/>
    <col min="2" max="2" width="15.69921875" customWidth="1"/>
    <col min="3" max="5" width="12.19921875" customWidth="1"/>
    <col min="6" max="6" width="4.69921875" customWidth="1"/>
    <col min="7" max="7" width="15.3984375" customWidth="1"/>
    <col min="8" max="9" width="13.19921875" customWidth="1"/>
    <col min="10" max="10" width="14.69921875" customWidth="1"/>
    <col min="11" max="11" width="4.69921875" customWidth="1"/>
    <col min="12" max="15" width="14.69921875" customWidth="1"/>
    <col min="16" max="16" width="1.69921875" customWidth="1"/>
    <col min="17" max="17" width="5.19921875" customWidth="1"/>
  </cols>
  <sheetData>
    <row r="1" spans="1:17" s="2" customFormat="1" ht="15.5">
      <c r="A1" s="813" t="s">
        <v>42</v>
      </c>
      <c r="B1" s="63" t="s">
        <v>574</v>
      </c>
      <c r="C1" s="111"/>
      <c r="D1" s="112"/>
      <c r="E1" s="112"/>
      <c r="F1" s="113"/>
      <c r="G1" s="113"/>
      <c r="H1" s="112"/>
      <c r="I1" s="112"/>
      <c r="J1" s="112"/>
      <c r="K1" s="114"/>
      <c r="L1" s="114"/>
      <c r="M1" s="112"/>
      <c r="N1" s="112"/>
      <c r="O1" s="112"/>
      <c r="Q1" s="59"/>
    </row>
    <row r="2" spans="1:17">
      <c r="B2" s="64" t="s">
        <v>1232</v>
      </c>
      <c r="C2" s="115"/>
      <c r="D2" s="116"/>
      <c r="E2" s="116"/>
      <c r="F2" s="117"/>
      <c r="G2" s="117"/>
      <c r="H2" s="116"/>
      <c r="I2" s="116"/>
      <c r="J2" s="116"/>
      <c r="K2" s="118"/>
      <c r="L2" s="118"/>
      <c r="M2" s="116"/>
      <c r="N2" s="116"/>
      <c r="O2" s="116"/>
    </row>
    <row r="3" spans="1:17" ht="6" customHeight="1" thickBot="1">
      <c r="B3" s="119"/>
      <c r="C3" s="120"/>
      <c r="D3" s="120"/>
      <c r="E3" s="120"/>
      <c r="F3" s="117"/>
      <c r="G3" s="119"/>
      <c r="H3" s="120"/>
      <c r="I3" s="120"/>
      <c r="J3" s="120"/>
      <c r="K3" s="121"/>
      <c r="L3" s="121"/>
      <c r="M3" s="121"/>
      <c r="N3" s="121"/>
      <c r="O3" s="121"/>
    </row>
    <row r="4" spans="1:17" ht="26">
      <c r="B4" s="122" t="s">
        <v>125</v>
      </c>
      <c r="C4" s="123" t="s">
        <v>575</v>
      </c>
      <c r="D4" s="123" t="s">
        <v>21</v>
      </c>
      <c r="E4" s="123" t="s">
        <v>576</v>
      </c>
      <c r="F4" s="117"/>
      <c r="G4" s="122" t="s">
        <v>125</v>
      </c>
      <c r="H4" s="123" t="s">
        <v>575</v>
      </c>
      <c r="I4" s="123" t="s">
        <v>21</v>
      </c>
      <c r="J4" s="123" t="s">
        <v>576</v>
      </c>
      <c r="K4" s="121"/>
      <c r="L4" s="121"/>
      <c r="M4" s="121"/>
      <c r="N4" s="121"/>
      <c r="O4" s="121"/>
    </row>
    <row r="5" spans="1:17" s="62" customFormat="1">
      <c r="A5" s="818"/>
      <c r="B5" s="124" t="s">
        <v>179</v>
      </c>
      <c r="C5" s="125">
        <v>20780878.18</v>
      </c>
      <c r="D5" s="125">
        <v>40767746.509999998</v>
      </c>
      <c r="E5" s="124">
        <f t="shared" ref="E5:E24" si="0">SUM(C5:D5)</f>
        <v>61548624.689999998</v>
      </c>
      <c r="F5" s="126"/>
      <c r="G5" s="117" t="s">
        <v>581</v>
      </c>
      <c r="H5" s="115">
        <v>3642672.04</v>
      </c>
      <c r="I5" s="115">
        <v>2652571.0299999998</v>
      </c>
      <c r="J5" s="116">
        <f t="shared" ref="J5:J22" si="1">SUM(H5:I5)</f>
        <v>6295243.0700000003</v>
      </c>
      <c r="K5" s="124"/>
      <c r="L5" s="124"/>
      <c r="M5" s="124"/>
      <c r="N5" s="124"/>
      <c r="O5" s="124"/>
    </row>
    <row r="6" spans="1:17" s="62" customFormat="1">
      <c r="A6" s="818"/>
      <c r="B6" s="127" t="s">
        <v>180</v>
      </c>
      <c r="C6" s="115">
        <v>2805375.4</v>
      </c>
      <c r="D6" s="115">
        <v>6633958.0599999996</v>
      </c>
      <c r="E6" s="116">
        <f t="shared" si="0"/>
        <v>9439333.459999999</v>
      </c>
      <c r="F6" s="128"/>
      <c r="G6" s="117" t="s">
        <v>521</v>
      </c>
      <c r="H6" s="115">
        <v>2363229.06</v>
      </c>
      <c r="I6" s="115">
        <v>2647981.5099999998</v>
      </c>
      <c r="J6" s="116">
        <f t="shared" si="1"/>
        <v>5011210.57</v>
      </c>
      <c r="K6" s="118"/>
      <c r="L6" s="117"/>
      <c r="M6" s="115"/>
      <c r="N6" s="115"/>
      <c r="O6" s="116"/>
    </row>
    <row r="7" spans="1:17" s="62" customFormat="1">
      <c r="A7" s="818"/>
      <c r="B7" s="127" t="s">
        <v>126</v>
      </c>
      <c r="C7" s="115">
        <v>1082826.92</v>
      </c>
      <c r="D7" s="115">
        <v>632158.98</v>
      </c>
      <c r="E7" s="116">
        <f t="shared" si="0"/>
        <v>1714985.9</v>
      </c>
      <c r="F7" s="128"/>
      <c r="G7" s="117" t="s">
        <v>140</v>
      </c>
      <c r="H7" s="115">
        <v>32378347.960000001</v>
      </c>
      <c r="I7" s="115">
        <v>35674831.049999997</v>
      </c>
      <c r="J7" s="116">
        <f t="shared" si="1"/>
        <v>68053179.00999999</v>
      </c>
      <c r="K7" s="118"/>
      <c r="L7" s="117"/>
      <c r="M7" s="115"/>
      <c r="N7" s="115"/>
      <c r="O7" s="116"/>
    </row>
    <row r="8" spans="1:17" s="62" customFormat="1">
      <c r="A8" s="818"/>
      <c r="B8" s="127" t="s">
        <v>127</v>
      </c>
      <c r="C8" s="115">
        <v>6359809.9800000004</v>
      </c>
      <c r="D8" s="115">
        <v>14252852.640000001</v>
      </c>
      <c r="E8" s="116">
        <f t="shared" si="0"/>
        <v>20612662.620000001</v>
      </c>
      <c r="F8" s="128"/>
      <c r="G8" s="117" t="s">
        <v>141</v>
      </c>
      <c r="H8" s="115">
        <v>34134465.020000003</v>
      </c>
      <c r="I8" s="115">
        <v>48071166.289999999</v>
      </c>
      <c r="J8" s="116">
        <f t="shared" si="1"/>
        <v>82205631.310000002</v>
      </c>
      <c r="K8" s="118"/>
      <c r="L8" s="117"/>
      <c r="M8" s="115"/>
      <c r="N8" s="115"/>
      <c r="O8" s="116"/>
    </row>
    <row r="9" spans="1:17" s="62" customFormat="1">
      <c r="A9" s="818"/>
      <c r="B9" s="127" t="s">
        <v>517</v>
      </c>
      <c r="C9" s="115">
        <v>50762428.5</v>
      </c>
      <c r="D9" s="115">
        <v>60185414.130000003</v>
      </c>
      <c r="E9" s="116">
        <f t="shared" si="0"/>
        <v>110947842.63</v>
      </c>
      <c r="F9" s="128"/>
      <c r="G9" s="117" t="s">
        <v>583</v>
      </c>
      <c r="H9" s="115">
        <v>759609.3</v>
      </c>
      <c r="I9" s="115">
        <v>2318093.88</v>
      </c>
      <c r="J9" s="116">
        <f t="shared" si="1"/>
        <v>3077703.1799999997</v>
      </c>
      <c r="K9" s="118"/>
      <c r="L9" s="117"/>
      <c r="M9" s="115"/>
      <c r="N9" s="115"/>
      <c r="O9" s="116"/>
    </row>
    <row r="10" spans="1:17" s="62" customFormat="1" ht="21" customHeight="1">
      <c r="A10" s="818"/>
      <c r="B10" s="127" t="s">
        <v>128</v>
      </c>
      <c r="C10" s="115">
        <v>3447015.06</v>
      </c>
      <c r="D10" s="115">
        <v>10120755.51</v>
      </c>
      <c r="E10" s="116">
        <f t="shared" si="0"/>
        <v>13567770.57</v>
      </c>
      <c r="F10" s="128"/>
      <c r="G10" s="117" t="s">
        <v>522</v>
      </c>
      <c r="H10" s="115">
        <v>5054471.2</v>
      </c>
      <c r="I10" s="115">
        <v>5693897.7000000002</v>
      </c>
      <c r="J10" s="116">
        <f t="shared" si="1"/>
        <v>10748368.9</v>
      </c>
      <c r="K10" s="118"/>
      <c r="L10" s="117"/>
      <c r="M10" s="115"/>
      <c r="N10" s="115"/>
      <c r="O10" s="116"/>
    </row>
    <row r="11" spans="1:17" s="62" customFormat="1">
      <c r="A11" s="818"/>
      <c r="B11" s="127" t="s">
        <v>129</v>
      </c>
      <c r="C11" s="115">
        <v>1031035.42</v>
      </c>
      <c r="D11" s="115">
        <v>1789390.43</v>
      </c>
      <c r="E11" s="116">
        <f t="shared" si="0"/>
        <v>2820425.85</v>
      </c>
      <c r="F11" s="128"/>
      <c r="G11" s="117" t="s">
        <v>585</v>
      </c>
      <c r="H11" s="115">
        <v>2585740.84</v>
      </c>
      <c r="I11" s="115">
        <v>1243452.69</v>
      </c>
      <c r="J11" s="116">
        <f t="shared" si="1"/>
        <v>3829193.53</v>
      </c>
      <c r="K11" s="118"/>
      <c r="L11" s="117"/>
      <c r="M11" s="115"/>
      <c r="N11" s="115"/>
      <c r="O11" s="116"/>
    </row>
    <row r="12" spans="1:17" s="62" customFormat="1">
      <c r="A12" s="818"/>
      <c r="B12" s="127" t="s">
        <v>130</v>
      </c>
      <c r="C12" s="115">
        <v>7343849.3600000003</v>
      </c>
      <c r="D12" s="115">
        <v>13726795.189999999</v>
      </c>
      <c r="E12" s="116">
        <f t="shared" si="0"/>
        <v>21070644.550000001</v>
      </c>
      <c r="F12" s="128"/>
      <c r="G12" s="117" t="s">
        <v>523</v>
      </c>
      <c r="H12" s="115">
        <v>16930080.84</v>
      </c>
      <c r="I12" s="115">
        <v>12663273.35</v>
      </c>
      <c r="J12" s="116">
        <f t="shared" si="1"/>
        <v>29593354.189999998</v>
      </c>
      <c r="K12" s="118"/>
      <c r="L12" s="117"/>
      <c r="M12" s="115"/>
      <c r="N12" s="115"/>
      <c r="O12" s="116"/>
    </row>
    <row r="13" spans="1:17" s="62" customFormat="1">
      <c r="A13" s="818"/>
      <c r="B13" s="117" t="s">
        <v>131</v>
      </c>
      <c r="C13" s="115">
        <v>1130782.06</v>
      </c>
      <c r="D13" s="115">
        <v>2807701.87</v>
      </c>
      <c r="E13" s="116">
        <f t="shared" si="0"/>
        <v>3938483.93</v>
      </c>
      <c r="F13" s="128"/>
      <c r="G13" s="117" t="s">
        <v>145</v>
      </c>
      <c r="H13" s="115">
        <v>1839559</v>
      </c>
      <c r="I13" s="115">
        <v>1779307.16</v>
      </c>
      <c r="J13" s="116">
        <f t="shared" si="1"/>
        <v>3618866.16</v>
      </c>
      <c r="K13" s="118"/>
      <c r="L13" s="117"/>
      <c r="M13" s="115"/>
      <c r="N13" s="115"/>
      <c r="O13" s="116"/>
    </row>
    <row r="14" spans="1:17" s="62" customFormat="1">
      <c r="A14" s="818"/>
      <c r="B14" s="117" t="s">
        <v>535</v>
      </c>
      <c r="C14" s="115">
        <v>3783660.16</v>
      </c>
      <c r="D14" s="115">
        <v>13449816.619999999</v>
      </c>
      <c r="E14" s="116">
        <f t="shared" si="0"/>
        <v>17233476.780000001</v>
      </c>
      <c r="F14" s="128"/>
      <c r="G14" s="117" t="s">
        <v>524</v>
      </c>
      <c r="H14" s="115">
        <v>27979903.039999999</v>
      </c>
      <c r="I14" s="115">
        <v>53791456.25</v>
      </c>
      <c r="J14" s="116">
        <f t="shared" si="1"/>
        <v>81771359.289999992</v>
      </c>
      <c r="K14" s="118"/>
      <c r="L14" s="230"/>
      <c r="M14" s="230"/>
      <c r="N14" s="230"/>
      <c r="O14" s="230"/>
    </row>
    <row r="15" spans="1:17" s="62" customFormat="1" ht="21" customHeight="1">
      <c r="A15" s="818"/>
      <c r="B15" s="117" t="s">
        <v>584</v>
      </c>
      <c r="C15" s="115">
        <v>3101738.14</v>
      </c>
      <c r="D15" s="115">
        <v>7136527.6500000004</v>
      </c>
      <c r="E15" s="116">
        <f t="shared" si="0"/>
        <v>10238265.790000001</v>
      </c>
      <c r="F15" s="128"/>
      <c r="G15" s="124" t="s">
        <v>525</v>
      </c>
      <c r="H15" s="125">
        <v>16834170.559999999</v>
      </c>
      <c r="I15" s="125">
        <v>28977657.379999999</v>
      </c>
      <c r="J15" s="124">
        <f t="shared" si="1"/>
        <v>45811827.939999998</v>
      </c>
      <c r="K15" s="118"/>
      <c r="L15" s="230"/>
      <c r="M15" s="230"/>
      <c r="N15" s="230"/>
      <c r="O15" s="230"/>
    </row>
    <row r="16" spans="1:17" s="62" customFormat="1">
      <c r="A16" s="818"/>
      <c r="B16" s="117" t="s">
        <v>71</v>
      </c>
      <c r="C16" s="115">
        <v>1514423.16</v>
      </c>
      <c r="D16" s="115">
        <v>2392095.81</v>
      </c>
      <c r="E16" s="116">
        <f t="shared" si="0"/>
        <v>3906518.9699999997</v>
      </c>
      <c r="F16" s="128"/>
      <c r="G16" s="117" t="s">
        <v>526</v>
      </c>
      <c r="H16" s="115">
        <v>4010967.5</v>
      </c>
      <c r="I16" s="115">
        <v>9820357.2899999991</v>
      </c>
      <c r="J16" s="116">
        <f t="shared" si="1"/>
        <v>13831324.789999999</v>
      </c>
      <c r="K16" s="118"/>
      <c r="L16" s="230"/>
      <c r="M16" s="230"/>
      <c r="N16" s="230"/>
      <c r="O16" s="230"/>
    </row>
    <row r="17" spans="1:15" s="62" customFormat="1">
      <c r="A17" s="818"/>
      <c r="B17" s="117" t="s">
        <v>134</v>
      </c>
      <c r="C17" s="115">
        <v>4388853.92</v>
      </c>
      <c r="D17" s="115">
        <v>16462338.039999999</v>
      </c>
      <c r="E17" s="116">
        <f t="shared" si="0"/>
        <v>20851191.960000001</v>
      </c>
      <c r="F17" s="128"/>
      <c r="G17" s="117" t="s">
        <v>187</v>
      </c>
      <c r="H17" s="115">
        <v>3979317.1</v>
      </c>
      <c r="I17" s="115">
        <v>6102807.4000000004</v>
      </c>
      <c r="J17" s="116">
        <f t="shared" si="1"/>
        <v>10082124.5</v>
      </c>
      <c r="K17" s="118"/>
      <c r="L17" s="230"/>
      <c r="M17" s="230"/>
      <c r="N17" s="230"/>
      <c r="O17" s="230"/>
    </row>
    <row r="18" spans="1:15" s="62" customFormat="1">
      <c r="A18" s="818"/>
      <c r="B18" s="117" t="s">
        <v>135</v>
      </c>
      <c r="C18" s="115">
        <v>1265056.46</v>
      </c>
      <c r="D18" s="115">
        <v>3354857.83</v>
      </c>
      <c r="E18" s="116">
        <f t="shared" si="0"/>
        <v>4619914.29</v>
      </c>
      <c r="F18" s="128"/>
      <c r="G18" s="117" t="s">
        <v>527</v>
      </c>
      <c r="H18" s="115">
        <v>19011333.68</v>
      </c>
      <c r="I18" s="115">
        <v>18926054.600000001</v>
      </c>
      <c r="J18" s="116">
        <f t="shared" si="1"/>
        <v>37937388.280000001</v>
      </c>
      <c r="K18" s="118"/>
      <c r="L18" s="230"/>
      <c r="M18" s="230"/>
      <c r="N18" s="230"/>
      <c r="O18" s="230"/>
    </row>
    <row r="19" spans="1:15" s="62" customFormat="1">
      <c r="A19" s="818"/>
      <c r="B19" s="127" t="s">
        <v>520</v>
      </c>
      <c r="C19" s="115">
        <v>22760466.120000001</v>
      </c>
      <c r="D19" s="115">
        <v>23608083.98</v>
      </c>
      <c r="E19" s="116">
        <f t="shared" si="0"/>
        <v>46368550.100000001</v>
      </c>
      <c r="F19" s="128"/>
      <c r="G19" s="117" t="s">
        <v>341</v>
      </c>
      <c r="H19" s="115">
        <v>81273403.540000007</v>
      </c>
      <c r="I19" s="115">
        <v>96460222.140000001</v>
      </c>
      <c r="J19" s="116">
        <f t="shared" si="1"/>
        <v>177733625.68000001</v>
      </c>
      <c r="K19" s="118"/>
      <c r="L19" s="118"/>
      <c r="M19" s="116"/>
      <c r="N19" s="116"/>
      <c r="O19" s="129"/>
    </row>
    <row r="20" spans="1:15" s="62" customFormat="1" ht="21" customHeight="1">
      <c r="A20" s="818"/>
      <c r="B20" s="124" t="s">
        <v>578</v>
      </c>
      <c r="C20" s="125">
        <v>7803259.54</v>
      </c>
      <c r="D20" s="125">
        <v>18792426</v>
      </c>
      <c r="E20" s="124">
        <f t="shared" si="0"/>
        <v>26595685.539999999</v>
      </c>
      <c r="F20" s="128"/>
      <c r="G20" s="117" t="s">
        <v>149</v>
      </c>
      <c r="H20" s="115">
        <v>3832574.36</v>
      </c>
      <c r="I20" s="115">
        <v>7533490.75</v>
      </c>
      <c r="J20" s="116">
        <f t="shared" si="1"/>
        <v>11366065.109999999</v>
      </c>
      <c r="K20" s="118"/>
      <c r="L20" s="118"/>
      <c r="M20" s="116"/>
      <c r="N20" s="116"/>
      <c r="O20" s="129"/>
    </row>
    <row r="21" spans="1:15" s="62" customFormat="1">
      <c r="A21" s="818"/>
      <c r="B21" s="117" t="s">
        <v>137</v>
      </c>
      <c r="C21" s="115">
        <v>4426258.9400000004</v>
      </c>
      <c r="D21" s="115">
        <v>2814259.38</v>
      </c>
      <c r="E21" s="116">
        <f t="shared" si="0"/>
        <v>7240518.3200000003</v>
      </c>
      <c r="F21" s="128"/>
      <c r="G21" s="117" t="s">
        <v>582</v>
      </c>
      <c r="H21" s="115">
        <v>1394535.3</v>
      </c>
      <c r="I21" s="115">
        <v>6012307.9800000004</v>
      </c>
      <c r="J21" s="116">
        <f t="shared" si="1"/>
        <v>7406843.2800000003</v>
      </c>
      <c r="K21" s="118"/>
      <c r="L21" s="118"/>
      <c r="M21" s="116"/>
      <c r="N21" s="116"/>
      <c r="O21" s="129"/>
    </row>
    <row r="22" spans="1:15" s="62" customFormat="1">
      <c r="A22" s="818"/>
      <c r="B22" s="117" t="s">
        <v>579</v>
      </c>
      <c r="C22" s="115">
        <v>700144.98</v>
      </c>
      <c r="D22" s="115">
        <v>1408156.69</v>
      </c>
      <c r="E22" s="116">
        <f t="shared" si="0"/>
        <v>2108301.67</v>
      </c>
      <c r="F22" s="128"/>
      <c r="G22" s="117" t="s">
        <v>151</v>
      </c>
      <c r="H22" s="115">
        <v>4875119.0199999996</v>
      </c>
      <c r="I22" s="115">
        <v>13385080.789999999</v>
      </c>
      <c r="J22" s="116">
        <f t="shared" si="1"/>
        <v>18260199.809999999</v>
      </c>
      <c r="K22" s="118"/>
      <c r="L22" s="118"/>
      <c r="M22" s="116"/>
      <c r="N22" s="116"/>
      <c r="O22" s="129"/>
    </row>
    <row r="23" spans="1:15" s="62" customFormat="1">
      <c r="A23" s="818"/>
      <c r="B23" s="117" t="s">
        <v>139</v>
      </c>
      <c r="C23" s="115">
        <v>11537046.380000001</v>
      </c>
      <c r="D23" s="115">
        <v>22322227.050000001</v>
      </c>
      <c r="E23" s="116">
        <f t="shared" si="0"/>
        <v>33859273.43</v>
      </c>
      <c r="F23" s="128"/>
      <c r="G23" s="117"/>
      <c r="H23" s="115"/>
      <c r="I23" s="115"/>
      <c r="J23" s="116"/>
      <c r="K23" s="118"/>
      <c r="L23" s="118"/>
      <c r="M23" s="116"/>
      <c r="N23" s="116"/>
      <c r="O23" s="129"/>
    </row>
    <row r="24" spans="1:15" s="62" customFormat="1">
      <c r="A24" s="818"/>
      <c r="B24" s="130" t="s">
        <v>580</v>
      </c>
      <c r="C24" s="131">
        <v>8774830.5800000001</v>
      </c>
      <c r="D24" s="131">
        <v>14659038.83</v>
      </c>
      <c r="E24" s="132">
        <f t="shared" si="0"/>
        <v>23433869.41</v>
      </c>
      <c r="F24" s="128"/>
      <c r="G24" s="133" t="s">
        <v>152</v>
      </c>
      <c r="H24" s="45">
        <f>SUM(C5:C24,H5:H22)</f>
        <v>427679238.62000006</v>
      </c>
      <c r="I24" s="45">
        <f>SUM(D5:D24,I5:I22)</f>
        <v>631070610.44000006</v>
      </c>
      <c r="J24" s="45">
        <f>SUM(H24:I24)</f>
        <v>1058749849.0600002</v>
      </c>
      <c r="K24" s="118"/>
      <c r="L24" s="118"/>
      <c r="M24" s="116"/>
      <c r="N24" s="116"/>
      <c r="O24" s="129"/>
    </row>
    <row r="25" spans="1:15" s="62" customFormat="1">
      <c r="A25" s="818"/>
      <c r="B25" s="117"/>
      <c r="C25" s="115"/>
      <c r="D25" s="115"/>
      <c r="E25" s="116"/>
      <c r="F25" s="128"/>
      <c r="G25" s="118"/>
      <c r="H25" s="124"/>
      <c r="I25" s="124"/>
      <c r="J25" s="124"/>
      <c r="K25" s="118"/>
      <c r="L25" s="118"/>
      <c r="M25" s="116"/>
      <c r="N25" s="116"/>
      <c r="O25" s="129"/>
    </row>
    <row r="26" spans="1:15" s="2" customFormat="1" ht="15.5">
      <c r="A26" s="819"/>
      <c r="B26" s="226" t="str">
        <f>B1&amp;", continued"</f>
        <v>Table 4.3, continued</v>
      </c>
      <c r="C26" s="134"/>
      <c r="D26" s="134"/>
      <c r="E26" s="112"/>
      <c r="F26" s="113"/>
      <c r="G26" s="113"/>
      <c r="H26" s="135"/>
      <c r="I26" s="136"/>
      <c r="J26" s="136"/>
      <c r="K26" s="137"/>
      <c r="L26" s="137"/>
      <c r="M26" s="136"/>
      <c r="N26" s="136"/>
      <c r="O26" s="112"/>
    </row>
    <row r="27" spans="1:15">
      <c r="B27" s="233" t="str">
        <f>B2</f>
        <v>Local Sales Tax Distribution - Fiscal Year 2025</v>
      </c>
      <c r="C27" s="138"/>
      <c r="D27" s="138"/>
      <c r="E27" s="116"/>
      <c r="F27" s="117"/>
      <c r="G27" s="117"/>
      <c r="H27" s="139"/>
      <c r="I27" s="139"/>
      <c r="J27" s="139"/>
      <c r="K27" s="140"/>
      <c r="L27" s="140"/>
      <c r="M27" s="139"/>
      <c r="N27" s="139"/>
      <c r="O27" s="116"/>
    </row>
    <row r="28" spans="1:15" ht="6" customHeight="1" thickBot="1">
      <c r="B28" s="141"/>
      <c r="C28" s="138"/>
      <c r="D28" s="138"/>
      <c r="E28" s="116"/>
      <c r="F28" s="117"/>
      <c r="G28" s="117"/>
      <c r="H28" s="139"/>
      <c r="I28" s="139"/>
      <c r="J28" s="139"/>
      <c r="K28" s="140"/>
      <c r="L28" s="140"/>
      <c r="M28" s="139"/>
      <c r="N28" s="139"/>
      <c r="O28" s="116"/>
    </row>
    <row r="29" spans="1:15" ht="26">
      <c r="B29" s="122" t="s">
        <v>43</v>
      </c>
      <c r="C29" s="123" t="s">
        <v>575</v>
      </c>
      <c r="D29" s="123" t="s">
        <v>21</v>
      </c>
      <c r="E29" s="123" t="s">
        <v>576</v>
      </c>
      <c r="F29" s="142"/>
      <c r="G29" s="122" t="s">
        <v>43</v>
      </c>
      <c r="H29" s="123" t="s">
        <v>575</v>
      </c>
      <c r="I29" s="123" t="s">
        <v>21</v>
      </c>
      <c r="J29" s="123" t="s">
        <v>576</v>
      </c>
      <c r="K29" s="121"/>
      <c r="L29" s="122" t="s">
        <v>43</v>
      </c>
      <c r="M29" s="123" t="s">
        <v>575</v>
      </c>
      <c r="N29" s="123" t="s">
        <v>21</v>
      </c>
      <c r="O29" s="123" t="s">
        <v>576</v>
      </c>
    </row>
    <row r="30" spans="1:15">
      <c r="B30" s="124" t="s">
        <v>44</v>
      </c>
      <c r="C30" s="124">
        <v>5447703.3399999999</v>
      </c>
      <c r="D30" s="124">
        <v>6374892.8200000003</v>
      </c>
      <c r="E30" s="124">
        <f t="shared" ref="E30:E64" si="2">SUM(C30:D30)</f>
        <v>11822596.16</v>
      </c>
      <c r="F30" s="126"/>
      <c r="G30" s="124" t="s">
        <v>73</v>
      </c>
      <c r="H30" s="124">
        <v>6588076.4400000004</v>
      </c>
      <c r="I30" s="124">
        <v>7557831.2300000004</v>
      </c>
      <c r="J30" s="124">
        <f t="shared" ref="J30:J64" si="3">SUM(H30:I30)</f>
        <v>14145907.670000002</v>
      </c>
      <c r="K30" s="124"/>
      <c r="L30" s="124" t="s">
        <v>103</v>
      </c>
      <c r="M30" s="125">
        <v>2815925.52</v>
      </c>
      <c r="N30" s="125">
        <v>4664461.59</v>
      </c>
      <c r="O30" s="124">
        <f t="shared" ref="O30:O54" si="4">SUM(M30:N30)</f>
        <v>7480387.1099999994</v>
      </c>
    </row>
    <row r="31" spans="1:15">
      <c r="B31" s="127" t="s">
        <v>45</v>
      </c>
      <c r="C31" s="115">
        <v>19212745.280000001</v>
      </c>
      <c r="D31" s="115">
        <v>26225182.68</v>
      </c>
      <c r="E31" s="116">
        <f t="shared" si="2"/>
        <v>45437927.960000001</v>
      </c>
      <c r="F31" s="128"/>
      <c r="G31" s="117" t="s">
        <v>74</v>
      </c>
      <c r="H31" s="115">
        <v>3801883.08</v>
      </c>
      <c r="I31" s="115">
        <v>5952445.4400000004</v>
      </c>
      <c r="J31" s="116">
        <f t="shared" si="3"/>
        <v>9754328.5199999996</v>
      </c>
      <c r="K31" s="118"/>
      <c r="L31" s="127" t="s">
        <v>542</v>
      </c>
      <c r="M31" s="115">
        <v>7048445.7400000002</v>
      </c>
      <c r="N31" s="115">
        <v>4500527.74</v>
      </c>
      <c r="O31" s="116">
        <f t="shared" si="4"/>
        <v>11548973.48</v>
      </c>
    </row>
    <row r="32" spans="1:15">
      <c r="B32" s="127" t="s">
        <v>46</v>
      </c>
      <c r="C32" s="115">
        <v>2315273.88</v>
      </c>
      <c r="D32" s="115">
        <v>1288843.1100000001</v>
      </c>
      <c r="E32" s="116">
        <f t="shared" si="2"/>
        <v>3604116.99</v>
      </c>
      <c r="F32" s="128"/>
      <c r="G32" s="117" t="s">
        <v>75</v>
      </c>
      <c r="H32" s="115">
        <v>2079334.62</v>
      </c>
      <c r="I32" s="115">
        <v>929167.35</v>
      </c>
      <c r="J32" s="116">
        <f t="shared" si="3"/>
        <v>3008501.97</v>
      </c>
      <c r="K32" s="118"/>
      <c r="L32" s="127" t="s">
        <v>104</v>
      </c>
      <c r="M32" s="115">
        <v>108575220.90000001</v>
      </c>
      <c r="N32" s="115">
        <v>100052432.27</v>
      </c>
      <c r="O32" s="116">
        <f t="shared" si="4"/>
        <v>208627653.17000002</v>
      </c>
    </row>
    <row r="33" spans="2:15">
      <c r="B33" s="127" t="s">
        <v>47</v>
      </c>
      <c r="C33" s="115">
        <v>2174285.8199999998</v>
      </c>
      <c r="D33" s="115">
        <v>1519697.61</v>
      </c>
      <c r="E33" s="116">
        <f t="shared" si="2"/>
        <v>3693983.4299999997</v>
      </c>
      <c r="F33" s="128"/>
      <c r="G33" s="117" t="s">
        <v>76</v>
      </c>
      <c r="H33" s="115">
        <v>3957257.76</v>
      </c>
      <c r="I33" s="115">
        <v>3619092.88</v>
      </c>
      <c r="J33" s="116">
        <f t="shared" si="3"/>
        <v>7576350.6399999997</v>
      </c>
      <c r="K33" s="118"/>
      <c r="L33" s="127" t="s">
        <v>105</v>
      </c>
      <c r="M33" s="115">
        <v>5043921.08</v>
      </c>
      <c r="N33" s="115">
        <v>6023843.8300000001</v>
      </c>
      <c r="O33" s="116">
        <f t="shared" si="4"/>
        <v>11067764.91</v>
      </c>
    </row>
    <row r="34" spans="2:15">
      <c r="B34" s="127" t="s">
        <v>48</v>
      </c>
      <c r="C34" s="115">
        <v>5146545.0999999996</v>
      </c>
      <c r="D34" s="115">
        <v>4726733.53</v>
      </c>
      <c r="E34" s="116">
        <f t="shared" si="2"/>
        <v>9873278.629999999</v>
      </c>
      <c r="F34" s="128"/>
      <c r="G34" s="117" t="s">
        <v>77</v>
      </c>
      <c r="H34" s="115">
        <v>1391658.06</v>
      </c>
      <c r="I34" s="115">
        <v>1217915.75</v>
      </c>
      <c r="J34" s="116">
        <f t="shared" si="3"/>
        <v>2609573.81</v>
      </c>
      <c r="K34" s="118"/>
      <c r="L34" s="127" t="s">
        <v>106</v>
      </c>
      <c r="M34" s="115">
        <v>1055012.98</v>
      </c>
      <c r="N34" s="115">
        <v>1084800.53</v>
      </c>
      <c r="O34" s="116">
        <f t="shared" si="4"/>
        <v>2139813.5099999998</v>
      </c>
    </row>
    <row r="35" spans="2:15" ht="18" customHeight="1">
      <c r="B35" s="127" t="s">
        <v>49</v>
      </c>
      <c r="C35" s="115">
        <v>2958831.84</v>
      </c>
      <c r="D35" s="115">
        <v>2192135.02</v>
      </c>
      <c r="E35" s="116">
        <f t="shared" si="2"/>
        <v>5150966.8599999994</v>
      </c>
      <c r="F35" s="128"/>
      <c r="G35" s="117" t="s">
        <v>577</v>
      </c>
      <c r="H35" s="115">
        <v>5631851.0599999996</v>
      </c>
      <c r="I35" s="115">
        <v>5870211.5899999999</v>
      </c>
      <c r="J35" s="116">
        <f t="shared" si="3"/>
        <v>11502062.649999999</v>
      </c>
      <c r="K35" s="118"/>
      <c r="L35" s="127" t="s">
        <v>524</v>
      </c>
      <c r="M35" s="115">
        <v>1376312.38</v>
      </c>
      <c r="N35" s="115">
        <v>1721141.03</v>
      </c>
      <c r="O35" s="116">
        <f t="shared" si="4"/>
        <v>3097453.41</v>
      </c>
    </row>
    <row r="36" spans="2:15">
      <c r="B36" s="127" t="s">
        <v>164</v>
      </c>
      <c r="C36" s="115">
        <v>34138301.43</v>
      </c>
      <c r="D36" s="115">
        <v>55138617.380000003</v>
      </c>
      <c r="E36" s="116">
        <f t="shared" si="2"/>
        <v>89276918.810000002</v>
      </c>
      <c r="F36" s="128"/>
      <c r="G36" s="117" t="s">
        <v>79</v>
      </c>
      <c r="H36" s="115">
        <v>21059977.07</v>
      </c>
      <c r="I36" s="115">
        <v>36436509.460000001</v>
      </c>
      <c r="J36" s="116">
        <f t="shared" si="3"/>
        <v>57496486.530000001</v>
      </c>
      <c r="K36" s="118"/>
      <c r="L36" s="127" t="s">
        <v>525</v>
      </c>
      <c r="M36" s="115">
        <v>16739219.380000001</v>
      </c>
      <c r="N36" s="115">
        <v>17573701.039999999</v>
      </c>
      <c r="O36" s="116">
        <f t="shared" si="4"/>
        <v>34312920.420000002</v>
      </c>
    </row>
    <row r="37" spans="2:15">
      <c r="B37" s="127" t="s">
        <v>50</v>
      </c>
      <c r="C37" s="115">
        <v>12920072.460000001</v>
      </c>
      <c r="D37" s="115">
        <v>9993990.8499999996</v>
      </c>
      <c r="E37" s="116">
        <f t="shared" si="2"/>
        <v>22914063.310000002</v>
      </c>
      <c r="F37" s="128"/>
      <c r="G37" s="117" t="s">
        <v>80</v>
      </c>
      <c r="H37" s="115">
        <v>61903365.420000002</v>
      </c>
      <c r="I37" s="115">
        <v>96562753.400000006</v>
      </c>
      <c r="J37" s="116">
        <f t="shared" si="3"/>
        <v>158466118.81999999</v>
      </c>
      <c r="K37" s="118"/>
      <c r="L37" s="127" t="s">
        <v>107</v>
      </c>
      <c r="M37" s="115">
        <v>3504561.28</v>
      </c>
      <c r="N37" s="115">
        <v>4572632.01</v>
      </c>
      <c r="O37" s="116">
        <f t="shared" si="4"/>
        <v>8077193.2899999991</v>
      </c>
    </row>
    <row r="38" spans="2:15">
      <c r="B38" s="127" t="s">
        <v>533</v>
      </c>
      <c r="C38" s="115">
        <v>572584.30000000005</v>
      </c>
      <c r="D38" s="115">
        <v>1312575.0900000001</v>
      </c>
      <c r="E38" s="116">
        <f t="shared" si="2"/>
        <v>1885159.3900000001</v>
      </c>
      <c r="F38" s="128"/>
      <c r="G38" s="117" t="s">
        <v>81</v>
      </c>
      <c r="H38" s="115">
        <v>8048789.8200000003</v>
      </c>
      <c r="I38" s="115">
        <v>6882905.6799999997</v>
      </c>
      <c r="J38" s="116">
        <f t="shared" si="3"/>
        <v>14931695.5</v>
      </c>
      <c r="K38" s="118"/>
      <c r="L38" s="127" t="s">
        <v>108</v>
      </c>
      <c r="M38" s="115">
        <v>15392639.199999999</v>
      </c>
      <c r="N38" s="115">
        <v>14659937.33</v>
      </c>
      <c r="O38" s="116">
        <f t="shared" si="4"/>
        <v>30052576.530000001</v>
      </c>
    </row>
    <row r="39" spans="2:15">
      <c r="B39" s="127" t="s">
        <v>395</v>
      </c>
      <c r="C39" s="115">
        <v>13413051.26</v>
      </c>
      <c r="D39" s="115">
        <v>10883951.15</v>
      </c>
      <c r="E39" s="116">
        <f t="shared" si="2"/>
        <v>24297002.41</v>
      </c>
      <c r="F39" s="128"/>
      <c r="G39" s="117" t="s">
        <v>170</v>
      </c>
      <c r="H39" s="115">
        <v>257039.54</v>
      </c>
      <c r="I39" s="115">
        <v>235374.77</v>
      </c>
      <c r="J39" s="116">
        <f t="shared" si="3"/>
        <v>492414.31</v>
      </c>
      <c r="K39" s="118"/>
      <c r="L39" s="127" t="s">
        <v>109</v>
      </c>
      <c r="M39" s="115">
        <v>4122223.38</v>
      </c>
      <c r="N39" s="115">
        <v>2768208.44</v>
      </c>
      <c r="O39" s="116">
        <f t="shared" si="4"/>
        <v>6890431.8200000003</v>
      </c>
    </row>
    <row r="40" spans="2:15" ht="18" customHeight="1">
      <c r="B40" s="127" t="s">
        <v>52</v>
      </c>
      <c r="C40" s="115">
        <v>797014.34</v>
      </c>
      <c r="D40" s="115">
        <v>607810.68999999994</v>
      </c>
      <c r="E40" s="116">
        <f t="shared" si="2"/>
        <v>1404825.0299999998</v>
      </c>
      <c r="F40" s="128"/>
      <c r="G40" s="117" t="s">
        <v>82</v>
      </c>
      <c r="H40" s="115">
        <v>7470450.9000000004</v>
      </c>
      <c r="I40" s="115">
        <v>5890893.9299999997</v>
      </c>
      <c r="J40" s="116">
        <f t="shared" si="3"/>
        <v>13361344.83</v>
      </c>
      <c r="K40" s="118"/>
      <c r="L40" s="127" t="s">
        <v>110</v>
      </c>
      <c r="M40" s="115">
        <v>3418242.04</v>
      </c>
      <c r="N40" s="115">
        <v>2330887.3199999998</v>
      </c>
      <c r="O40" s="116">
        <f t="shared" si="4"/>
        <v>5749129.3599999994</v>
      </c>
    </row>
    <row r="41" spans="2:15">
      <c r="B41" s="127" t="s">
        <v>53</v>
      </c>
      <c r="C41" s="115">
        <v>5714333.8600000003</v>
      </c>
      <c r="D41" s="115">
        <v>4739529.83</v>
      </c>
      <c r="E41" s="116">
        <f t="shared" si="2"/>
        <v>10453863.690000001</v>
      </c>
      <c r="F41" s="128"/>
      <c r="G41" s="117" t="s">
        <v>537</v>
      </c>
      <c r="H41" s="115">
        <v>13326732</v>
      </c>
      <c r="I41" s="115">
        <v>15682975.27</v>
      </c>
      <c r="J41" s="116">
        <f t="shared" si="3"/>
        <v>29009707.27</v>
      </c>
      <c r="K41" s="118"/>
      <c r="L41" s="127" t="s">
        <v>111</v>
      </c>
      <c r="M41" s="115">
        <v>7802300.46</v>
      </c>
      <c r="N41" s="115">
        <v>7242740.4500000002</v>
      </c>
      <c r="O41" s="116">
        <f t="shared" si="4"/>
        <v>15045040.91</v>
      </c>
    </row>
    <row r="42" spans="2:15">
      <c r="B42" s="127" t="s">
        <v>54</v>
      </c>
      <c r="C42" s="115">
        <v>2059193.48</v>
      </c>
      <c r="D42" s="115">
        <v>1240774.57</v>
      </c>
      <c r="E42" s="116">
        <f t="shared" si="2"/>
        <v>3299968.05</v>
      </c>
      <c r="F42" s="128"/>
      <c r="G42" s="117" t="s">
        <v>84</v>
      </c>
      <c r="H42" s="115">
        <v>958143.62</v>
      </c>
      <c r="I42" s="115">
        <v>454339.79</v>
      </c>
      <c r="J42" s="116">
        <f t="shared" si="3"/>
        <v>1412483.41</v>
      </c>
      <c r="K42" s="118"/>
      <c r="L42" s="127" t="s">
        <v>112</v>
      </c>
      <c r="M42" s="115">
        <v>4787840.68</v>
      </c>
      <c r="N42" s="115">
        <v>3673203.12</v>
      </c>
      <c r="O42" s="116">
        <f t="shared" si="4"/>
        <v>8461043.8000000007</v>
      </c>
    </row>
    <row r="43" spans="2:15">
      <c r="B43" s="127" t="s">
        <v>55</v>
      </c>
      <c r="C43" s="115">
        <v>2931976.94</v>
      </c>
      <c r="D43" s="115">
        <v>2276777.44</v>
      </c>
      <c r="E43" s="116">
        <f t="shared" si="2"/>
        <v>5208754.38</v>
      </c>
      <c r="F43" s="128"/>
      <c r="G43" s="117" t="s">
        <v>85</v>
      </c>
      <c r="H43" s="115">
        <v>5948354.9400000004</v>
      </c>
      <c r="I43" s="115">
        <v>4742016.97</v>
      </c>
      <c r="J43" s="116">
        <f t="shared" si="3"/>
        <v>10690371.91</v>
      </c>
      <c r="K43" s="118"/>
      <c r="L43" s="127" t="s">
        <v>113</v>
      </c>
      <c r="M43" s="115">
        <v>2990482.24</v>
      </c>
      <c r="N43" s="115">
        <v>1227031</v>
      </c>
      <c r="O43" s="116">
        <f t="shared" si="4"/>
        <v>4217513.24</v>
      </c>
    </row>
    <row r="44" spans="2:15">
      <c r="B44" s="127" t="s">
        <v>56</v>
      </c>
      <c r="C44" s="115">
        <v>2595331.9</v>
      </c>
      <c r="D44" s="115">
        <v>1279635.97</v>
      </c>
      <c r="E44" s="116">
        <f t="shared" si="2"/>
        <v>3874967.87</v>
      </c>
      <c r="F44" s="128"/>
      <c r="G44" s="117" t="s">
        <v>538</v>
      </c>
      <c r="H44" s="115">
        <v>3370286.9</v>
      </c>
      <c r="I44" s="115">
        <v>2420693.35</v>
      </c>
      <c r="J44" s="116">
        <f t="shared" si="3"/>
        <v>5790980.25</v>
      </c>
      <c r="K44" s="118"/>
      <c r="L44" s="127" t="s">
        <v>114</v>
      </c>
      <c r="M44" s="115">
        <v>30505220.420000002</v>
      </c>
      <c r="N44" s="115">
        <v>30868149.800000001</v>
      </c>
      <c r="O44" s="116">
        <f t="shared" si="4"/>
        <v>61373370.219999999</v>
      </c>
    </row>
    <row r="45" spans="2:15" ht="18" customHeight="1">
      <c r="B45" s="127" t="s">
        <v>57</v>
      </c>
      <c r="C45" s="115">
        <v>9556499.2799999993</v>
      </c>
      <c r="D45" s="115">
        <v>9111831.4499999993</v>
      </c>
      <c r="E45" s="116">
        <f t="shared" si="2"/>
        <v>18668330.729999997</v>
      </c>
      <c r="F45" s="128"/>
      <c r="G45" s="117" t="s">
        <v>539</v>
      </c>
      <c r="H45" s="115">
        <v>1318766.22</v>
      </c>
      <c r="I45" s="115">
        <v>2948880.08</v>
      </c>
      <c r="J45" s="116">
        <f t="shared" si="3"/>
        <v>4267646.3</v>
      </c>
      <c r="K45" s="118"/>
      <c r="L45" s="127" t="s">
        <v>115</v>
      </c>
      <c r="M45" s="115">
        <v>37355131.880000003</v>
      </c>
      <c r="N45" s="115">
        <v>23975376.120000001</v>
      </c>
      <c r="O45" s="116">
        <f t="shared" si="4"/>
        <v>61330508</v>
      </c>
    </row>
    <row r="46" spans="2:15">
      <c r="B46" s="127" t="s">
        <v>58</v>
      </c>
      <c r="C46" s="115">
        <v>5977127.9800000004</v>
      </c>
      <c r="D46" s="115">
        <v>4307498.93</v>
      </c>
      <c r="E46" s="116">
        <f t="shared" si="2"/>
        <v>10284626.91</v>
      </c>
      <c r="F46" s="128"/>
      <c r="G46" s="117" t="s">
        <v>87</v>
      </c>
      <c r="H46" s="115">
        <v>3597594.24</v>
      </c>
      <c r="I46" s="115">
        <v>2167396.65</v>
      </c>
      <c r="J46" s="116">
        <f t="shared" si="3"/>
        <v>5764990.8900000006</v>
      </c>
      <c r="K46" s="118"/>
      <c r="L46" s="127" t="s">
        <v>116</v>
      </c>
      <c r="M46" s="115">
        <v>881415.38</v>
      </c>
      <c r="N46" s="115">
        <v>2016435.96</v>
      </c>
      <c r="O46" s="116">
        <f t="shared" si="4"/>
        <v>2897851.34</v>
      </c>
    </row>
    <row r="47" spans="2:15">
      <c r="B47" s="127" t="s">
        <v>59</v>
      </c>
      <c r="C47" s="115">
        <v>4425299.8600000003</v>
      </c>
      <c r="D47" s="115">
        <v>3293284.55</v>
      </c>
      <c r="E47" s="116">
        <f t="shared" si="2"/>
        <v>7718584.4100000001</v>
      </c>
      <c r="F47" s="128"/>
      <c r="G47" s="117" t="s">
        <v>88</v>
      </c>
      <c r="H47" s="115">
        <v>100035370.52</v>
      </c>
      <c r="I47" s="115">
        <v>121012103.18000001</v>
      </c>
      <c r="J47" s="116">
        <f t="shared" si="3"/>
        <v>221047473.69999999</v>
      </c>
      <c r="K47" s="118"/>
      <c r="L47" s="127" t="s">
        <v>117</v>
      </c>
      <c r="M47" s="115">
        <v>1289993.1599999999</v>
      </c>
      <c r="N47" s="115">
        <v>1588356.87</v>
      </c>
      <c r="O47" s="116">
        <f t="shared" si="4"/>
        <v>2878350.0300000003</v>
      </c>
    </row>
    <row r="48" spans="2:15">
      <c r="B48" s="127" t="s">
        <v>534</v>
      </c>
      <c r="C48" s="115">
        <v>801809.84</v>
      </c>
      <c r="D48" s="115">
        <v>1499339.58</v>
      </c>
      <c r="E48" s="116">
        <f t="shared" si="2"/>
        <v>2301149.42</v>
      </c>
      <c r="F48" s="128"/>
      <c r="G48" s="117" t="s">
        <v>89</v>
      </c>
      <c r="H48" s="115">
        <v>6630276.9400000004</v>
      </c>
      <c r="I48" s="115">
        <v>7401186.9400000004</v>
      </c>
      <c r="J48" s="116">
        <f t="shared" si="3"/>
        <v>14031463.880000001</v>
      </c>
      <c r="K48" s="118"/>
      <c r="L48" s="127" t="s">
        <v>118</v>
      </c>
      <c r="M48" s="115">
        <v>6407765.1200000001</v>
      </c>
      <c r="N48" s="115">
        <v>8059519.2199999997</v>
      </c>
      <c r="O48" s="116">
        <f t="shared" si="4"/>
        <v>14467284.34</v>
      </c>
    </row>
    <row r="49" spans="2:15">
      <c r="B49" s="127" t="s">
        <v>60</v>
      </c>
      <c r="C49" s="115">
        <v>1985342.6</v>
      </c>
      <c r="D49" s="115">
        <v>1061775.22</v>
      </c>
      <c r="E49" s="116">
        <f t="shared" si="2"/>
        <v>3047117.8200000003</v>
      </c>
      <c r="F49" s="128"/>
      <c r="G49" s="117" t="s">
        <v>90</v>
      </c>
      <c r="H49" s="115">
        <v>2004524.66</v>
      </c>
      <c r="I49" s="115">
        <v>928447.8</v>
      </c>
      <c r="J49" s="116">
        <f t="shared" si="3"/>
        <v>2932972.46</v>
      </c>
      <c r="K49" s="118"/>
      <c r="L49" s="127" t="s">
        <v>119</v>
      </c>
      <c r="M49" s="115">
        <v>7408109.2400000002</v>
      </c>
      <c r="N49" s="115">
        <v>7681160.1399999997</v>
      </c>
      <c r="O49" s="116">
        <f t="shared" si="4"/>
        <v>15089269.379999999</v>
      </c>
    </row>
    <row r="50" spans="2:15" ht="18" customHeight="1">
      <c r="B50" s="127" t="s">
        <v>61</v>
      </c>
      <c r="C50" s="115">
        <v>77572226.219999999</v>
      </c>
      <c r="D50" s="115">
        <v>79728774.049999997</v>
      </c>
      <c r="E50" s="116">
        <f t="shared" si="2"/>
        <v>157301000.26999998</v>
      </c>
      <c r="F50" s="128"/>
      <c r="G50" s="117" t="s">
        <v>91</v>
      </c>
      <c r="H50" s="115">
        <v>2415979.7000000002</v>
      </c>
      <c r="I50" s="115">
        <v>1740671.2</v>
      </c>
      <c r="J50" s="116">
        <f t="shared" si="3"/>
        <v>4156650.9000000004</v>
      </c>
      <c r="K50" s="118"/>
      <c r="L50" s="127" t="s">
        <v>120</v>
      </c>
      <c r="M50" s="115">
        <v>8327888.7000000002</v>
      </c>
      <c r="N50" s="115">
        <v>11669786.01</v>
      </c>
      <c r="O50" s="116">
        <f t="shared" si="4"/>
        <v>19997674.710000001</v>
      </c>
    </row>
    <row r="51" spans="2:15">
      <c r="B51" s="127" t="s">
        <v>62</v>
      </c>
      <c r="C51" s="115">
        <v>2588618.1800000002</v>
      </c>
      <c r="D51" s="115">
        <v>2113009.91</v>
      </c>
      <c r="E51" s="116">
        <f t="shared" si="2"/>
        <v>4701628.09</v>
      </c>
      <c r="F51" s="128"/>
      <c r="G51" s="117" t="s">
        <v>92</v>
      </c>
      <c r="H51" s="115">
        <v>1108722.72</v>
      </c>
      <c r="I51" s="115">
        <v>948765.29</v>
      </c>
      <c r="J51" s="116">
        <f t="shared" si="3"/>
        <v>2057488.01</v>
      </c>
      <c r="K51" s="118"/>
      <c r="L51" s="127" t="s">
        <v>178</v>
      </c>
      <c r="M51" s="115">
        <v>2695078.6</v>
      </c>
      <c r="N51" s="115">
        <v>2086626.71</v>
      </c>
      <c r="O51" s="116">
        <f t="shared" si="4"/>
        <v>4781705.3100000005</v>
      </c>
    </row>
    <row r="52" spans="2:15">
      <c r="B52" s="127" t="s">
        <v>63</v>
      </c>
      <c r="C52" s="115">
        <v>763445.74</v>
      </c>
      <c r="D52" s="115">
        <v>320925.61</v>
      </c>
      <c r="E52" s="116">
        <f t="shared" si="2"/>
        <v>1084371.3500000001</v>
      </c>
      <c r="F52" s="128"/>
      <c r="G52" s="117" t="s">
        <v>93</v>
      </c>
      <c r="H52" s="115">
        <v>4554778.76</v>
      </c>
      <c r="I52" s="115">
        <v>10433361.699999999</v>
      </c>
      <c r="J52" s="116">
        <f t="shared" si="3"/>
        <v>14988140.459999999</v>
      </c>
      <c r="K52" s="118"/>
      <c r="L52" s="127" t="s">
        <v>121</v>
      </c>
      <c r="M52" s="115">
        <v>5827508</v>
      </c>
      <c r="N52" s="115">
        <v>4325422.1100000003</v>
      </c>
      <c r="O52" s="116">
        <f t="shared" si="4"/>
        <v>10152930.109999999</v>
      </c>
    </row>
    <row r="53" spans="2:15">
      <c r="B53" s="127" t="s">
        <v>64</v>
      </c>
      <c r="C53" s="115">
        <v>10958707.460000001</v>
      </c>
      <c r="D53" s="115">
        <v>12264415.550000001</v>
      </c>
      <c r="E53" s="116">
        <f t="shared" si="2"/>
        <v>23223123.010000002</v>
      </c>
      <c r="F53" s="128"/>
      <c r="G53" s="117" t="s">
        <v>276</v>
      </c>
      <c r="H53" s="115">
        <v>1355212.1</v>
      </c>
      <c r="I53" s="115">
        <v>1762310.79</v>
      </c>
      <c r="J53" s="116">
        <f t="shared" si="3"/>
        <v>3117522.89</v>
      </c>
      <c r="K53" s="118"/>
      <c r="L53" s="127" t="s">
        <v>122</v>
      </c>
      <c r="M53" s="115">
        <v>4666034.5999999996</v>
      </c>
      <c r="N53" s="115">
        <v>6823359.5700000003</v>
      </c>
      <c r="O53" s="116">
        <f t="shared" si="4"/>
        <v>11489394.17</v>
      </c>
    </row>
    <row r="54" spans="2:15">
      <c r="B54" s="127" t="s">
        <v>65</v>
      </c>
      <c r="C54" s="115">
        <v>1658288.56</v>
      </c>
      <c r="D54" s="115">
        <v>816958.74</v>
      </c>
      <c r="E54" s="116">
        <f t="shared" si="2"/>
        <v>2475247.2999999998</v>
      </c>
      <c r="F54" s="128"/>
      <c r="G54" s="117" t="s">
        <v>95</v>
      </c>
      <c r="H54" s="115">
        <v>13299877.1</v>
      </c>
      <c r="I54" s="115">
        <v>18599642.870000001</v>
      </c>
      <c r="J54" s="116">
        <f t="shared" si="3"/>
        <v>31899519.969999999</v>
      </c>
      <c r="K54" s="118"/>
      <c r="L54" s="127" t="s">
        <v>123</v>
      </c>
      <c r="M54" s="115">
        <v>14746203.939999999</v>
      </c>
      <c r="N54" s="115">
        <v>14869408.58</v>
      </c>
      <c r="O54" s="116">
        <f t="shared" si="4"/>
        <v>29615612.52</v>
      </c>
    </row>
    <row r="55" spans="2:15" ht="18" customHeight="1">
      <c r="B55" s="127" t="s">
        <v>66</v>
      </c>
      <c r="C55" s="115">
        <v>2318151.2200000002</v>
      </c>
      <c r="D55" s="115">
        <v>1127254.8899999999</v>
      </c>
      <c r="E55" s="116">
        <f t="shared" si="2"/>
        <v>3445406.1100000003</v>
      </c>
      <c r="F55" s="128"/>
      <c r="G55" s="117" t="s">
        <v>96</v>
      </c>
      <c r="H55" s="115">
        <v>2082211.96</v>
      </c>
      <c r="I55" s="115">
        <v>2260776.52</v>
      </c>
      <c r="J55" s="116">
        <f t="shared" si="3"/>
        <v>4342988.4800000004</v>
      </c>
      <c r="K55" s="118"/>
      <c r="L55" s="118"/>
      <c r="M55" s="116"/>
      <c r="N55" s="116"/>
      <c r="O55" s="116"/>
    </row>
    <row r="56" spans="2:15">
      <c r="B56" s="127" t="s">
        <v>167</v>
      </c>
      <c r="C56" s="115">
        <v>5069816.84</v>
      </c>
      <c r="D56" s="115">
        <v>3582323.51</v>
      </c>
      <c r="E56" s="116">
        <f t="shared" si="2"/>
        <v>8652140.3499999996</v>
      </c>
      <c r="F56" s="128"/>
      <c r="G56" s="117" t="s">
        <v>172</v>
      </c>
      <c r="H56" s="115">
        <v>4126059.78</v>
      </c>
      <c r="I56" s="115">
        <v>3843304.64</v>
      </c>
      <c r="J56" s="116">
        <f t="shared" si="3"/>
        <v>7969364.4199999999</v>
      </c>
      <c r="K56" s="118"/>
      <c r="L56" s="230"/>
      <c r="M56" s="230"/>
      <c r="N56" s="230"/>
      <c r="O56" s="230"/>
    </row>
    <row r="57" spans="2:15">
      <c r="B57" s="127" t="s">
        <v>67</v>
      </c>
      <c r="C57" s="115">
        <v>1599783.26</v>
      </c>
      <c r="D57" s="115">
        <v>2910075.7</v>
      </c>
      <c r="E57" s="116">
        <f t="shared" si="2"/>
        <v>4509858.96</v>
      </c>
      <c r="F57" s="128"/>
      <c r="G57" s="117" t="s">
        <v>97</v>
      </c>
      <c r="H57" s="115">
        <v>1820376.94</v>
      </c>
      <c r="I57" s="115">
        <v>2454753.88</v>
      </c>
      <c r="J57" s="116">
        <f t="shared" si="3"/>
        <v>4275130.82</v>
      </c>
      <c r="K57" s="118"/>
      <c r="L57" s="143" t="s">
        <v>124</v>
      </c>
      <c r="M57" s="144">
        <f>SUM(C30:C64,H30:H64,M30:M54)</f>
        <v>1136543411.0000005</v>
      </c>
      <c r="N57" s="144">
        <f>SUM(D30:D64,I30:I64,N30:N54)</f>
        <v>1245841977.6599994</v>
      </c>
      <c r="O57" s="144">
        <f>SUM(M57:N57)</f>
        <v>2382385388.6599998</v>
      </c>
    </row>
    <row r="58" spans="2:15">
      <c r="B58" s="127" t="s">
        <v>535</v>
      </c>
      <c r="C58" s="115">
        <v>220995484.53999999</v>
      </c>
      <c r="D58" s="115">
        <v>254670649.66</v>
      </c>
      <c r="E58" s="116">
        <f t="shared" si="2"/>
        <v>475666134.19999999</v>
      </c>
      <c r="F58" s="128"/>
      <c r="G58" s="117" t="s">
        <v>540</v>
      </c>
      <c r="H58" s="115">
        <v>1406044.56</v>
      </c>
      <c r="I58" s="115">
        <v>1411915.66</v>
      </c>
      <c r="J58" s="116">
        <f t="shared" si="3"/>
        <v>2817960.2199999997</v>
      </c>
      <c r="K58" s="118"/>
      <c r="L58" s="118"/>
      <c r="M58" s="116"/>
      <c r="N58" s="116"/>
      <c r="O58" s="129"/>
    </row>
    <row r="59" spans="2:15">
      <c r="B59" s="127" t="s">
        <v>68</v>
      </c>
      <c r="C59" s="115">
        <v>14459432.279999999</v>
      </c>
      <c r="D59" s="115">
        <v>17368344.07</v>
      </c>
      <c r="E59" s="116">
        <f t="shared" si="2"/>
        <v>31827776.350000001</v>
      </c>
      <c r="F59" s="128"/>
      <c r="G59" s="117" t="s">
        <v>98</v>
      </c>
      <c r="H59" s="115">
        <v>2399674.94</v>
      </c>
      <c r="I59" s="115">
        <v>2329399.81</v>
      </c>
      <c r="J59" s="116">
        <f t="shared" si="3"/>
        <v>4729074.75</v>
      </c>
      <c r="K59" s="118"/>
      <c r="L59" s="44" t="s">
        <v>152</v>
      </c>
      <c r="M59" s="144">
        <f>H24</f>
        <v>427679238.62000006</v>
      </c>
      <c r="N59" s="144">
        <f>I24</f>
        <v>631070610.44000006</v>
      </c>
      <c r="O59" s="144">
        <f>SUM(M59:N59)</f>
        <v>1058749849.0600002</v>
      </c>
    </row>
    <row r="60" spans="2:15" ht="18" customHeight="1">
      <c r="B60" s="127" t="s">
        <v>69</v>
      </c>
      <c r="C60" s="115">
        <v>2446670.98</v>
      </c>
      <c r="D60" s="115">
        <v>1851131.19</v>
      </c>
      <c r="E60" s="116">
        <f t="shared" si="2"/>
        <v>4297802.17</v>
      </c>
      <c r="F60" s="128"/>
      <c r="G60" s="117" t="s">
        <v>99</v>
      </c>
      <c r="H60" s="115">
        <v>6533407.5800000001</v>
      </c>
      <c r="I60" s="115">
        <v>5936739.5199999996</v>
      </c>
      <c r="J60" s="116">
        <f t="shared" si="3"/>
        <v>12470147.1</v>
      </c>
      <c r="K60" s="118"/>
      <c r="L60" s="117"/>
      <c r="M60" s="124"/>
      <c r="N60" s="124"/>
      <c r="O60" s="124"/>
    </row>
    <row r="61" spans="2:15">
      <c r="B61" s="127" t="s">
        <v>70</v>
      </c>
      <c r="C61" s="115">
        <v>4522169.24</v>
      </c>
      <c r="D61" s="115">
        <v>2922367.11</v>
      </c>
      <c r="E61" s="116">
        <f t="shared" si="2"/>
        <v>7444536.3499999996</v>
      </c>
      <c r="F61" s="128"/>
      <c r="G61" s="117" t="s">
        <v>100</v>
      </c>
      <c r="H61" s="115">
        <v>3887243.22</v>
      </c>
      <c r="I61" s="115">
        <v>3450014.42</v>
      </c>
      <c r="J61" s="116">
        <f t="shared" si="3"/>
        <v>7337257.6400000006</v>
      </c>
      <c r="K61" s="118"/>
      <c r="L61" s="133" t="s">
        <v>153</v>
      </c>
      <c r="M61" s="144">
        <f>SUM(M57:M59)</f>
        <v>1564222649.6200006</v>
      </c>
      <c r="N61" s="144">
        <f>SUM(N57:N59)</f>
        <v>1876912588.0999994</v>
      </c>
      <c r="O61" s="144">
        <f>SUM(O57:O59)</f>
        <v>3441135237.7200003</v>
      </c>
    </row>
    <row r="62" spans="2:15">
      <c r="B62" s="127" t="s">
        <v>71</v>
      </c>
      <c r="C62" s="115">
        <v>8459285.8200000003</v>
      </c>
      <c r="D62" s="115">
        <v>8497942.3100000005</v>
      </c>
      <c r="E62" s="116">
        <f t="shared" si="2"/>
        <v>16957228.130000003</v>
      </c>
      <c r="F62" s="128"/>
      <c r="G62" s="117" t="s">
        <v>101</v>
      </c>
      <c r="H62" s="115">
        <v>2662469.08</v>
      </c>
      <c r="I62" s="115">
        <v>2031405.44</v>
      </c>
      <c r="J62" s="116">
        <f t="shared" si="3"/>
        <v>4693874.5199999996</v>
      </c>
      <c r="K62" s="118"/>
      <c r="L62" s="118"/>
      <c r="M62" s="116"/>
      <c r="N62" s="116"/>
      <c r="O62" s="129"/>
    </row>
    <row r="63" spans="2:15">
      <c r="B63" s="127" t="s">
        <v>169</v>
      </c>
      <c r="C63" s="115">
        <v>18088676.859999999</v>
      </c>
      <c r="D63" s="115">
        <v>23314564.34</v>
      </c>
      <c r="E63" s="116">
        <f t="shared" si="2"/>
        <v>41403241.200000003</v>
      </c>
      <c r="F63" s="128"/>
      <c r="G63" s="117" t="s">
        <v>102</v>
      </c>
      <c r="H63" s="115">
        <v>9732974.1799999997</v>
      </c>
      <c r="I63" s="115">
        <v>4545643.1500000004</v>
      </c>
      <c r="J63" s="116">
        <f t="shared" si="3"/>
        <v>14278617.33</v>
      </c>
      <c r="K63" s="118"/>
      <c r="L63" s="118"/>
      <c r="M63" s="116"/>
      <c r="N63" s="116"/>
      <c r="O63" s="129"/>
    </row>
    <row r="64" spans="2:15">
      <c r="B64" s="130" t="s">
        <v>72</v>
      </c>
      <c r="C64" s="131">
        <v>2770847.68</v>
      </c>
      <c r="D64" s="131">
        <v>2814012.01</v>
      </c>
      <c r="E64" s="132">
        <f t="shared" si="2"/>
        <v>5584859.6899999995</v>
      </c>
      <c r="F64" s="128"/>
      <c r="G64" s="145" t="s">
        <v>541</v>
      </c>
      <c r="H64" s="131">
        <v>5581018.5999999996</v>
      </c>
      <c r="I64" s="131">
        <v>5743356.3499999996</v>
      </c>
      <c r="J64" s="132">
        <f t="shared" si="3"/>
        <v>11324374.949999999</v>
      </c>
      <c r="K64" s="118"/>
      <c r="L64" s="118"/>
      <c r="M64" s="116"/>
      <c r="N64" s="116"/>
      <c r="O64" s="129"/>
    </row>
    <row r="65" spans="2:15" ht="6" customHeight="1">
      <c r="B65" s="60"/>
      <c r="C65" s="116"/>
      <c r="D65" s="116"/>
      <c r="E65" s="116"/>
      <c r="F65" s="117"/>
      <c r="G65" s="117"/>
      <c r="H65" s="116"/>
      <c r="I65" s="116"/>
      <c r="J65" s="116"/>
      <c r="K65" s="118"/>
      <c r="L65" s="118"/>
      <c r="M65" s="116"/>
      <c r="N65" s="116"/>
      <c r="O65" s="116"/>
    </row>
    <row r="66" spans="2:15" ht="6" customHeight="1">
      <c r="B66" s="127"/>
      <c r="C66" s="115"/>
      <c r="D66" s="115"/>
      <c r="E66" s="116"/>
      <c r="F66" s="128"/>
      <c r="G66" s="117"/>
      <c r="H66" s="115"/>
      <c r="I66" s="115"/>
      <c r="J66" s="116"/>
      <c r="K66" s="118"/>
      <c r="L66" s="118"/>
      <c r="M66" s="116"/>
      <c r="N66" s="116"/>
      <c r="O66" s="129"/>
    </row>
    <row r="68" spans="2:15">
      <c r="B68" s="7" t="s">
        <v>586</v>
      </c>
    </row>
    <row r="69" spans="2:15">
      <c r="B69" s="7"/>
    </row>
  </sheetData>
  <conditionalFormatting sqref="F1:F25 O19:O25 O1:O2 F30:F66 O62:O66">
    <cfRule type="cellIs" dxfId="1" priority="1" stopIfTrue="1" operator="notBetween">
      <formula>-0.1</formula>
      <formula>0.1</formula>
    </cfRule>
  </conditionalFormatting>
  <conditionalFormatting sqref="O58 O60">
    <cfRule type="cellIs" dxfId="0" priority="2" stopIfTrue="1" operator="notBetween">
      <formula>-0.1</formula>
      <formula>0.1</formula>
    </cfRule>
  </conditionalFormatting>
  <hyperlinks>
    <hyperlink ref="A1" location="TOC!A1" display="Back" xr:uid="{6C8C021D-9320-492A-8691-EB0021E454DE}"/>
  </hyperlinks>
  <pageMargins left="0.5" right="0.5" top="0.4" bottom="0.8" header="0.25" footer="0.35"/>
  <pageSetup scale="80" fitToHeight="2" orientation="landscape" cellComments="asDisplayed" r:id="rId1"/>
  <headerFooter scaleWithDoc="0">
    <oddHeader>&amp;R&amp;P</oddHeader>
    <oddFooter>&amp;R&amp;G&amp;L© 2025 Virginia Department of Taxation, All Rights Reserved</oddFooter>
  </headerFooter>
  <rowBreaks count="1" manualBreakCount="1">
    <brk id="25" min="1" max="14" man="1"/>
  </rowBreaks>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0B0FF-8AC2-4699-8A74-A1D9CFDA2BBB}">
  <sheetPr codeName="Sheet23">
    <pageSetUpPr fitToPage="1"/>
  </sheetPr>
  <dimension ref="A1:K27"/>
  <sheetViews>
    <sheetView zoomScaleNormal="100" workbookViewId="0">
      <selection activeCell="B1" sqref="B1"/>
    </sheetView>
  </sheetViews>
  <sheetFormatPr defaultRowHeight="13"/>
  <cols>
    <col min="1" max="1" width="4.19921875" customWidth="1"/>
    <col min="2" max="2" width="11.69921875" customWidth="1"/>
    <col min="3" max="3" width="15.69921875" customWidth="1"/>
    <col min="4" max="5" width="13.69921875" customWidth="1"/>
    <col min="6" max="7" width="15.69921875" customWidth="1"/>
    <col min="8" max="8" width="20.69921875" customWidth="1"/>
    <col min="9" max="9" width="19.69921875" customWidth="1"/>
    <col min="10" max="10" width="1.69921875" customWidth="1"/>
    <col min="11" max="11" width="5.19921875" customWidth="1"/>
  </cols>
  <sheetData>
    <row r="1" spans="1:11" ht="15.5">
      <c r="A1" s="813" t="s">
        <v>42</v>
      </c>
      <c r="B1" s="330" t="s">
        <v>859</v>
      </c>
      <c r="C1" s="230"/>
      <c r="D1" s="230"/>
      <c r="E1" s="230"/>
      <c r="F1" s="230"/>
      <c r="G1" s="331"/>
      <c r="H1" s="331"/>
      <c r="I1" s="230"/>
      <c r="K1" s="8"/>
    </row>
    <row r="2" spans="1:11">
      <c r="B2" s="332" t="s">
        <v>860</v>
      </c>
      <c r="C2" s="230"/>
      <c r="D2" s="230"/>
      <c r="E2" s="230"/>
      <c r="F2" s="230"/>
      <c r="G2" s="331"/>
      <c r="H2" s="331"/>
      <c r="I2" s="230"/>
    </row>
    <row r="3" spans="1:11" ht="6" customHeight="1">
      <c r="B3" s="333"/>
      <c r="C3" s="334" t="s">
        <v>861</v>
      </c>
      <c r="D3" s="230"/>
      <c r="E3" s="230"/>
      <c r="F3" s="230"/>
      <c r="G3" s="333"/>
      <c r="H3" s="333"/>
      <c r="I3" s="230"/>
    </row>
    <row r="4" spans="1:11" ht="6" customHeight="1" thickBot="1">
      <c r="B4" s="335"/>
      <c r="C4" s="230"/>
      <c r="D4" s="230"/>
      <c r="E4" s="230"/>
      <c r="F4" s="230"/>
      <c r="G4" s="333"/>
      <c r="H4" s="333"/>
      <c r="I4" s="230"/>
    </row>
    <row r="5" spans="1:11" ht="13.5" thickTop="1">
      <c r="B5" s="336"/>
      <c r="C5" s="337" t="s">
        <v>862</v>
      </c>
      <c r="D5" s="358" t="s">
        <v>863</v>
      </c>
      <c r="E5" s="338" t="s">
        <v>864</v>
      </c>
      <c r="F5" s="339" t="s">
        <v>865</v>
      </c>
      <c r="G5" s="340" t="s">
        <v>866</v>
      </c>
      <c r="H5" s="339" t="s">
        <v>867</v>
      </c>
      <c r="I5" s="340"/>
    </row>
    <row r="6" spans="1:11">
      <c r="B6" s="341" t="s">
        <v>220</v>
      </c>
      <c r="C6" s="342" t="s">
        <v>868</v>
      </c>
      <c r="D6" s="359" t="s">
        <v>869</v>
      </c>
      <c r="E6" s="343" t="s">
        <v>870</v>
      </c>
      <c r="F6" s="344" t="s">
        <v>870</v>
      </c>
      <c r="G6" s="346" t="s">
        <v>871</v>
      </c>
      <c r="H6" s="345" t="s">
        <v>872</v>
      </c>
      <c r="I6" s="346"/>
    </row>
    <row r="7" spans="1:11" ht="21" customHeight="1">
      <c r="B7" s="347">
        <v>2015</v>
      </c>
      <c r="C7" s="348">
        <v>331713000</v>
      </c>
      <c r="D7" s="348">
        <v>6419000</v>
      </c>
      <c r="E7" s="348">
        <v>98000</v>
      </c>
      <c r="F7" s="348">
        <v>4493000</v>
      </c>
      <c r="G7" s="348">
        <v>7089000</v>
      </c>
      <c r="H7" s="824">
        <v>300641000</v>
      </c>
      <c r="I7" s="172"/>
    </row>
    <row r="8" spans="1:11">
      <c r="B8" s="347">
        <v>2016</v>
      </c>
      <c r="C8" s="333">
        <v>354104000</v>
      </c>
      <c r="D8" s="333">
        <v>6364000</v>
      </c>
      <c r="E8" s="333">
        <v>222000</v>
      </c>
      <c r="F8" s="333">
        <v>4688000</v>
      </c>
      <c r="G8" s="333">
        <v>6538000</v>
      </c>
      <c r="H8" s="349">
        <v>339081000</v>
      </c>
      <c r="I8" s="172"/>
    </row>
    <row r="9" spans="1:11">
      <c r="B9" s="347">
        <v>2017</v>
      </c>
      <c r="C9" s="333">
        <v>378757000</v>
      </c>
      <c r="D9" s="333">
        <v>6521000</v>
      </c>
      <c r="E9" s="333">
        <v>8202000</v>
      </c>
      <c r="F9" s="333">
        <v>3597000</v>
      </c>
      <c r="G9" s="333">
        <v>6346000</v>
      </c>
      <c r="H9" s="349">
        <v>340910000</v>
      </c>
      <c r="I9" s="172"/>
    </row>
    <row r="10" spans="1:11">
      <c r="B10" s="347">
        <v>2018</v>
      </c>
      <c r="C10" s="333">
        <v>380183000</v>
      </c>
      <c r="D10" s="333">
        <v>6415000</v>
      </c>
      <c r="E10" s="333">
        <v>932000</v>
      </c>
      <c r="F10" s="333">
        <v>7365000</v>
      </c>
      <c r="G10" s="333">
        <v>6469000</v>
      </c>
      <c r="H10" s="349">
        <v>337947000</v>
      </c>
      <c r="I10" s="350"/>
    </row>
    <row r="11" spans="1:11">
      <c r="B11" s="347">
        <v>2019</v>
      </c>
      <c r="C11" s="333">
        <v>372107000</v>
      </c>
      <c r="D11" s="333">
        <v>6738000</v>
      </c>
      <c r="E11" s="333">
        <v>191000</v>
      </c>
      <c r="F11" s="333">
        <v>5681000</v>
      </c>
      <c r="G11" s="333">
        <v>6444000</v>
      </c>
      <c r="H11" s="349">
        <v>382018000</v>
      </c>
      <c r="I11" s="351"/>
    </row>
    <row r="12" spans="1:11">
      <c r="B12" s="347">
        <v>2020</v>
      </c>
      <c r="C12" s="333">
        <v>467121000</v>
      </c>
      <c r="D12" s="333">
        <v>6588000</v>
      </c>
      <c r="E12" s="333">
        <v>80000</v>
      </c>
      <c r="F12" s="333">
        <v>6772000</v>
      </c>
      <c r="G12" s="333">
        <v>6521000</v>
      </c>
      <c r="H12" s="352">
        <v>360588000</v>
      </c>
      <c r="I12" s="353"/>
    </row>
    <row r="13" spans="1:11">
      <c r="B13" s="347">
        <v>2021</v>
      </c>
      <c r="C13" s="333">
        <v>656756000</v>
      </c>
      <c r="D13" s="333">
        <v>7769000</v>
      </c>
      <c r="E13" s="333">
        <v>810000</v>
      </c>
      <c r="F13" s="333">
        <v>9398000</v>
      </c>
      <c r="G13" s="333">
        <v>6051000</v>
      </c>
      <c r="H13" s="352">
        <v>363105000</v>
      </c>
      <c r="I13" s="353"/>
    </row>
    <row r="14" spans="1:11">
      <c r="B14" s="347">
        <v>2022</v>
      </c>
      <c r="C14" s="333">
        <v>634000000</v>
      </c>
      <c r="D14" s="333">
        <v>8542000</v>
      </c>
      <c r="E14" s="333">
        <v>27000</v>
      </c>
      <c r="F14" s="333">
        <v>9070000</v>
      </c>
      <c r="G14" s="333">
        <v>6110000</v>
      </c>
      <c r="H14" s="352">
        <v>426830000</v>
      </c>
      <c r="I14" s="353"/>
    </row>
    <row r="15" spans="1:11">
      <c r="B15" s="347">
        <v>2023</v>
      </c>
      <c r="C15" s="354">
        <v>415504000</v>
      </c>
      <c r="D15" s="354">
        <v>8465000</v>
      </c>
      <c r="E15" s="354">
        <v>0</v>
      </c>
      <c r="F15" s="354">
        <v>9306000</v>
      </c>
      <c r="G15" s="354">
        <v>6681000</v>
      </c>
      <c r="H15" s="355">
        <v>450877000</v>
      </c>
      <c r="I15" s="356"/>
    </row>
    <row r="16" spans="1:11">
      <c r="B16" s="347">
        <v>2024</v>
      </c>
      <c r="C16" s="354">
        <v>392017000</v>
      </c>
      <c r="D16" s="354">
        <v>8501000</v>
      </c>
      <c r="E16" s="354">
        <v>0</v>
      </c>
      <c r="F16" s="354">
        <v>8049000</v>
      </c>
      <c r="G16" s="354">
        <v>7251000</v>
      </c>
      <c r="H16" s="355">
        <v>468192000</v>
      </c>
      <c r="I16" s="356"/>
    </row>
    <row r="17" spans="2:9" s="3" customFormat="1">
      <c r="B17" s="347">
        <v>2025</v>
      </c>
      <c r="C17" s="354">
        <v>455768000</v>
      </c>
      <c r="D17" s="354">
        <v>8903000</v>
      </c>
      <c r="E17" s="354">
        <v>990000</v>
      </c>
      <c r="F17" s="354">
        <v>7539000</v>
      </c>
      <c r="G17" s="354">
        <v>7285000</v>
      </c>
      <c r="H17" s="355">
        <v>541452000</v>
      </c>
      <c r="I17" s="356"/>
    </row>
    <row r="18" spans="2:9" s="3" customFormat="1">
      <c r="B18" s="357"/>
      <c r="C18" s="333"/>
      <c r="D18" s="333"/>
      <c r="E18" s="333"/>
      <c r="F18" s="333"/>
      <c r="G18" s="333"/>
      <c r="H18" s="333"/>
      <c r="I18" s="357"/>
    </row>
    <row r="19" spans="2:9" s="3" customFormat="1" ht="12">
      <c r="B19" s="826" t="s">
        <v>874</v>
      </c>
      <c r="C19" s="826"/>
      <c r="D19" s="826"/>
      <c r="E19" s="826"/>
      <c r="F19" s="826"/>
      <c r="G19" s="826"/>
      <c r="H19" s="826"/>
      <c r="I19" s="826"/>
    </row>
    <row r="20" spans="2:9" s="3" customFormat="1" ht="61" customHeight="1">
      <c r="B20" s="849" t="s">
        <v>875</v>
      </c>
      <c r="C20" s="849"/>
      <c r="D20" s="849"/>
      <c r="E20" s="849"/>
      <c r="F20" s="849"/>
      <c r="G20" s="849"/>
      <c r="H20" s="849"/>
      <c r="I20" s="849"/>
    </row>
    <row r="21" spans="2:9" s="3" customFormat="1" ht="36.5" customHeight="1">
      <c r="B21" s="849" t="s">
        <v>876</v>
      </c>
      <c r="C21" s="849"/>
      <c r="D21" s="849"/>
      <c r="E21" s="849"/>
      <c r="F21" s="849"/>
      <c r="G21" s="849"/>
      <c r="H21" s="849"/>
      <c r="I21" s="849"/>
    </row>
    <row r="22" spans="2:9" s="3" customFormat="1" ht="12">
      <c r="B22" s="826" t="s">
        <v>877</v>
      </c>
      <c r="C22" s="826"/>
      <c r="D22" s="826"/>
      <c r="E22" s="826"/>
      <c r="F22" s="826"/>
      <c r="G22" s="826"/>
      <c r="H22" s="826"/>
      <c r="I22" s="826"/>
    </row>
    <row r="23" spans="2:9" s="3" customFormat="1" ht="12">
      <c r="B23" s="826" t="s">
        <v>878</v>
      </c>
      <c r="C23" s="826"/>
      <c r="D23" s="826"/>
      <c r="E23" s="826"/>
      <c r="F23" s="826"/>
      <c r="G23" s="826"/>
      <c r="H23" s="826"/>
      <c r="I23" s="826"/>
    </row>
    <row r="24" spans="2:9" ht="62.5" customHeight="1">
      <c r="B24" s="826" t="s">
        <v>879</v>
      </c>
      <c r="C24" s="826"/>
      <c r="D24" s="826"/>
      <c r="E24" s="826"/>
      <c r="F24" s="826"/>
      <c r="G24" s="826"/>
      <c r="H24" s="826"/>
      <c r="I24" s="826"/>
    </row>
    <row r="26" spans="2:9">
      <c r="B26" s="7" t="s">
        <v>40</v>
      </c>
    </row>
    <row r="27" spans="2:9">
      <c r="B27" s="7"/>
    </row>
  </sheetData>
  <mergeCells count="6">
    <mergeCell ref="B24:I24"/>
    <mergeCell ref="B19:I19"/>
    <mergeCell ref="B20:I20"/>
    <mergeCell ref="B21:I21"/>
    <mergeCell ref="B22:I22"/>
    <mergeCell ref="B23:I23"/>
  </mergeCells>
  <hyperlinks>
    <hyperlink ref="A1" location="TOC!A1" display="Back" xr:uid="{B186D4C8-3718-4098-89D6-118320C2A470}"/>
  </hyperlinks>
  <pageMargins left="0.5" right="0.5" top="0.4" bottom="0.8" header="0.25" footer="0.35"/>
  <pageSetup orientation="landscape" cellComments="asDisplayed" r:id="rId1"/>
  <headerFooter scaleWithDoc="0">
    <oddHeader>&amp;R&amp;P</oddHeader>
    <oddFooter>&amp;R&amp;G&amp;L© 2025 Virginia Department of Taxation, All Rights Reserved</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F0713-3770-42AA-B18F-5848DA9E63A7}">
  <sheetPr codeName="Sheet24"/>
  <dimension ref="A1:L55"/>
  <sheetViews>
    <sheetView zoomScaleNormal="100" workbookViewId="0"/>
  </sheetViews>
  <sheetFormatPr defaultRowHeight="13"/>
  <cols>
    <col min="1" max="1" width="4.19921875" customWidth="1"/>
    <col min="2" max="2" width="12.69921875" customWidth="1"/>
    <col min="3" max="3" width="14.69921875" customWidth="1"/>
    <col min="4" max="6" width="13.69921875" customWidth="1"/>
    <col min="7" max="8" width="15.69921875" customWidth="1"/>
    <col min="9" max="9" width="14.69921875" customWidth="1"/>
    <col min="10" max="10" width="13.69921875" customWidth="1"/>
    <col min="11" max="11" width="1.69921875" customWidth="1"/>
    <col min="12" max="12" width="5.19921875" customWidth="1"/>
  </cols>
  <sheetData>
    <row r="1" spans="1:12" ht="15.5">
      <c r="A1" s="813" t="s">
        <v>42</v>
      </c>
      <c r="B1" s="226" t="s">
        <v>880</v>
      </c>
      <c r="C1" s="230"/>
      <c r="D1" s="230"/>
      <c r="E1" s="230"/>
      <c r="F1" s="230"/>
      <c r="G1" s="230"/>
      <c r="H1" s="230"/>
      <c r="I1" s="230"/>
      <c r="J1" s="66"/>
      <c r="L1" s="8"/>
    </row>
    <row r="2" spans="1:12">
      <c r="B2" s="233" t="s">
        <v>881</v>
      </c>
      <c r="C2" s="230"/>
      <c r="D2" s="230"/>
      <c r="E2" s="230"/>
      <c r="F2" s="230"/>
      <c r="G2" s="230"/>
      <c r="H2" s="230"/>
      <c r="I2" s="230"/>
      <c r="J2" s="66"/>
    </row>
    <row r="3" spans="1:12" ht="6" customHeight="1">
      <c r="B3" s="360"/>
      <c r="C3" s="357"/>
      <c r="D3" s="230"/>
      <c r="E3" s="230"/>
      <c r="F3" s="357"/>
      <c r="G3" s="230"/>
      <c r="H3" s="230"/>
      <c r="I3" s="357"/>
      <c r="J3" s="66"/>
    </row>
    <row r="4" spans="1:12" ht="6" customHeight="1" thickBot="1">
      <c r="B4" s="361"/>
      <c r="C4" s="362"/>
      <c r="D4" s="363"/>
      <c r="E4" s="363"/>
      <c r="F4" s="362"/>
      <c r="G4" s="363"/>
      <c r="H4" s="363"/>
      <c r="I4" s="362"/>
      <c r="J4" s="66"/>
    </row>
    <row r="5" spans="1:12" ht="26.5" thickTop="1">
      <c r="B5" s="364" t="s">
        <v>220</v>
      </c>
      <c r="C5" s="364" t="s">
        <v>882</v>
      </c>
      <c r="D5" s="364" t="s">
        <v>883</v>
      </c>
      <c r="E5" s="365" t="s">
        <v>884</v>
      </c>
      <c r="F5" s="365" t="s">
        <v>915</v>
      </c>
      <c r="G5" s="365" t="s">
        <v>885</v>
      </c>
      <c r="H5" s="365" t="s">
        <v>916</v>
      </c>
      <c r="I5" s="364" t="s">
        <v>886</v>
      </c>
      <c r="J5" s="366" t="s">
        <v>887</v>
      </c>
    </row>
    <row r="6" spans="1:12" ht="21" customHeight="1">
      <c r="B6" s="368">
        <v>2015</v>
      </c>
      <c r="C6" s="348">
        <v>2738000</v>
      </c>
      <c r="D6" s="348">
        <v>175000</v>
      </c>
      <c r="E6" s="348">
        <v>289000</v>
      </c>
      <c r="F6" s="348">
        <v>735000</v>
      </c>
      <c r="G6" s="367">
        <v>159856000</v>
      </c>
      <c r="H6" s="367">
        <v>19141000</v>
      </c>
      <c r="I6" s="348">
        <v>5001000</v>
      </c>
      <c r="J6" s="348"/>
    </row>
    <row r="7" spans="1:12">
      <c r="B7" s="368">
        <v>2016</v>
      </c>
      <c r="C7" s="333">
        <v>2871000</v>
      </c>
      <c r="D7" s="333">
        <v>183000</v>
      </c>
      <c r="E7" s="333">
        <v>320000</v>
      </c>
      <c r="F7" s="333">
        <v>1036000</v>
      </c>
      <c r="G7" s="333">
        <v>159286000</v>
      </c>
      <c r="H7" s="333">
        <v>19455000</v>
      </c>
      <c r="I7" s="333">
        <v>6056000</v>
      </c>
      <c r="J7" s="333"/>
    </row>
    <row r="8" spans="1:12">
      <c r="B8" s="368">
        <v>2017</v>
      </c>
      <c r="C8" s="333">
        <v>2769000</v>
      </c>
      <c r="D8" s="333">
        <v>207000</v>
      </c>
      <c r="E8" s="333">
        <v>265000</v>
      </c>
      <c r="F8" s="333">
        <v>1058000</v>
      </c>
      <c r="G8" s="333">
        <v>151117000</v>
      </c>
      <c r="H8" s="333">
        <v>20081000</v>
      </c>
      <c r="I8" s="333">
        <v>4273000</v>
      </c>
      <c r="J8" s="333"/>
    </row>
    <row r="9" spans="1:12">
      <c r="B9" s="368">
        <v>2018</v>
      </c>
      <c r="C9" s="333">
        <v>2795000</v>
      </c>
      <c r="D9" s="333">
        <v>201000</v>
      </c>
      <c r="E9" s="333">
        <v>357000</v>
      </c>
      <c r="F9" s="333">
        <v>1159000</v>
      </c>
      <c r="G9" s="333">
        <v>139202000</v>
      </c>
      <c r="H9" s="333">
        <v>21181000</v>
      </c>
      <c r="I9" s="333">
        <v>12015000</v>
      </c>
      <c r="J9" s="333" t="s">
        <v>888</v>
      </c>
    </row>
    <row r="10" spans="1:12">
      <c r="B10" s="368">
        <v>2019</v>
      </c>
      <c r="C10" s="333">
        <v>3060000</v>
      </c>
      <c r="D10" s="333">
        <v>205000</v>
      </c>
      <c r="E10" s="333">
        <v>309000</v>
      </c>
      <c r="F10" s="333">
        <v>1050000</v>
      </c>
      <c r="G10" s="333">
        <v>129451000</v>
      </c>
      <c r="H10" s="333">
        <v>21838000</v>
      </c>
      <c r="I10" s="333">
        <v>12577000</v>
      </c>
      <c r="J10" s="348">
        <v>136000</v>
      </c>
    </row>
    <row r="11" spans="1:12">
      <c r="B11" s="368">
        <v>2020</v>
      </c>
      <c r="C11" s="333">
        <v>3214000</v>
      </c>
      <c r="D11" s="333">
        <v>208000</v>
      </c>
      <c r="E11" s="333">
        <v>366000</v>
      </c>
      <c r="F11" s="333">
        <v>935000</v>
      </c>
      <c r="G11" s="333">
        <v>131950000</v>
      </c>
      <c r="H11" s="333">
        <v>21688000</v>
      </c>
      <c r="I11" s="333">
        <v>7557000</v>
      </c>
      <c r="J11" s="333">
        <v>341000</v>
      </c>
    </row>
    <row r="12" spans="1:12">
      <c r="B12" s="368">
        <v>2021</v>
      </c>
      <c r="C12" s="333">
        <v>2893000</v>
      </c>
      <c r="D12" s="82">
        <v>195000</v>
      </c>
      <c r="E12" s="82">
        <v>353000</v>
      </c>
      <c r="F12" s="82">
        <v>1363000</v>
      </c>
      <c r="G12" s="333">
        <v>234194000</v>
      </c>
      <c r="H12" s="333">
        <v>52438000</v>
      </c>
      <c r="I12" s="82">
        <v>7253000</v>
      </c>
      <c r="J12" s="82">
        <v>353000</v>
      </c>
    </row>
    <row r="13" spans="1:12">
      <c r="B13" s="368">
        <v>2022</v>
      </c>
      <c r="C13" s="333">
        <v>3195000</v>
      </c>
      <c r="D13" s="82">
        <v>202000</v>
      </c>
      <c r="E13" s="82">
        <v>376000</v>
      </c>
      <c r="F13" s="82">
        <v>1744000</v>
      </c>
      <c r="G13" s="333">
        <v>219818000</v>
      </c>
      <c r="H13" s="333">
        <v>58809000</v>
      </c>
      <c r="I13" s="82">
        <v>8495000</v>
      </c>
      <c r="J13" s="82">
        <v>349000</v>
      </c>
    </row>
    <row r="14" spans="1:12">
      <c r="B14" s="368">
        <v>2023</v>
      </c>
      <c r="C14" s="333">
        <v>3436000</v>
      </c>
      <c r="D14" s="82">
        <v>196000</v>
      </c>
      <c r="E14" s="82">
        <v>309000</v>
      </c>
      <c r="F14" s="82">
        <v>1853000</v>
      </c>
      <c r="G14" s="333">
        <v>188683000</v>
      </c>
      <c r="H14" s="333">
        <v>57449000</v>
      </c>
      <c r="I14" s="82">
        <v>12881000</v>
      </c>
      <c r="J14" s="82">
        <v>336000</v>
      </c>
    </row>
    <row r="15" spans="1:12">
      <c r="B15" s="368">
        <v>2024</v>
      </c>
      <c r="C15" s="333">
        <v>3484000</v>
      </c>
      <c r="D15" s="82">
        <v>206000</v>
      </c>
      <c r="E15" s="82">
        <v>340000</v>
      </c>
      <c r="F15" s="82">
        <v>1447000</v>
      </c>
      <c r="G15" s="333">
        <v>169889000</v>
      </c>
      <c r="H15" s="333">
        <v>55070000</v>
      </c>
      <c r="I15" s="82">
        <v>12126000</v>
      </c>
      <c r="J15" s="82">
        <v>355000</v>
      </c>
    </row>
    <row r="16" spans="1:12">
      <c r="B16" s="368">
        <v>2025</v>
      </c>
      <c r="C16" s="333">
        <v>3609000</v>
      </c>
      <c r="D16" s="82">
        <v>205000</v>
      </c>
      <c r="E16" s="82">
        <v>374000</v>
      </c>
      <c r="F16" s="82">
        <v>1660000</v>
      </c>
      <c r="G16" s="333">
        <v>155829000</v>
      </c>
      <c r="H16" s="333">
        <v>54993000</v>
      </c>
      <c r="I16" s="82">
        <v>9377000</v>
      </c>
      <c r="J16" s="82">
        <v>340000</v>
      </c>
    </row>
    <row r="17" spans="2:10" s="3" customFormat="1">
      <c r="B17" s="357"/>
      <c r="C17" s="369"/>
      <c r="D17" s="369"/>
      <c r="E17" s="369"/>
      <c r="F17" s="369"/>
      <c r="G17" s="369"/>
      <c r="H17" s="369"/>
      <c r="I17" s="369"/>
      <c r="J17" s="242"/>
    </row>
    <row r="18" spans="2:10" s="3" customFormat="1" ht="12">
      <c r="B18" s="328" t="s">
        <v>889</v>
      </c>
      <c r="C18" s="370"/>
      <c r="D18" s="370"/>
      <c r="E18" s="370"/>
      <c r="F18" s="370"/>
      <c r="G18" s="370"/>
      <c r="H18" s="370"/>
      <c r="I18" s="370"/>
      <c r="J18" s="370"/>
    </row>
    <row r="19" spans="2:10" s="3" customFormat="1" ht="12">
      <c r="B19" s="850" t="s">
        <v>890</v>
      </c>
      <c r="C19" s="850"/>
      <c r="D19" s="850"/>
      <c r="E19" s="850"/>
      <c r="F19" s="850"/>
      <c r="G19" s="850"/>
      <c r="H19" s="850"/>
      <c r="I19" s="850"/>
      <c r="J19" s="850"/>
    </row>
    <row r="20" spans="2:10" s="3" customFormat="1" ht="12">
      <c r="B20" s="825" t="s">
        <v>891</v>
      </c>
      <c r="C20" s="825"/>
      <c r="D20" s="825"/>
      <c r="E20" s="825"/>
      <c r="F20" s="825"/>
      <c r="G20" s="825"/>
      <c r="H20" s="825"/>
      <c r="I20" s="825"/>
      <c r="J20" s="825"/>
    </row>
    <row r="21" spans="2:10" s="3" customFormat="1" ht="36.5" customHeight="1">
      <c r="B21" s="825" t="s">
        <v>892</v>
      </c>
      <c r="C21" s="825"/>
      <c r="D21" s="825"/>
      <c r="E21" s="825"/>
      <c r="F21" s="825"/>
      <c r="G21" s="825"/>
      <c r="H21" s="825"/>
      <c r="I21" s="825"/>
      <c r="J21" s="825"/>
    </row>
    <row r="22" spans="2:10" s="3" customFormat="1" ht="12">
      <c r="B22" s="825" t="s">
        <v>893</v>
      </c>
      <c r="C22" s="825"/>
      <c r="D22" s="825"/>
      <c r="E22" s="825"/>
      <c r="F22" s="825"/>
      <c r="G22" s="825"/>
      <c r="H22" s="825"/>
      <c r="I22" s="825"/>
      <c r="J22" s="825"/>
    </row>
    <row r="23" spans="2:10" s="3" customFormat="1" ht="37.5" customHeight="1">
      <c r="B23" s="826" t="s">
        <v>894</v>
      </c>
      <c r="C23" s="825"/>
      <c r="D23" s="825"/>
      <c r="E23" s="825"/>
      <c r="F23" s="825"/>
      <c r="G23" s="825"/>
      <c r="H23" s="825"/>
      <c r="I23" s="825"/>
      <c r="J23" s="825"/>
    </row>
    <row r="24" spans="2:10" s="3" customFormat="1" ht="49" customHeight="1">
      <c r="B24" s="825" t="s">
        <v>895</v>
      </c>
      <c r="C24" s="825"/>
      <c r="D24" s="825"/>
      <c r="E24" s="825"/>
      <c r="F24" s="825"/>
      <c r="G24" s="825"/>
      <c r="H24" s="825"/>
      <c r="I24" s="825"/>
      <c r="J24" s="825"/>
    </row>
    <row r="25" spans="2:10" s="3" customFormat="1" ht="24.5" customHeight="1">
      <c r="B25" s="825" t="s">
        <v>896</v>
      </c>
      <c r="C25" s="825"/>
      <c r="D25" s="825"/>
      <c r="E25" s="825"/>
      <c r="F25" s="825"/>
      <c r="G25" s="825"/>
      <c r="H25" s="825"/>
      <c r="I25" s="825"/>
      <c r="J25" s="825"/>
    </row>
    <row r="26" spans="2:10" s="3" customFormat="1" ht="25.5" customHeight="1">
      <c r="B26" s="825" t="s">
        <v>897</v>
      </c>
      <c r="C26" s="825"/>
      <c r="D26" s="825"/>
      <c r="E26" s="825"/>
      <c r="F26" s="825"/>
      <c r="G26" s="825"/>
      <c r="H26" s="825"/>
      <c r="I26" s="825"/>
      <c r="J26" s="825"/>
    </row>
    <row r="27" spans="2:10" s="3" customFormat="1" ht="15.5">
      <c r="B27" s="226" t="s">
        <v>898</v>
      </c>
      <c r="C27" s="230"/>
      <c r="D27" s="230"/>
      <c r="E27" s="230"/>
      <c r="F27" s="230"/>
      <c r="G27" s="230"/>
      <c r="H27" s="230"/>
      <c r="I27" s="230"/>
      <c r="J27" s="66"/>
    </row>
    <row r="28" spans="2:10" s="3" customFormat="1">
      <c r="B28" s="233" t="s">
        <v>881</v>
      </c>
      <c r="C28" s="230"/>
      <c r="D28" s="230"/>
      <c r="E28" s="230"/>
      <c r="F28" s="230"/>
      <c r="G28" s="230"/>
      <c r="H28" s="230"/>
      <c r="I28" s="230"/>
      <c r="J28" s="66"/>
    </row>
    <row r="29" spans="2:10" s="3" customFormat="1" ht="6" customHeight="1">
      <c r="B29" s="360"/>
      <c r="C29" s="230"/>
      <c r="D29" s="230"/>
      <c r="E29" s="230"/>
      <c r="F29" s="230"/>
      <c r="G29" s="230"/>
      <c r="H29" s="230"/>
      <c r="I29" s="230"/>
      <c r="J29" s="230"/>
    </row>
    <row r="30" spans="2:10" s="3" customFormat="1" ht="6" customHeight="1" thickBot="1">
      <c r="B30" s="361"/>
      <c r="C30" s="363"/>
      <c r="D30" s="363"/>
      <c r="E30" s="363"/>
      <c r="F30" s="363"/>
      <c r="G30" s="363"/>
      <c r="H30" s="363"/>
      <c r="I30" s="363"/>
      <c r="J30" s="363"/>
    </row>
    <row r="31" spans="2:10" s="3" customFormat="1" ht="26.5" thickTop="1">
      <c r="B31" s="364" t="s">
        <v>220</v>
      </c>
      <c r="C31" s="364" t="s">
        <v>899</v>
      </c>
      <c r="D31" s="364" t="s">
        <v>900</v>
      </c>
      <c r="E31" s="364" t="s">
        <v>901</v>
      </c>
      <c r="F31" s="364" t="s">
        <v>902</v>
      </c>
      <c r="G31" s="364" t="s">
        <v>903</v>
      </c>
      <c r="H31" s="365" t="s">
        <v>904</v>
      </c>
      <c r="I31" s="364" t="s">
        <v>905</v>
      </c>
      <c r="J31" s="364" t="s">
        <v>906</v>
      </c>
    </row>
    <row r="32" spans="2:10" s="3" customFormat="1" ht="21" customHeight="1">
      <c r="B32" s="368">
        <v>2015</v>
      </c>
      <c r="C32" s="348">
        <v>375000</v>
      </c>
      <c r="D32" s="348">
        <v>192000</v>
      </c>
      <c r="E32" s="348">
        <v>439000</v>
      </c>
      <c r="F32" s="348">
        <v>2385000</v>
      </c>
      <c r="G32" s="348">
        <v>213000</v>
      </c>
      <c r="H32" s="348">
        <v>927000</v>
      </c>
      <c r="I32" s="348">
        <v>11000</v>
      </c>
      <c r="J32" s="367">
        <v>125000</v>
      </c>
    </row>
    <row r="33" spans="2:10" s="3" customFormat="1">
      <c r="B33" s="368">
        <v>2016</v>
      </c>
      <c r="C33" s="333">
        <v>401000</v>
      </c>
      <c r="D33" s="333">
        <v>126000</v>
      </c>
      <c r="E33" s="333">
        <v>291000</v>
      </c>
      <c r="F33" s="333">
        <v>2221000</v>
      </c>
      <c r="G33" s="333">
        <v>219000</v>
      </c>
      <c r="H33" s="333">
        <v>906000</v>
      </c>
      <c r="I33" s="333">
        <v>11000</v>
      </c>
      <c r="J33" s="333">
        <v>116000</v>
      </c>
    </row>
    <row r="34" spans="2:10" s="3" customFormat="1">
      <c r="B34" s="368">
        <v>2017</v>
      </c>
      <c r="C34" s="333">
        <v>451000</v>
      </c>
      <c r="D34" s="333">
        <v>88000</v>
      </c>
      <c r="E34" s="333">
        <v>167000</v>
      </c>
      <c r="F34" s="333">
        <v>2583000</v>
      </c>
      <c r="G34" s="333">
        <v>174000</v>
      </c>
      <c r="H34" s="333">
        <v>1004000</v>
      </c>
      <c r="I34" s="333">
        <v>12000</v>
      </c>
      <c r="J34" s="333">
        <v>99000</v>
      </c>
    </row>
    <row r="35" spans="2:10" s="3" customFormat="1">
      <c r="B35" s="368">
        <v>2018</v>
      </c>
      <c r="C35" s="333">
        <v>395000</v>
      </c>
      <c r="D35" s="333">
        <v>173000</v>
      </c>
      <c r="E35" s="333">
        <v>173000</v>
      </c>
      <c r="F35" s="333">
        <v>2695000</v>
      </c>
      <c r="G35" s="333">
        <v>169000</v>
      </c>
      <c r="H35" s="333">
        <v>1109000</v>
      </c>
      <c r="I35" s="333">
        <v>12000</v>
      </c>
      <c r="J35" s="333">
        <v>121000</v>
      </c>
    </row>
    <row r="36" spans="2:10" s="3" customFormat="1">
      <c r="B36" s="368">
        <v>2019</v>
      </c>
      <c r="C36" s="333">
        <v>398000</v>
      </c>
      <c r="D36" s="333">
        <v>178000</v>
      </c>
      <c r="E36" s="333">
        <v>179000</v>
      </c>
      <c r="F36" s="333">
        <v>2604000</v>
      </c>
      <c r="G36" s="333">
        <v>175000</v>
      </c>
      <c r="H36" s="333">
        <v>664000</v>
      </c>
      <c r="I36" s="333">
        <v>12000</v>
      </c>
      <c r="J36" s="333">
        <v>90000</v>
      </c>
    </row>
    <row r="37" spans="2:10" s="3" customFormat="1">
      <c r="B37" s="368">
        <v>2020</v>
      </c>
      <c r="C37" s="333">
        <v>460000</v>
      </c>
      <c r="D37" s="333">
        <v>218000</v>
      </c>
      <c r="E37" s="333">
        <v>143000</v>
      </c>
      <c r="F37" s="333">
        <v>2455000</v>
      </c>
      <c r="G37" s="333">
        <v>217000</v>
      </c>
      <c r="H37" s="333">
        <v>878000</v>
      </c>
      <c r="I37" s="333">
        <v>12000</v>
      </c>
      <c r="J37" s="333">
        <v>88000</v>
      </c>
    </row>
    <row r="38" spans="2:10" s="3" customFormat="1">
      <c r="B38" s="368">
        <v>2021</v>
      </c>
      <c r="C38" s="333">
        <v>435000</v>
      </c>
      <c r="D38" s="82">
        <v>114000</v>
      </c>
      <c r="E38" s="333">
        <v>205000</v>
      </c>
      <c r="F38" s="333">
        <v>2400000</v>
      </c>
      <c r="G38" s="333">
        <v>233000</v>
      </c>
      <c r="H38" s="333">
        <v>1597000</v>
      </c>
      <c r="I38" s="333">
        <v>13000</v>
      </c>
      <c r="J38" s="333">
        <v>82000</v>
      </c>
    </row>
    <row r="39" spans="2:10" s="3" customFormat="1">
      <c r="B39" s="368">
        <v>2022</v>
      </c>
      <c r="C39" s="333">
        <v>557000</v>
      </c>
      <c r="D39" s="82">
        <v>159000</v>
      </c>
      <c r="E39" s="333">
        <v>159000</v>
      </c>
      <c r="F39" s="333">
        <v>2576000</v>
      </c>
      <c r="G39" s="333">
        <v>229000</v>
      </c>
      <c r="H39" s="333">
        <v>2314000</v>
      </c>
      <c r="I39" s="333">
        <v>16000</v>
      </c>
      <c r="J39" s="333">
        <v>109000</v>
      </c>
    </row>
    <row r="40" spans="2:10" s="3" customFormat="1">
      <c r="B40" s="368">
        <v>2023</v>
      </c>
      <c r="C40" s="333">
        <v>508000</v>
      </c>
      <c r="D40" s="82">
        <v>192000</v>
      </c>
      <c r="E40" s="333">
        <v>338000</v>
      </c>
      <c r="F40" s="333">
        <v>2513000</v>
      </c>
      <c r="G40" s="333">
        <v>264000</v>
      </c>
      <c r="H40" s="333">
        <v>3203000</v>
      </c>
      <c r="I40" s="333">
        <v>18000</v>
      </c>
      <c r="J40" s="333">
        <v>105000</v>
      </c>
    </row>
    <row r="41" spans="2:10" s="3" customFormat="1">
      <c r="B41" s="368">
        <v>2024</v>
      </c>
      <c r="C41" s="333">
        <v>512000</v>
      </c>
      <c r="D41" s="82">
        <v>177000</v>
      </c>
      <c r="E41" s="333">
        <v>270000</v>
      </c>
      <c r="F41" s="333">
        <v>2328000</v>
      </c>
      <c r="G41" s="333">
        <v>285000</v>
      </c>
      <c r="H41" s="333">
        <v>2241000</v>
      </c>
      <c r="I41" s="333">
        <v>20000</v>
      </c>
      <c r="J41" s="333">
        <v>83000</v>
      </c>
    </row>
    <row r="42" spans="2:10" s="3" customFormat="1">
      <c r="B42" s="368">
        <v>2025</v>
      </c>
      <c r="C42" s="333">
        <v>351000</v>
      </c>
      <c r="D42" s="82">
        <v>204000</v>
      </c>
      <c r="E42" s="333">
        <v>158000</v>
      </c>
      <c r="F42" s="333">
        <v>2468000</v>
      </c>
      <c r="G42" s="333">
        <v>340000</v>
      </c>
      <c r="H42" s="333">
        <v>2058000</v>
      </c>
      <c r="I42" s="333">
        <v>24000</v>
      </c>
      <c r="J42" s="333">
        <v>68000</v>
      </c>
    </row>
    <row r="43" spans="2:10" s="3" customFormat="1">
      <c r="B43" s="66"/>
      <c r="C43" s="369"/>
      <c r="D43" s="369"/>
      <c r="E43" s="369"/>
      <c r="F43" s="369"/>
      <c r="G43" s="369"/>
      <c r="H43" s="369"/>
      <c r="I43" s="369"/>
      <c r="J43" s="369"/>
    </row>
    <row r="44" spans="2:10" s="3" customFormat="1" ht="12">
      <c r="B44" s="328" t="s">
        <v>889</v>
      </c>
      <c r="C44" s="370"/>
      <c r="D44" s="370"/>
      <c r="E44" s="370"/>
      <c r="F44" s="370"/>
      <c r="G44" s="370"/>
      <c r="H44" s="370"/>
      <c r="I44" s="370"/>
      <c r="J44" s="370"/>
    </row>
    <row r="45" spans="2:10" s="3" customFormat="1" ht="12">
      <c r="B45" s="825" t="s">
        <v>907</v>
      </c>
      <c r="C45" s="825"/>
      <c r="D45" s="825"/>
      <c r="E45" s="825"/>
      <c r="F45" s="825"/>
      <c r="G45" s="825"/>
      <c r="H45" s="825"/>
      <c r="I45" s="825"/>
      <c r="J45" s="825"/>
    </row>
    <row r="46" spans="2:10" s="3" customFormat="1" ht="12">
      <c r="B46" s="825" t="s">
        <v>908</v>
      </c>
      <c r="C46" s="825"/>
      <c r="D46" s="825"/>
      <c r="E46" s="825"/>
      <c r="F46" s="825"/>
      <c r="G46" s="825"/>
      <c r="H46" s="825"/>
      <c r="I46" s="825"/>
      <c r="J46" s="825"/>
    </row>
    <row r="47" spans="2:10" s="3" customFormat="1" ht="25" customHeight="1">
      <c r="B47" s="825" t="s">
        <v>909</v>
      </c>
      <c r="C47" s="825"/>
      <c r="D47" s="825"/>
      <c r="E47" s="825"/>
      <c r="F47" s="825"/>
      <c r="G47" s="825"/>
      <c r="H47" s="825"/>
      <c r="I47" s="825"/>
      <c r="J47" s="825"/>
    </row>
    <row r="48" spans="2:10" s="3" customFormat="1" ht="24.5" customHeight="1">
      <c r="B48" s="825" t="s">
        <v>910</v>
      </c>
      <c r="C48" s="825"/>
      <c r="D48" s="825"/>
      <c r="E48" s="825"/>
      <c r="F48" s="825"/>
      <c r="G48" s="825"/>
      <c r="H48" s="825"/>
      <c r="I48" s="825"/>
      <c r="J48" s="825"/>
    </row>
    <row r="49" spans="2:10" s="3" customFormat="1" ht="24.5" customHeight="1">
      <c r="B49" s="825" t="s">
        <v>911</v>
      </c>
      <c r="C49" s="825"/>
      <c r="D49" s="825"/>
      <c r="E49" s="825"/>
      <c r="F49" s="825"/>
      <c r="G49" s="825"/>
      <c r="H49" s="825"/>
      <c r="I49" s="825"/>
      <c r="J49" s="825"/>
    </row>
    <row r="50" spans="2:10" s="3" customFormat="1" ht="37.5" customHeight="1">
      <c r="B50" s="825" t="s">
        <v>912</v>
      </c>
      <c r="C50" s="825"/>
      <c r="D50" s="825"/>
      <c r="E50" s="825"/>
      <c r="F50" s="825"/>
      <c r="G50" s="825"/>
      <c r="H50" s="825"/>
      <c r="I50" s="825"/>
      <c r="J50" s="825"/>
    </row>
    <row r="51" spans="2:10" s="3" customFormat="1" ht="24.5" customHeight="1">
      <c r="B51" s="825" t="s">
        <v>913</v>
      </c>
      <c r="C51" s="825"/>
      <c r="D51" s="825"/>
      <c r="E51" s="825"/>
      <c r="F51" s="825"/>
      <c r="G51" s="825"/>
      <c r="H51" s="825"/>
      <c r="I51" s="825"/>
      <c r="J51" s="825"/>
    </row>
    <row r="52" spans="2:10" ht="25" customHeight="1">
      <c r="B52" s="825" t="s">
        <v>914</v>
      </c>
      <c r="C52" s="825"/>
      <c r="D52" s="825"/>
      <c r="E52" s="825"/>
      <c r="F52" s="825"/>
      <c r="G52" s="825"/>
      <c r="H52" s="825"/>
      <c r="I52" s="825"/>
      <c r="J52" s="825"/>
    </row>
    <row r="54" spans="2:10">
      <c r="B54" s="7" t="s">
        <v>40</v>
      </c>
    </row>
    <row r="55" spans="2:10">
      <c r="B55" s="7"/>
    </row>
  </sheetData>
  <mergeCells count="16">
    <mergeCell ref="B24:J24"/>
    <mergeCell ref="B19:J19"/>
    <mergeCell ref="B20:J20"/>
    <mergeCell ref="B21:J21"/>
    <mergeCell ref="B22:J22"/>
    <mergeCell ref="B23:J23"/>
    <mergeCell ref="B49:J49"/>
    <mergeCell ref="B50:J50"/>
    <mergeCell ref="B51:J51"/>
    <mergeCell ref="B52:J52"/>
    <mergeCell ref="B25:J25"/>
    <mergeCell ref="B26:J26"/>
    <mergeCell ref="B45:J45"/>
    <mergeCell ref="B46:J46"/>
    <mergeCell ref="B47:J47"/>
    <mergeCell ref="B48:J48"/>
  </mergeCells>
  <hyperlinks>
    <hyperlink ref="A1" location="TOC!A1" display="Back" xr:uid="{196F4DB1-71B2-4E5C-808C-34448087DF68}"/>
  </hyperlinks>
  <pageMargins left="0.5" right="0.5" top="0.4" bottom="0.8" header="0.25" footer="0.35"/>
  <pageSetup fitToHeight="2" orientation="landscape" cellComments="asDisplayed" r:id="rId1"/>
  <headerFooter scaleWithDoc="0">
    <oddHeader>&amp;R&amp;P</oddHeader>
    <oddFooter>&amp;R&amp;G&amp;L© 2025 Virginia Department of Taxation, All Rights Reserved</oddFooter>
  </headerFooter>
  <rowBreaks count="1" manualBreakCount="1">
    <brk id="26" min="1" max="9" man="1"/>
  </rowBreaks>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8781C-46C3-49ED-8CFF-C13446F82CF0}">
  <sheetPr codeName="Sheet15">
    <pageSetUpPr fitToPage="1"/>
  </sheetPr>
  <dimension ref="A1:J51"/>
  <sheetViews>
    <sheetView zoomScaleNormal="100" workbookViewId="0"/>
  </sheetViews>
  <sheetFormatPr defaultRowHeight="13"/>
  <cols>
    <col min="1" max="1" width="4.19921875" customWidth="1"/>
    <col min="2" max="3" width="24.69921875" customWidth="1"/>
    <col min="4" max="4" width="28.69921875" customWidth="1"/>
    <col min="5" max="6" width="16.69921875" customWidth="1"/>
    <col min="7" max="7" width="18.69921875" customWidth="1"/>
    <col min="8" max="9" width="1.69921875" customWidth="1"/>
    <col min="10" max="10" width="5.19921875" customWidth="1"/>
  </cols>
  <sheetData>
    <row r="1" spans="1:10" s="2" customFormat="1" ht="15.5">
      <c r="A1" s="813" t="s">
        <v>42</v>
      </c>
      <c r="B1" s="63" t="s">
        <v>544</v>
      </c>
      <c r="C1" s="72"/>
      <c r="D1" s="72"/>
      <c r="E1" s="109"/>
      <c r="F1" s="109"/>
      <c r="G1" s="109"/>
      <c r="H1" s="109"/>
      <c r="J1" s="59"/>
    </row>
    <row r="2" spans="1:10">
      <c r="B2" s="64" t="s">
        <v>1438</v>
      </c>
      <c r="C2" s="110"/>
      <c r="D2" s="110"/>
      <c r="E2" s="71"/>
      <c r="F2" s="71"/>
      <c r="G2" s="71"/>
      <c r="H2" s="71"/>
    </row>
    <row r="3" spans="1:10" ht="5" customHeight="1">
      <c r="B3" s="73"/>
      <c r="C3" s="73"/>
      <c r="D3" s="73"/>
      <c r="E3" s="73"/>
      <c r="F3" s="73"/>
      <c r="G3" s="73"/>
      <c r="H3" s="73"/>
    </row>
    <row r="4" spans="1:10">
      <c r="B4" s="74"/>
      <c r="C4" s="74"/>
      <c r="D4" s="74"/>
      <c r="E4" s="75" t="s">
        <v>545</v>
      </c>
      <c r="F4" s="75" t="s">
        <v>546</v>
      </c>
      <c r="G4" s="75" t="s">
        <v>547</v>
      </c>
      <c r="H4" s="98"/>
    </row>
    <row r="5" spans="1:10">
      <c r="B5" s="73" t="s">
        <v>548</v>
      </c>
      <c r="C5" s="73"/>
      <c r="D5" s="73"/>
      <c r="E5" s="76">
        <v>727760183303</v>
      </c>
      <c r="F5" s="77">
        <v>685915971581</v>
      </c>
      <c r="G5" s="76">
        <f>SUM(E5:F5)</f>
        <v>1413676154884</v>
      </c>
      <c r="H5" s="76"/>
    </row>
    <row r="6" spans="1:10">
      <c r="B6" s="78" t="s">
        <v>549</v>
      </c>
      <c r="C6" s="78"/>
      <c r="D6" s="78"/>
      <c r="E6" s="79">
        <v>26614734506</v>
      </c>
      <c r="F6" s="80">
        <v>18990699554</v>
      </c>
      <c r="G6" s="79">
        <f t="shared" ref="G6:G14" si="0">E6+F6</f>
        <v>45605434060</v>
      </c>
      <c r="H6" s="79"/>
    </row>
    <row r="7" spans="1:10">
      <c r="B7" s="78" t="s">
        <v>550</v>
      </c>
      <c r="C7" s="78"/>
      <c r="D7" s="78"/>
      <c r="E7" s="79">
        <v>0</v>
      </c>
      <c r="F7" s="80">
        <v>0</v>
      </c>
      <c r="G7" s="79">
        <f t="shared" si="0"/>
        <v>0</v>
      </c>
      <c r="H7" s="79"/>
    </row>
    <row r="8" spans="1:10">
      <c r="B8" s="73" t="s">
        <v>551</v>
      </c>
      <c r="C8" s="73"/>
      <c r="D8" s="73"/>
      <c r="E8" s="79">
        <v>61446210967</v>
      </c>
      <c r="F8" s="80">
        <v>52464985823</v>
      </c>
      <c r="G8" s="79">
        <f t="shared" si="0"/>
        <v>113911196790</v>
      </c>
      <c r="H8" s="79"/>
    </row>
    <row r="9" spans="1:10">
      <c r="B9" s="73" t="s">
        <v>552</v>
      </c>
      <c r="C9" s="73"/>
      <c r="D9" s="73"/>
      <c r="E9" s="79">
        <v>254866455069</v>
      </c>
      <c r="F9" s="80">
        <v>163726908490</v>
      </c>
      <c r="G9" s="79">
        <f t="shared" si="0"/>
        <v>418593363559</v>
      </c>
      <c r="H9" s="79"/>
    </row>
    <row r="10" spans="1:10">
      <c r="B10" s="73" t="s">
        <v>553</v>
      </c>
      <c r="C10" s="73"/>
      <c r="D10" s="73"/>
      <c r="E10" s="79">
        <v>83205091858</v>
      </c>
      <c r="F10" s="80">
        <v>94819891318</v>
      </c>
      <c r="G10" s="79">
        <f t="shared" si="0"/>
        <v>178024983176</v>
      </c>
      <c r="H10" s="79"/>
    </row>
    <row r="11" spans="1:10">
      <c r="B11" s="73" t="s">
        <v>554</v>
      </c>
      <c r="C11" s="73"/>
      <c r="D11" s="73"/>
      <c r="E11" s="80">
        <v>0</v>
      </c>
      <c r="F11" s="80">
        <v>0</v>
      </c>
      <c r="G11" s="79">
        <f t="shared" si="0"/>
        <v>0</v>
      </c>
      <c r="H11" s="79"/>
    </row>
    <row r="12" spans="1:10">
      <c r="B12" s="73" t="s">
        <v>555</v>
      </c>
      <c r="C12" s="73"/>
      <c r="D12" s="73"/>
      <c r="E12" s="79">
        <f>E5+E6+E7-E8-E9-E10-E11</f>
        <v>354857159915</v>
      </c>
      <c r="F12" s="79">
        <f>F5+F6+F7-F8-F9-F10-F11</f>
        <v>393894885504</v>
      </c>
      <c r="G12" s="79">
        <f t="shared" si="0"/>
        <v>748752045419</v>
      </c>
      <c r="H12" s="79"/>
    </row>
    <row r="13" spans="1:10">
      <c r="B13" s="73" t="s">
        <v>556</v>
      </c>
      <c r="C13" s="73"/>
      <c r="D13" s="73"/>
      <c r="E13" s="79">
        <v>7402401327</v>
      </c>
      <c r="F13" s="80">
        <v>19328415666</v>
      </c>
      <c r="G13" s="79">
        <f t="shared" si="0"/>
        <v>26730816993</v>
      </c>
      <c r="H13" s="79"/>
    </row>
    <row r="14" spans="1:10">
      <c r="B14" s="73" t="s">
        <v>557</v>
      </c>
      <c r="C14" s="73"/>
      <c r="D14" s="73"/>
      <c r="E14" s="79">
        <v>1797865708</v>
      </c>
      <c r="F14" s="83">
        <v>1705302237</v>
      </c>
      <c r="G14" s="79">
        <f t="shared" si="0"/>
        <v>3503167945</v>
      </c>
      <c r="H14" s="79"/>
    </row>
    <row r="15" spans="1:10">
      <c r="B15" s="73" t="s">
        <v>558</v>
      </c>
      <c r="C15" s="73"/>
      <c r="D15" s="73"/>
      <c r="E15" s="79">
        <v>214168022</v>
      </c>
      <c r="F15" s="83">
        <v>261886025</v>
      </c>
      <c r="G15" s="84">
        <f>E15+F15</f>
        <v>476054047</v>
      </c>
      <c r="H15" s="79"/>
    </row>
    <row r="16" spans="1:10">
      <c r="B16" s="85" t="s">
        <v>559</v>
      </c>
      <c r="C16" s="86"/>
      <c r="D16" s="86"/>
      <c r="E16" s="87">
        <f>E13-E14-E15</f>
        <v>5390367597</v>
      </c>
      <c r="F16" s="87">
        <f>F13-F14-F15</f>
        <v>17361227404</v>
      </c>
      <c r="G16" s="88">
        <f>SUM(E16:F16)</f>
        <v>22751595001</v>
      </c>
      <c r="H16" s="88"/>
    </row>
    <row r="17" spans="1:10" ht="5" customHeight="1">
      <c r="B17" s="73"/>
      <c r="C17" s="73"/>
      <c r="D17" s="73"/>
      <c r="E17" s="76"/>
      <c r="F17" s="77"/>
      <c r="G17" s="76"/>
      <c r="H17" s="76"/>
    </row>
    <row r="18" spans="1:10" ht="5" customHeight="1">
      <c r="B18" s="73"/>
      <c r="C18" s="73"/>
      <c r="D18" s="73"/>
      <c r="E18" s="76"/>
      <c r="F18" s="77"/>
      <c r="G18" s="76"/>
      <c r="H18" s="76"/>
    </row>
    <row r="19" spans="1:10">
      <c r="B19" s="73" t="s">
        <v>560</v>
      </c>
      <c r="C19" s="73"/>
      <c r="D19" s="73"/>
      <c r="E19" s="76">
        <v>53983634</v>
      </c>
      <c r="F19" s="89">
        <v>118083558</v>
      </c>
      <c r="G19" s="76">
        <f>E19+F19</f>
        <v>172067192</v>
      </c>
      <c r="H19" s="76"/>
    </row>
    <row r="20" spans="1:10">
      <c r="B20" s="73" t="s">
        <v>561</v>
      </c>
      <c r="C20" s="73"/>
      <c r="D20" s="73"/>
      <c r="E20" s="79">
        <v>43187079</v>
      </c>
      <c r="F20" s="79">
        <v>94466848</v>
      </c>
      <c r="G20" s="79">
        <f>E20+F20</f>
        <v>137653927</v>
      </c>
      <c r="H20" s="79"/>
    </row>
    <row r="21" spans="1:10" s="3" customFormat="1">
      <c r="B21" s="73" t="s">
        <v>562</v>
      </c>
      <c r="C21" s="73"/>
      <c r="D21" s="73"/>
      <c r="E21" s="79"/>
      <c r="F21" s="79"/>
      <c r="G21" s="79"/>
      <c r="H21" s="79"/>
    </row>
    <row r="22" spans="1:10" s="3" customFormat="1">
      <c r="B22" s="73" t="s">
        <v>563</v>
      </c>
      <c r="C22" s="73"/>
      <c r="D22" s="73"/>
      <c r="E22" s="79">
        <v>14651</v>
      </c>
      <c r="F22" s="79">
        <v>167137</v>
      </c>
      <c r="G22" s="79">
        <f>E22+F22</f>
        <v>181788</v>
      </c>
      <c r="H22" s="79"/>
    </row>
    <row r="23" spans="1:10" s="3" customFormat="1">
      <c r="B23" s="73" t="s">
        <v>564</v>
      </c>
      <c r="C23" s="73"/>
      <c r="D23" s="73"/>
      <c r="E23" s="79">
        <v>236141</v>
      </c>
      <c r="F23" s="79">
        <v>287455</v>
      </c>
      <c r="G23" s="79">
        <f t="shared" ref="G23:G25" si="1">E23+F23</f>
        <v>523596</v>
      </c>
      <c r="H23" s="79"/>
    </row>
    <row r="24" spans="1:10" s="3" customFormat="1">
      <c r="B24" s="73" t="s">
        <v>565</v>
      </c>
      <c r="C24" s="73"/>
      <c r="D24" s="73"/>
      <c r="E24" s="79">
        <v>278091.5</v>
      </c>
      <c r="F24" s="90">
        <v>0</v>
      </c>
      <c r="G24" s="79">
        <f>E24+F24</f>
        <v>278091.5</v>
      </c>
      <c r="H24" s="79"/>
    </row>
    <row r="25" spans="1:10" s="3" customFormat="1">
      <c r="B25" s="73" t="s">
        <v>566</v>
      </c>
      <c r="C25" s="73"/>
      <c r="D25" s="73"/>
      <c r="E25" s="79">
        <v>0</v>
      </c>
      <c r="F25" s="79">
        <v>0</v>
      </c>
      <c r="G25" s="79">
        <f t="shared" si="1"/>
        <v>0</v>
      </c>
      <c r="H25" s="79"/>
    </row>
    <row r="26" spans="1:10" s="3" customFormat="1">
      <c r="B26" s="73" t="s">
        <v>567</v>
      </c>
      <c r="C26" s="73"/>
      <c r="D26" s="73"/>
      <c r="E26" s="79">
        <v>0</v>
      </c>
      <c r="F26" s="79">
        <v>65000</v>
      </c>
      <c r="G26" s="79">
        <f>E26+F26</f>
        <v>65000</v>
      </c>
      <c r="H26" s="79"/>
    </row>
    <row r="27" spans="1:10" s="3" customFormat="1">
      <c r="B27" s="73" t="s">
        <v>568</v>
      </c>
      <c r="C27" s="73"/>
      <c r="D27" s="73"/>
      <c r="E27" s="79">
        <v>0</v>
      </c>
      <c r="F27" s="79">
        <v>0</v>
      </c>
      <c r="G27" s="79">
        <f>E27+F27</f>
        <v>0</v>
      </c>
      <c r="H27" s="79"/>
    </row>
    <row r="28" spans="1:10" s="3" customFormat="1">
      <c r="B28" s="91" t="s">
        <v>569</v>
      </c>
      <c r="C28" s="92"/>
      <c r="D28" s="92"/>
      <c r="E28" s="93">
        <f>E19-E20-E22-E23-E24-E25-E26-E27</f>
        <v>10267671.5</v>
      </c>
      <c r="F28" s="93">
        <f>F19-F20-F22-F23-F24-F25-F26-F27</f>
        <v>23097118</v>
      </c>
      <c r="G28" s="93">
        <f>SUM(E28:F28)</f>
        <v>33364789.5</v>
      </c>
      <c r="H28" s="99"/>
    </row>
    <row r="29" spans="1:10" s="3" customFormat="1" ht="10" customHeight="1">
      <c r="B29" s="66"/>
      <c r="C29" s="66"/>
      <c r="D29" s="66"/>
      <c r="E29" s="66"/>
      <c r="F29" s="66"/>
      <c r="G29" s="66"/>
      <c r="H29" s="66"/>
    </row>
    <row r="30" spans="1:10" s="3" customFormat="1" ht="10" customHeight="1">
      <c r="B30" s="66"/>
      <c r="C30" s="66"/>
      <c r="D30" s="66"/>
      <c r="E30" s="66"/>
      <c r="F30" s="66"/>
      <c r="G30" s="66"/>
      <c r="H30" s="66"/>
    </row>
    <row r="31" spans="1:10" s="2" customFormat="1" ht="15.5">
      <c r="A31" s="59"/>
      <c r="B31" s="63" t="s">
        <v>570</v>
      </c>
      <c r="C31" s="72"/>
      <c r="D31" s="72"/>
      <c r="E31" s="109"/>
      <c r="F31" s="109"/>
      <c r="G31" s="109"/>
      <c r="H31" s="109"/>
      <c r="J31" s="59"/>
    </row>
    <row r="32" spans="1:10">
      <c r="B32" s="64" t="s">
        <v>571</v>
      </c>
      <c r="C32" s="110"/>
      <c r="D32" s="110"/>
      <c r="E32" s="71"/>
      <c r="F32" s="71"/>
      <c r="G32" s="71"/>
      <c r="H32" s="71"/>
    </row>
    <row r="33" spans="2:8" s="3" customFormat="1" ht="13.5" thickBot="1">
      <c r="B33" s="94"/>
      <c r="C33" s="94"/>
      <c r="D33" s="66"/>
      <c r="E33" s="66"/>
      <c r="F33" s="66"/>
      <c r="G33" s="66"/>
      <c r="H33" s="66"/>
    </row>
    <row r="34" spans="2:8" s="3" customFormat="1">
      <c r="B34" s="95" t="s">
        <v>220</v>
      </c>
      <c r="C34" s="95" t="s">
        <v>572</v>
      </c>
      <c r="D34" s="66"/>
      <c r="E34" s="66"/>
      <c r="F34" s="66"/>
      <c r="G34" s="66"/>
      <c r="H34" s="66"/>
    </row>
    <row r="35" spans="2:8" s="3" customFormat="1">
      <c r="B35" s="96">
        <v>2020</v>
      </c>
      <c r="C35" s="97">
        <v>25949060</v>
      </c>
      <c r="D35" s="66"/>
      <c r="E35" s="66"/>
      <c r="F35" s="66"/>
      <c r="G35" s="66"/>
      <c r="H35" s="66"/>
    </row>
    <row r="36" spans="2:8" s="3" customFormat="1">
      <c r="B36" s="96">
        <v>2021</v>
      </c>
      <c r="C36" s="97">
        <v>29336130</v>
      </c>
      <c r="D36" s="66"/>
      <c r="E36" s="66"/>
      <c r="F36" s="66"/>
      <c r="G36" s="66"/>
      <c r="H36" s="66"/>
    </row>
    <row r="37" spans="2:8" s="3" customFormat="1">
      <c r="B37" s="96">
        <v>2022</v>
      </c>
      <c r="C37" s="97">
        <v>30170420</v>
      </c>
      <c r="D37" s="66"/>
      <c r="E37" s="66"/>
      <c r="F37" s="66"/>
      <c r="G37" s="66"/>
      <c r="H37" s="66"/>
    </row>
    <row r="38" spans="2:8" s="3" customFormat="1">
      <c r="B38" s="96">
        <v>2023</v>
      </c>
      <c r="C38" s="97">
        <v>30120070</v>
      </c>
      <c r="D38" s="66"/>
      <c r="E38" s="66"/>
      <c r="F38" s="66"/>
      <c r="G38" s="66"/>
      <c r="H38" s="66"/>
    </row>
    <row r="39" spans="2:8" s="3" customFormat="1">
      <c r="B39" s="96">
        <v>2024</v>
      </c>
      <c r="C39" s="97">
        <v>31319440</v>
      </c>
      <c r="D39" s="66"/>
      <c r="E39" s="66"/>
      <c r="F39" s="66"/>
      <c r="G39" s="66"/>
      <c r="H39" s="66"/>
    </row>
    <row r="40" spans="2:8" s="3" customFormat="1">
      <c r="B40" s="96">
        <v>2025</v>
      </c>
      <c r="C40" s="97">
        <v>33364790</v>
      </c>
      <c r="D40" s="66"/>
      <c r="E40" s="66"/>
      <c r="F40" s="66"/>
      <c r="G40" s="66"/>
      <c r="H40" s="66"/>
    </row>
    <row r="41" spans="2:8" s="3" customFormat="1">
      <c r="B41" s="66"/>
      <c r="C41" s="66"/>
      <c r="D41" s="66"/>
      <c r="E41" s="66"/>
      <c r="F41" s="66"/>
      <c r="G41" s="66"/>
      <c r="H41" s="66"/>
    </row>
    <row r="42" spans="2:8" s="3" customFormat="1">
      <c r="B42" s="66"/>
      <c r="C42" s="66"/>
      <c r="D42" s="66"/>
      <c r="E42" s="66"/>
      <c r="F42" s="66"/>
      <c r="G42" s="66"/>
      <c r="H42" s="66"/>
    </row>
    <row r="43" spans="2:8" s="3" customFormat="1">
      <c r="B43" s="66"/>
      <c r="C43" s="66"/>
      <c r="D43" s="66"/>
      <c r="E43" s="66"/>
      <c r="F43" s="66"/>
      <c r="G43" s="66"/>
      <c r="H43" s="66"/>
    </row>
    <row r="44" spans="2:8" s="3" customFormat="1">
      <c r="B44" s="66"/>
      <c r="C44" s="66"/>
      <c r="D44" s="66"/>
      <c r="E44" s="66"/>
      <c r="F44" s="66"/>
      <c r="G44" s="66"/>
      <c r="H44" s="66"/>
    </row>
    <row r="45" spans="2:8" s="3" customFormat="1">
      <c r="B45" s="66"/>
      <c r="C45" s="66"/>
      <c r="D45" s="66"/>
      <c r="E45" s="66"/>
      <c r="F45" s="66"/>
      <c r="G45" s="66"/>
      <c r="H45" s="66"/>
    </row>
    <row r="46" spans="2:8" s="3" customFormat="1">
      <c r="B46" s="66"/>
      <c r="C46" s="66"/>
      <c r="D46" s="66"/>
      <c r="E46" s="66"/>
      <c r="F46" s="66"/>
      <c r="G46" s="66"/>
      <c r="H46" s="66"/>
    </row>
    <row r="47" spans="2:8" s="3" customFormat="1">
      <c r="B47" s="66"/>
      <c r="C47" s="66"/>
      <c r="D47" s="66"/>
      <c r="E47" s="66"/>
      <c r="F47" s="66"/>
      <c r="G47" s="66"/>
      <c r="H47" s="66"/>
    </row>
    <row r="48" spans="2:8" s="3" customFormat="1">
      <c r="B48" s="66"/>
      <c r="C48" s="66"/>
      <c r="D48" s="66"/>
      <c r="E48" s="66"/>
      <c r="F48" s="66"/>
      <c r="G48" s="66"/>
      <c r="H48" s="66"/>
    </row>
    <row r="50" spans="2:2">
      <c r="B50" s="7" t="s">
        <v>573</v>
      </c>
    </row>
    <row r="51" spans="2:2">
      <c r="B51" s="7"/>
    </row>
  </sheetData>
  <hyperlinks>
    <hyperlink ref="A1" location="TOC!A1" display="Back" xr:uid="{C200AE90-9588-4FE3-9F0C-BFF04586CFCC}"/>
  </hyperlinks>
  <pageMargins left="0.5" right="0.5" top="0.4" bottom="0.8" header="0.25" footer="0.35"/>
  <pageSetup scale="86" orientation="landscape" cellComments="asDisplayed" r:id="rId1"/>
  <headerFooter scaleWithDoc="0">
    <oddHeader>&amp;R&amp;P</oddHeader>
    <oddFooter>&amp;R&amp;G&amp;L© 2025 Virginia Department of Taxation, All Rights Reserved</oddFoot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0F8A7-360F-4E53-972E-24622A91F66B}">
  <sheetPr codeName="Sheet14"/>
  <dimension ref="A1:J173"/>
  <sheetViews>
    <sheetView zoomScaleNormal="100" workbookViewId="0"/>
  </sheetViews>
  <sheetFormatPr defaultRowHeight="13"/>
  <cols>
    <col min="1" max="1" width="4.19921875" customWidth="1"/>
    <col min="2" max="2" width="14.69921875" customWidth="1"/>
    <col min="3" max="8" width="15.69921875" style="4" customWidth="1"/>
    <col min="9" max="9" width="1.69921875" customWidth="1"/>
    <col min="10" max="10" width="5.19921875" customWidth="1"/>
  </cols>
  <sheetData>
    <row r="1" spans="1:10" ht="15.5">
      <c r="A1" s="813" t="s">
        <v>42</v>
      </c>
      <c r="B1" s="63" t="s">
        <v>528</v>
      </c>
      <c r="C1" s="100"/>
      <c r="D1" s="100"/>
      <c r="E1" s="100"/>
      <c r="F1" s="100"/>
      <c r="G1" s="100"/>
      <c r="H1" s="100"/>
      <c r="J1" s="8"/>
    </row>
    <row r="2" spans="1:10">
      <c r="B2" s="64" t="s">
        <v>529</v>
      </c>
      <c r="C2" s="100"/>
      <c r="D2" s="100"/>
      <c r="E2" s="100"/>
      <c r="F2" s="100"/>
      <c r="G2" s="100"/>
      <c r="H2" s="100"/>
    </row>
    <row r="3" spans="1:10" ht="3" customHeight="1" thickBot="1">
      <c r="B3" s="101"/>
      <c r="C3" s="102"/>
      <c r="D3" s="102"/>
      <c r="E3" s="102"/>
      <c r="F3" s="103"/>
      <c r="G3" s="103"/>
      <c r="H3" s="103"/>
    </row>
    <row r="4" spans="1:10" ht="26">
      <c r="B4" s="104" t="s">
        <v>125</v>
      </c>
      <c r="C4" s="105" t="s">
        <v>530</v>
      </c>
      <c r="D4" s="105" t="s">
        <v>531</v>
      </c>
      <c r="E4" s="105" t="s">
        <v>532</v>
      </c>
      <c r="F4" s="105" t="s">
        <v>1395</v>
      </c>
      <c r="G4" s="105" t="s">
        <v>1396</v>
      </c>
      <c r="H4" s="105" t="s">
        <v>1397</v>
      </c>
    </row>
    <row r="5" spans="1:10" ht="21" customHeight="1">
      <c r="B5" s="66" t="s">
        <v>179</v>
      </c>
      <c r="C5" s="81">
        <v>19647871.48</v>
      </c>
      <c r="D5" s="81">
        <v>24486952.300000001</v>
      </c>
      <c r="E5" s="81">
        <v>23162078.210000001</v>
      </c>
      <c r="F5" s="81">
        <v>11623034.76</v>
      </c>
      <c r="G5" s="81">
        <v>11311298.130000001</v>
      </c>
      <c r="H5" s="81">
        <v>13730270.23</v>
      </c>
    </row>
    <row r="6" spans="1:10">
      <c r="B6" s="66" t="s">
        <v>180</v>
      </c>
      <c r="C6" s="82">
        <v>402796.44</v>
      </c>
      <c r="D6" s="82">
        <v>537783</v>
      </c>
      <c r="E6" s="82">
        <v>957747.95</v>
      </c>
      <c r="F6" s="82">
        <v>653498.36</v>
      </c>
      <c r="G6" s="82">
        <v>860233.7</v>
      </c>
      <c r="H6" s="82">
        <v>611146.06000000006</v>
      </c>
    </row>
    <row r="7" spans="1:10">
      <c r="B7" s="66" t="s">
        <v>126</v>
      </c>
      <c r="C7" s="82">
        <v>99939.26</v>
      </c>
      <c r="D7" s="82">
        <v>196730.71</v>
      </c>
      <c r="E7" s="82">
        <v>188967.9</v>
      </c>
      <c r="F7" s="82">
        <v>122883.39</v>
      </c>
      <c r="G7" s="82">
        <v>130806.81</v>
      </c>
      <c r="H7" s="82">
        <v>136195.44</v>
      </c>
    </row>
    <row r="8" spans="1:10">
      <c r="B8" s="66" t="s">
        <v>127</v>
      </c>
      <c r="C8" s="82">
        <v>2810244.35</v>
      </c>
      <c r="D8" s="82">
        <v>2912301.01</v>
      </c>
      <c r="E8" s="82">
        <v>3662574.31</v>
      </c>
      <c r="F8" s="82">
        <v>2346414.0099999998</v>
      </c>
      <c r="G8" s="82">
        <v>2173522.91</v>
      </c>
      <c r="H8" s="82">
        <v>2753221.46</v>
      </c>
    </row>
    <row r="9" spans="1:10">
      <c r="B9" s="66" t="s">
        <v>517</v>
      </c>
      <c r="C9" s="82">
        <v>14401491.529999999</v>
      </c>
      <c r="D9" s="82">
        <v>21603249.43</v>
      </c>
      <c r="E9" s="82">
        <v>20379848.98</v>
      </c>
      <c r="F9" s="82">
        <v>13730503.27</v>
      </c>
      <c r="G9" s="82">
        <v>11670735.43</v>
      </c>
      <c r="H9" s="82">
        <v>13055819.16</v>
      </c>
    </row>
    <row r="10" spans="1:10" ht="24" customHeight="1">
      <c r="B10" s="66" t="s">
        <v>128</v>
      </c>
      <c r="C10" s="82">
        <v>577847.51</v>
      </c>
      <c r="D10" s="82">
        <v>826821.67</v>
      </c>
      <c r="E10" s="82">
        <v>1113415.6599999999</v>
      </c>
      <c r="F10" s="82">
        <v>742587.73</v>
      </c>
      <c r="G10" s="82">
        <v>570823.46</v>
      </c>
      <c r="H10" s="82">
        <v>696872.05</v>
      </c>
    </row>
    <row r="11" spans="1:10">
      <c r="B11" s="66" t="s">
        <v>272</v>
      </c>
      <c r="C11" s="82">
        <v>52182.38</v>
      </c>
      <c r="D11" s="82">
        <v>53116.639999999999</v>
      </c>
      <c r="E11" s="82">
        <v>109577.24</v>
      </c>
      <c r="F11" s="82">
        <v>73147.37</v>
      </c>
      <c r="G11" s="82">
        <v>86463.7</v>
      </c>
      <c r="H11" s="82">
        <v>116643.24</v>
      </c>
    </row>
    <row r="12" spans="1:10">
      <c r="B12" s="66" t="s">
        <v>130</v>
      </c>
      <c r="C12" s="82">
        <v>876366.91</v>
      </c>
      <c r="D12" s="82">
        <v>1418132.05</v>
      </c>
      <c r="E12" s="82">
        <v>1265371.1399999999</v>
      </c>
      <c r="F12" s="82">
        <v>1172279.02</v>
      </c>
      <c r="G12" s="82">
        <v>2071534.84</v>
      </c>
      <c r="H12" s="82">
        <v>1396668.81</v>
      </c>
    </row>
    <row r="13" spans="1:10">
      <c r="B13" s="66" t="s">
        <v>277</v>
      </c>
      <c r="C13" s="82">
        <v>155399.96</v>
      </c>
      <c r="D13" s="82">
        <v>83820.53</v>
      </c>
      <c r="E13" s="82">
        <v>124845.06</v>
      </c>
      <c r="F13" s="82">
        <v>63507.56</v>
      </c>
      <c r="G13" s="82">
        <v>130922.99</v>
      </c>
      <c r="H13" s="82">
        <v>184696.95999999999</v>
      </c>
    </row>
    <row r="14" spans="1:10">
      <c r="B14" s="66" t="s">
        <v>518</v>
      </c>
      <c r="C14" s="82">
        <v>1761827.91</v>
      </c>
      <c r="D14" s="82">
        <v>3270225.01</v>
      </c>
      <c r="E14" s="82">
        <v>2892330.48</v>
      </c>
      <c r="F14" s="82">
        <v>2612342.62</v>
      </c>
      <c r="G14" s="82">
        <v>2019101.7</v>
      </c>
      <c r="H14" s="82">
        <v>2499003.9900000002</v>
      </c>
    </row>
    <row r="15" spans="1:10" ht="24" customHeight="1">
      <c r="B15" s="66" t="s">
        <v>133</v>
      </c>
      <c r="C15" s="82">
        <v>1304917.4099999999</v>
      </c>
      <c r="D15" s="82">
        <v>2180925.83</v>
      </c>
      <c r="E15" s="82">
        <v>1953884.13</v>
      </c>
      <c r="F15" s="82">
        <v>1217693.02</v>
      </c>
      <c r="G15" s="82">
        <v>870124.82</v>
      </c>
      <c r="H15" s="82">
        <v>1418863.41</v>
      </c>
    </row>
    <row r="16" spans="1:10">
      <c r="B16" s="66" t="s">
        <v>519</v>
      </c>
      <c r="C16" s="82">
        <v>243652.99</v>
      </c>
      <c r="D16" s="82">
        <v>241542.23</v>
      </c>
      <c r="E16" s="82">
        <v>315630.93</v>
      </c>
      <c r="F16" s="82">
        <v>341286.64</v>
      </c>
      <c r="G16" s="82">
        <v>424762.19</v>
      </c>
      <c r="H16" s="82">
        <v>307998.82</v>
      </c>
    </row>
    <row r="17" spans="2:8">
      <c r="B17" s="66" t="s">
        <v>134</v>
      </c>
      <c r="C17" s="82">
        <v>1626979.46</v>
      </c>
      <c r="D17" s="82">
        <v>2786419.69</v>
      </c>
      <c r="E17" s="82">
        <v>2986181.56</v>
      </c>
      <c r="F17" s="82">
        <v>1723722.36</v>
      </c>
      <c r="G17" s="82">
        <v>1293498.52</v>
      </c>
      <c r="H17" s="82">
        <v>1905586.26</v>
      </c>
    </row>
    <row r="18" spans="2:8">
      <c r="B18" s="66" t="s">
        <v>290</v>
      </c>
      <c r="C18" s="82">
        <v>111115.28</v>
      </c>
      <c r="D18" s="82">
        <v>151962.9</v>
      </c>
      <c r="E18" s="82">
        <v>219606.13</v>
      </c>
      <c r="F18" s="82">
        <v>110086.98</v>
      </c>
      <c r="G18" s="82">
        <v>198690.56</v>
      </c>
      <c r="H18" s="82">
        <v>128210.64</v>
      </c>
    </row>
    <row r="19" spans="2:8">
      <c r="B19" s="66" t="s">
        <v>520</v>
      </c>
      <c r="C19" s="82">
        <v>4541384.6399999997</v>
      </c>
      <c r="D19" s="82">
        <v>7433561.79</v>
      </c>
      <c r="E19" s="82">
        <v>8715383.8699999992</v>
      </c>
      <c r="F19" s="82">
        <v>6084170.71</v>
      </c>
      <c r="G19" s="82">
        <v>4190268.89</v>
      </c>
      <c r="H19" s="82">
        <v>5745839.3499999996</v>
      </c>
    </row>
    <row r="20" spans="2:8" s="3" customFormat="1" ht="24" customHeight="1">
      <c r="B20" s="66" t="s">
        <v>182</v>
      </c>
      <c r="C20" s="82">
        <v>1355427.92</v>
      </c>
      <c r="D20" s="82">
        <v>1565376.98</v>
      </c>
      <c r="E20" s="82">
        <v>2184193.65</v>
      </c>
      <c r="F20" s="82">
        <v>1899175.79</v>
      </c>
      <c r="G20" s="82">
        <v>1797181.77</v>
      </c>
      <c r="H20" s="82">
        <v>1385586.5</v>
      </c>
    </row>
    <row r="21" spans="2:8" s="3" customFormat="1">
      <c r="B21" s="66" t="s">
        <v>137</v>
      </c>
      <c r="C21" s="82">
        <v>509234.8</v>
      </c>
      <c r="D21" s="82">
        <v>765449.01</v>
      </c>
      <c r="E21" s="82">
        <v>844344.73</v>
      </c>
      <c r="F21" s="82">
        <v>923422.22</v>
      </c>
      <c r="G21" s="82">
        <v>608281.96</v>
      </c>
      <c r="H21" s="82">
        <v>656042.21</v>
      </c>
    </row>
    <row r="22" spans="2:8" s="3" customFormat="1">
      <c r="B22" s="66" t="s">
        <v>300</v>
      </c>
      <c r="C22" s="82">
        <v>211225.4</v>
      </c>
      <c r="D22" s="82">
        <v>264106.92</v>
      </c>
      <c r="E22" s="82">
        <v>354845.96</v>
      </c>
      <c r="F22" s="82">
        <v>185356.06</v>
      </c>
      <c r="G22" s="82">
        <v>161089.29999999999</v>
      </c>
      <c r="H22" s="82">
        <v>172484.73</v>
      </c>
    </row>
    <row r="23" spans="2:8" s="3" customFormat="1">
      <c r="B23" s="66" t="s">
        <v>139</v>
      </c>
      <c r="C23" s="82">
        <v>2428911.44</v>
      </c>
      <c r="D23" s="82">
        <v>3357043.08</v>
      </c>
      <c r="E23" s="82">
        <v>3943640.4</v>
      </c>
      <c r="F23" s="82">
        <v>3311558.15</v>
      </c>
      <c r="G23" s="82">
        <v>3016111.17</v>
      </c>
      <c r="H23" s="82">
        <v>3002782.43</v>
      </c>
    </row>
    <row r="24" spans="2:8" s="3" customFormat="1">
      <c r="B24" s="66" t="s">
        <v>183</v>
      </c>
      <c r="C24" s="82">
        <v>2758790.26</v>
      </c>
      <c r="D24" s="82">
        <v>2147458.87</v>
      </c>
      <c r="E24" s="82">
        <v>2644967.39</v>
      </c>
      <c r="F24" s="82">
        <v>2487237.6</v>
      </c>
      <c r="G24" s="82">
        <v>3092889.93</v>
      </c>
      <c r="H24" s="82">
        <v>2630890.98</v>
      </c>
    </row>
    <row r="25" spans="2:8" s="3" customFormat="1" ht="24" customHeight="1">
      <c r="B25" s="66" t="s">
        <v>306</v>
      </c>
      <c r="C25" s="82">
        <v>894547.55</v>
      </c>
      <c r="D25" s="82">
        <v>876560.21</v>
      </c>
      <c r="E25" s="82">
        <v>1397666.44</v>
      </c>
      <c r="F25" s="82">
        <v>954019.22</v>
      </c>
      <c r="G25" s="82">
        <v>1448685.73</v>
      </c>
      <c r="H25" s="82">
        <v>1082346.81</v>
      </c>
    </row>
    <row r="26" spans="2:8" s="3" customFormat="1">
      <c r="B26" s="66" t="s">
        <v>521</v>
      </c>
      <c r="C26" s="82">
        <v>353097.32</v>
      </c>
      <c r="D26" s="82">
        <v>399930.35</v>
      </c>
      <c r="E26" s="82">
        <v>343631.08</v>
      </c>
      <c r="F26" s="82">
        <v>294914.28000000003</v>
      </c>
      <c r="G26" s="82">
        <v>579142.26</v>
      </c>
      <c r="H26" s="82">
        <v>389049.45</v>
      </c>
    </row>
    <row r="27" spans="2:8" s="3" customFormat="1">
      <c r="B27" s="66" t="s">
        <v>140</v>
      </c>
      <c r="C27" s="82">
        <v>6204195.79</v>
      </c>
      <c r="D27" s="82">
        <v>8174002.79</v>
      </c>
      <c r="E27" s="82">
        <v>9714162.6999999993</v>
      </c>
      <c r="F27" s="82">
        <v>6873758.1799999997</v>
      </c>
      <c r="G27" s="82">
        <v>5437071.2000000002</v>
      </c>
      <c r="H27" s="82">
        <v>6664103.7800000003</v>
      </c>
    </row>
    <row r="28" spans="2:8" s="3" customFormat="1">
      <c r="B28" s="66" t="s">
        <v>141</v>
      </c>
      <c r="C28" s="82">
        <v>10219944.74</v>
      </c>
      <c r="D28" s="82">
        <v>12853020.970000001</v>
      </c>
      <c r="E28" s="82">
        <v>16027711.1</v>
      </c>
      <c r="F28" s="82">
        <v>9514522.0999999996</v>
      </c>
      <c r="G28" s="82">
        <v>8973096.1999999993</v>
      </c>
      <c r="H28" s="82">
        <v>10615557.449999999</v>
      </c>
    </row>
    <row r="29" spans="2:8" s="3" customFormat="1">
      <c r="B29" s="66" t="s">
        <v>316</v>
      </c>
      <c r="C29" s="82">
        <v>34126.04</v>
      </c>
      <c r="D29" s="82">
        <v>76756.63</v>
      </c>
      <c r="E29" s="82">
        <v>59418.39</v>
      </c>
      <c r="F29" s="82">
        <v>156541.54999999999</v>
      </c>
      <c r="G29" s="82">
        <v>67538.42</v>
      </c>
      <c r="H29" s="82">
        <v>50882.27</v>
      </c>
    </row>
    <row r="30" spans="2:8" s="3" customFormat="1" ht="24" customHeight="1">
      <c r="B30" s="66" t="s">
        <v>522</v>
      </c>
      <c r="C30" s="82">
        <v>994761.71</v>
      </c>
      <c r="D30" s="82">
        <v>1014291.33</v>
      </c>
      <c r="E30" s="82">
        <v>1773222.3</v>
      </c>
      <c r="F30" s="82">
        <v>1364195.72</v>
      </c>
      <c r="G30" s="82">
        <v>1449797.62</v>
      </c>
      <c r="H30" s="82">
        <v>1599980</v>
      </c>
    </row>
    <row r="31" spans="2:8" s="3" customFormat="1">
      <c r="B31" s="66" t="s">
        <v>320</v>
      </c>
      <c r="C31" s="82">
        <v>656793.41</v>
      </c>
      <c r="D31" s="82">
        <v>1173413.32</v>
      </c>
      <c r="E31" s="82">
        <v>978126.41</v>
      </c>
      <c r="F31" s="82">
        <v>668170.31999999995</v>
      </c>
      <c r="G31" s="82">
        <v>867918.51</v>
      </c>
      <c r="H31" s="82">
        <v>833251.48</v>
      </c>
    </row>
    <row r="32" spans="2:8" s="3" customFormat="1">
      <c r="B32" s="66" t="s">
        <v>523</v>
      </c>
      <c r="C32" s="82">
        <v>3434800.63</v>
      </c>
      <c r="D32" s="82">
        <v>4940637.78</v>
      </c>
      <c r="E32" s="82">
        <v>6108286.46</v>
      </c>
      <c r="F32" s="82">
        <v>3953453.79</v>
      </c>
      <c r="G32" s="82">
        <v>3735033.49</v>
      </c>
      <c r="H32" s="82">
        <v>4545913.3899999997</v>
      </c>
    </row>
    <row r="33" spans="2:8" s="3" customFormat="1">
      <c r="B33" s="66" t="s">
        <v>145</v>
      </c>
      <c r="C33" s="82">
        <v>508418.05</v>
      </c>
      <c r="D33" s="82">
        <v>576192.88</v>
      </c>
      <c r="E33" s="82">
        <v>433478.25</v>
      </c>
      <c r="F33" s="82">
        <v>325224.06</v>
      </c>
      <c r="G33" s="82">
        <v>367080.35</v>
      </c>
      <c r="H33" s="82">
        <v>361211.43</v>
      </c>
    </row>
    <row r="34" spans="2:8" s="3" customFormat="1">
      <c r="B34" s="66" t="s">
        <v>524</v>
      </c>
      <c r="C34" s="82">
        <v>13287241.23</v>
      </c>
      <c r="D34" s="82">
        <v>16775543.460000001</v>
      </c>
      <c r="E34" s="82">
        <v>17729445.77</v>
      </c>
      <c r="F34" s="82">
        <v>13917299.619999999</v>
      </c>
      <c r="G34" s="82">
        <v>10370391.92</v>
      </c>
      <c r="H34" s="82">
        <v>13972377.48</v>
      </c>
    </row>
    <row r="35" spans="2:8" s="3" customFormat="1" ht="15.5">
      <c r="B35" s="63" t="str">
        <f>B1&amp;", continued"</f>
        <v>Table 5.5, continued</v>
      </c>
      <c r="C35" s="100"/>
      <c r="D35" s="100"/>
      <c r="E35" s="100"/>
      <c r="F35" s="100"/>
      <c r="G35" s="100"/>
      <c r="H35" s="100"/>
    </row>
    <row r="36" spans="2:8" s="3" customFormat="1">
      <c r="B36" s="64" t="str">
        <f>$B$2</f>
        <v xml:space="preserve">Recordation Tax and Deeds of Conveyance Revenue Collections by Locality </v>
      </c>
      <c r="C36" s="100"/>
      <c r="D36" s="100"/>
      <c r="E36" s="100"/>
      <c r="F36" s="100"/>
      <c r="G36" s="100"/>
      <c r="H36" s="100"/>
    </row>
    <row r="37" spans="2:8" s="3" customFormat="1" ht="3" customHeight="1" thickBot="1">
      <c r="B37" s="101"/>
      <c r="C37" s="102"/>
      <c r="D37" s="102"/>
      <c r="E37" s="102"/>
      <c r="F37" s="103"/>
      <c r="G37" s="103"/>
      <c r="H37" s="103"/>
    </row>
    <row r="38" spans="2:8" s="3" customFormat="1" ht="26">
      <c r="B38" s="104" t="s">
        <v>125</v>
      </c>
      <c r="C38" s="105" t="str">
        <f>C$4</f>
        <v>Fiscal Year 
2020</v>
      </c>
      <c r="D38" s="105" t="str">
        <f t="shared" ref="D38:H38" si="0">D$4</f>
        <v>Fiscal Year 
2021</v>
      </c>
      <c r="E38" s="105" t="str">
        <f t="shared" si="0"/>
        <v>Fiscal Year 
2022</v>
      </c>
      <c r="F38" s="105" t="str">
        <f t="shared" si="0"/>
        <v>Fiscal Year 
2023</v>
      </c>
      <c r="G38" s="105" t="str">
        <f t="shared" si="0"/>
        <v>Fiscal Year 
2024</v>
      </c>
      <c r="H38" s="105" t="str">
        <f t="shared" si="0"/>
        <v>Fiscal Year 
2025</v>
      </c>
    </row>
    <row r="39" spans="2:8" s="3" customFormat="1" ht="21" customHeight="1">
      <c r="B39" s="66" t="s">
        <v>525</v>
      </c>
      <c r="C39" s="81">
        <v>3350488.74</v>
      </c>
      <c r="D39" s="81">
        <v>3969025.86</v>
      </c>
      <c r="E39" s="81">
        <v>4679861.6100000003</v>
      </c>
      <c r="F39" s="81">
        <v>3983334.23</v>
      </c>
      <c r="G39" s="81">
        <v>3208415.67</v>
      </c>
      <c r="H39" s="81">
        <v>3324635.68</v>
      </c>
    </row>
    <row r="40" spans="2:8" s="3" customFormat="1">
      <c r="B40" s="66" t="s">
        <v>526</v>
      </c>
      <c r="C40" s="82">
        <v>807080.85</v>
      </c>
      <c r="D40" s="82">
        <v>1205161.92</v>
      </c>
      <c r="E40" s="82">
        <v>1524768.67</v>
      </c>
      <c r="F40" s="82">
        <v>971539.39</v>
      </c>
      <c r="G40" s="82">
        <v>844305.55</v>
      </c>
      <c r="H40" s="82">
        <v>996619.24</v>
      </c>
    </row>
    <row r="41" spans="2:8" s="3" customFormat="1">
      <c r="B41" s="66" t="s">
        <v>187</v>
      </c>
      <c r="C41" s="82">
        <v>787650.24</v>
      </c>
      <c r="D41" s="82">
        <v>1078578.3500000001</v>
      </c>
      <c r="E41" s="82">
        <v>1527006.73</v>
      </c>
      <c r="F41" s="82">
        <v>1205168.55</v>
      </c>
      <c r="G41" s="82">
        <v>1112759.6000000001</v>
      </c>
      <c r="H41" s="82">
        <v>1173183.1599999999</v>
      </c>
    </row>
    <row r="42" spans="2:8" s="3" customFormat="1">
      <c r="B42" s="66" t="s">
        <v>527</v>
      </c>
      <c r="C42" s="82">
        <v>6133052.1699999999</v>
      </c>
      <c r="D42" s="82">
        <v>9032188.6099999994</v>
      </c>
      <c r="E42" s="82">
        <v>9571458.4900000002</v>
      </c>
      <c r="F42" s="82">
        <v>7383550.2300000004</v>
      </c>
      <c r="G42" s="82">
        <v>6321091.4100000001</v>
      </c>
      <c r="H42" s="82">
        <v>7410136.2300000004</v>
      </c>
    </row>
    <row r="43" spans="2:8" s="3" customFormat="1">
      <c r="B43" s="66" t="s">
        <v>148</v>
      </c>
      <c r="C43" s="82">
        <v>26215390.719999999</v>
      </c>
      <c r="D43" s="82">
        <v>35842657.399999999</v>
      </c>
      <c r="E43" s="82">
        <v>35431250.700000003</v>
      </c>
      <c r="F43" s="82">
        <v>22834084.199999999</v>
      </c>
      <c r="G43" s="82">
        <v>19233456.530000001</v>
      </c>
      <c r="H43" s="82">
        <v>21978277.219999999</v>
      </c>
    </row>
    <row r="44" spans="2:8" s="3" customFormat="1" ht="21" customHeight="1">
      <c r="B44" s="66" t="s">
        <v>149</v>
      </c>
      <c r="C44" s="82">
        <v>881698.5</v>
      </c>
      <c r="D44" s="82">
        <v>983061.16</v>
      </c>
      <c r="E44" s="82">
        <v>1258878.74</v>
      </c>
      <c r="F44" s="82">
        <v>1018619.07</v>
      </c>
      <c r="G44" s="82">
        <v>1346096.22</v>
      </c>
      <c r="H44" s="82">
        <v>1399244.53</v>
      </c>
    </row>
    <row r="45" spans="2:8" s="3" customFormat="1">
      <c r="B45" s="66" t="s">
        <v>347</v>
      </c>
      <c r="C45" s="82">
        <v>857764.64</v>
      </c>
      <c r="D45" s="82">
        <v>751302.76</v>
      </c>
      <c r="E45" s="82">
        <v>1192043.54</v>
      </c>
      <c r="F45" s="82">
        <v>1127401.6599999999</v>
      </c>
      <c r="G45" s="82">
        <v>986385.25</v>
      </c>
      <c r="H45" s="82">
        <v>767329.82</v>
      </c>
    </row>
    <row r="46" spans="2:8" s="3" customFormat="1">
      <c r="B46" s="66" t="s">
        <v>151</v>
      </c>
      <c r="C46" s="82">
        <v>1168017.3999999999</v>
      </c>
      <c r="D46" s="82">
        <v>1462397.79</v>
      </c>
      <c r="E46" s="82">
        <v>1846951.45</v>
      </c>
      <c r="F46" s="82">
        <v>1500102.63</v>
      </c>
      <c r="G46" s="82">
        <v>1291031.08</v>
      </c>
      <c r="H46" s="82">
        <v>1523585.55</v>
      </c>
    </row>
    <row r="47" spans="2:8" s="3" customFormat="1">
      <c r="B47" s="66"/>
      <c r="C47" s="82"/>
      <c r="D47" s="82"/>
      <c r="E47" s="82"/>
      <c r="F47" s="82"/>
      <c r="G47" s="82"/>
      <c r="H47" s="82"/>
    </row>
    <row r="48" spans="2:8" s="3" customFormat="1">
      <c r="B48" s="106" t="s">
        <v>152</v>
      </c>
      <c r="C48" s="107">
        <f t="shared" ref="C48:H48" si="1">SUM(C5:C34,C39:C46)</f>
        <v>132666677.05999997</v>
      </c>
      <c r="D48" s="107">
        <f t="shared" si="1"/>
        <v>177467703.21999994</v>
      </c>
      <c r="E48" s="107">
        <f t="shared" si="1"/>
        <v>189616804.50999996</v>
      </c>
      <c r="F48" s="107">
        <f t="shared" si="1"/>
        <v>129469806.41999999</v>
      </c>
      <c r="G48" s="107">
        <f t="shared" si="1"/>
        <v>114317639.78999998</v>
      </c>
      <c r="H48" s="107">
        <f t="shared" si="1"/>
        <v>131222507.7</v>
      </c>
    </row>
    <row r="49" spans="2:8">
      <c r="B49" s="66"/>
      <c r="C49" s="82"/>
      <c r="D49" s="82"/>
      <c r="E49" s="82"/>
      <c r="F49" s="82"/>
      <c r="G49" s="82"/>
      <c r="H49" s="82"/>
    </row>
    <row r="50" spans="2:8">
      <c r="B50" s="66"/>
      <c r="C50" s="82"/>
      <c r="D50" s="82"/>
      <c r="E50" s="82"/>
      <c r="F50" s="82"/>
      <c r="G50" s="82"/>
      <c r="H50" s="82"/>
    </row>
    <row r="51" spans="2:8" s="3" customFormat="1" ht="15.5">
      <c r="B51" s="63" t="str">
        <f>$B$35</f>
        <v>Table 5.5, continued</v>
      </c>
      <c r="C51" s="100"/>
      <c r="D51" s="100"/>
      <c r="E51" s="100"/>
      <c r="F51" s="100"/>
      <c r="G51" s="100"/>
      <c r="H51" s="100"/>
    </row>
    <row r="52" spans="2:8" s="3" customFormat="1">
      <c r="B52" s="64" t="str">
        <f>$B$2</f>
        <v xml:space="preserve">Recordation Tax and Deeds of Conveyance Revenue Collections by Locality </v>
      </c>
      <c r="C52" s="100"/>
      <c r="D52" s="100"/>
      <c r="E52" s="100"/>
      <c r="F52" s="100"/>
      <c r="G52" s="100"/>
      <c r="H52" s="100"/>
    </row>
    <row r="53" spans="2:8" s="3" customFormat="1" ht="3" customHeight="1" thickBot="1">
      <c r="B53" s="101"/>
      <c r="C53" s="102"/>
      <c r="D53" s="102"/>
      <c r="E53" s="102"/>
      <c r="F53" s="103"/>
      <c r="G53" s="103"/>
      <c r="H53" s="103"/>
    </row>
    <row r="54" spans="2:8" s="3" customFormat="1" ht="26">
      <c r="B54" s="104" t="s">
        <v>43</v>
      </c>
      <c r="C54" s="105" t="str">
        <f>C$4</f>
        <v>Fiscal Year 
2020</v>
      </c>
      <c r="D54" s="105" t="str">
        <f t="shared" ref="D54:H54" si="2">D$4</f>
        <v>Fiscal Year 
2021</v>
      </c>
      <c r="E54" s="105" t="str">
        <f t="shared" si="2"/>
        <v>Fiscal Year 
2022</v>
      </c>
      <c r="F54" s="105" t="str">
        <f t="shared" si="2"/>
        <v>Fiscal Year 
2023</v>
      </c>
      <c r="G54" s="105" t="str">
        <f t="shared" si="2"/>
        <v>Fiscal Year 
2024</v>
      </c>
      <c r="H54" s="105" t="str">
        <f t="shared" si="2"/>
        <v>Fiscal Year 
2025</v>
      </c>
    </row>
    <row r="55" spans="2:8" s="3" customFormat="1" ht="21" customHeight="1">
      <c r="B55" s="66" t="s">
        <v>44</v>
      </c>
      <c r="C55" s="81">
        <v>1085444.99</v>
      </c>
      <c r="D55" s="81">
        <v>1609351.07</v>
      </c>
      <c r="E55" s="81">
        <v>1723090.65</v>
      </c>
      <c r="F55" s="81">
        <v>1349437.24</v>
      </c>
      <c r="G55" s="81">
        <v>1168482.79</v>
      </c>
      <c r="H55" s="81">
        <v>1388193.7</v>
      </c>
    </row>
    <row r="56" spans="2:8" s="3" customFormat="1">
      <c r="B56" s="66" t="s">
        <v>45</v>
      </c>
      <c r="C56" s="82">
        <v>7677069.2300000004</v>
      </c>
      <c r="D56" s="82">
        <v>10783141.449999999</v>
      </c>
      <c r="E56" s="82">
        <v>10110250.65</v>
      </c>
      <c r="F56" s="82">
        <v>7733689.5899999999</v>
      </c>
      <c r="G56" s="82">
        <v>7672661.4000000004</v>
      </c>
      <c r="H56" s="82">
        <v>8431803.0999999996</v>
      </c>
    </row>
    <row r="57" spans="2:8" s="3" customFormat="1">
      <c r="B57" s="66" t="s">
        <v>46</v>
      </c>
      <c r="C57" s="82">
        <v>291456.63</v>
      </c>
      <c r="D57" s="82">
        <v>322369.33</v>
      </c>
      <c r="E57" s="82">
        <v>368867.1</v>
      </c>
      <c r="F57" s="82">
        <v>392775.42</v>
      </c>
      <c r="G57" s="82">
        <v>322587.98</v>
      </c>
      <c r="H57" s="82">
        <v>335363.58</v>
      </c>
    </row>
    <row r="58" spans="2:8" s="3" customFormat="1">
      <c r="B58" s="66" t="s">
        <v>47</v>
      </c>
      <c r="C58" s="82">
        <v>410504.99</v>
      </c>
      <c r="D58" s="82">
        <v>560960.31000000006</v>
      </c>
      <c r="E58" s="82">
        <v>680485.66</v>
      </c>
      <c r="F58" s="82">
        <v>435482.48</v>
      </c>
      <c r="G58" s="82">
        <v>378141.94</v>
      </c>
      <c r="H58" s="82">
        <v>514541.19</v>
      </c>
    </row>
    <row r="59" spans="2:8" s="3" customFormat="1">
      <c r="B59" s="66" t="s">
        <v>48</v>
      </c>
      <c r="C59" s="82">
        <v>777235.11</v>
      </c>
      <c r="D59" s="82">
        <v>989743.54</v>
      </c>
      <c r="E59" s="82">
        <v>1128793.97</v>
      </c>
      <c r="F59" s="82">
        <v>906618.13</v>
      </c>
      <c r="G59" s="82">
        <v>824941.81</v>
      </c>
      <c r="H59" s="82">
        <v>917948.27</v>
      </c>
    </row>
    <row r="60" spans="2:8" s="3" customFormat="1" ht="21" customHeight="1">
      <c r="B60" s="66" t="s">
        <v>49</v>
      </c>
      <c r="C60" s="82">
        <v>428932.32</v>
      </c>
      <c r="D60" s="82">
        <v>542059.07999999996</v>
      </c>
      <c r="E60" s="82">
        <v>601369.59</v>
      </c>
      <c r="F60" s="82">
        <v>456661.17</v>
      </c>
      <c r="G60" s="82">
        <v>428251.29</v>
      </c>
      <c r="H60" s="82">
        <v>568442.16</v>
      </c>
    </row>
    <row r="61" spans="2:8" s="3" customFormat="1">
      <c r="B61" s="66" t="s">
        <v>164</v>
      </c>
      <c r="C61" s="82">
        <v>22966291.539999999</v>
      </c>
      <c r="D61" s="82">
        <v>31465024.09</v>
      </c>
      <c r="E61" s="82">
        <v>37330804.600000001</v>
      </c>
      <c r="F61" s="82">
        <v>15623673.82</v>
      </c>
      <c r="G61" s="82">
        <v>16129816.23</v>
      </c>
      <c r="H61" s="82">
        <v>15775507.15</v>
      </c>
    </row>
    <row r="62" spans="2:8" s="3" customFormat="1">
      <c r="B62" s="66" t="s">
        <v>50</v>
      </c>
      <c r="C62" s="82">
        <v>2555788.89</v>
      </c>
      <c r="D62" s="82">
        <v>3846710.28</v>
      </c>
      <c r="E62" s="82">
        <v>3650785.83</v>
      </c>
      <c r="F62" s="82">
        <v>2718510.66</v>
      </c>
      <c r="G62" s="82">
        <v>2591492.4500000002</v>
      </c>
      <c r="H62" s="82">
        <v>3047590.77</v>
      </c>
    </row>
    <row r="63" spans="2:8" s="3" customFormat="1">
      <c r="B63" s="66" t="s">
        <v>533</v>
      </c>
      <c r="C63" s="82">
        <v>99799.6</v>
      </c>
      <c r="D63" s="82">
        <v>180720.6</v>
      </c>
      <c r="E63" s="82">
        <v>205394.6</v>
      </c>
      <c r="F63" s="82">
        <v>138453.57999999999</v>
      </c>
      <c r="G63" s="82">
        <v>130089.4</v>
      </c>
      <c r="H63" s="82">
        <v>155642.53</v>
      </c>
    </row>
    <row r="64" spans="2:8" s="3" customFormat="1">
      <c r="B64" s="66" t="s">
        <v>395</v>
      </c>
      <c r="C64" s="82">
        <v>3621182.8</v>
      </c>
      <c r="D64" s="82">
        <v>5303106.54</v>
      </c>
      <c r="E64" s="82">
        <v>5601099.9500000002</v>
      </c>
      <c r="F64" s="82">
        <v>3722908.1</v>
      </c>
      <c r="G64" s="82">
        <v>3467536.26</v>
      </c>
      <c r="H64" s="82">
        <v>4089727.93</v>
      </c>
    </row>
    <row r="65" spans="2:8" s="3" customFormat="1" ht="24" customHeight="1">
      <c r="B65" s="66" t="s">
        <v>52</v>
      </c>
      <c r="C65" s="82">
        <v>69992.2</v>
      </c>
      <c r="D65" s="82">
        <v>124373.19</v>
      </c>
      <c r="E65" s="82">
        <v>168844.41</v>
      </c>
      <c r="F65" s="82">
        <v>91723.81</v>
      </c>
      <c r="G65" s="82">
        <v>126836.35</v>
      </c>
      <c r="H65" s="82">
        <v>118534.48</v>
      </c>
    </row>
    <row r="66" spans="2:8" s="3" customFormat="1">
      <c r="B66" s="66" t="s">
        <v>53</v>
      </c>
      <c r="C66" s="82">
        <v>1384786.96</v>
      </c>
      <c r="D66" s="82">
        <v>1881261.92</v>
      </c>
      <c r="E66" s="82">
        <v>1613406.33</v>
      </c>
      <c r="F66" s="82">
        <v>1436608.19</v>
      </c>
      <c r="G66" s="82">
        <v>1208740.52</v>
      </c>
      <c r="H66" s="82">
        <v>1381822.83</v>
      </c>
    </row>
    <row r="67" spans="2:8" s="3" customFormat="1">
      <c r="B67" s="66" t="s">
        <v>54</v>
      </c>
      <c r="C67" s="82">
        <v>338735.82</v>
      </c>
      <c r="D67" s="82">
        <v>372658.97</v>
      </c>
      <c r="E67" s="82">
        <v>516299.79</v>
      </c>
      <c r="F67" s="82">
        <v>407946.45</v>
      </c>
      <c r="G67" s="82">
        <v>329526.31</v>
      </c>
      <c r="H67" s="82">
        <v>457321.27</v>
      </c>
    </row>
    <row r="68" spans="2:8" s="3" customFormat="1">
      <c r="B68" s="66" t="s">
        <v>55</v>
      </c>
      <c r="C68" s="82">
        <v>221787.03</v>
      </c>
      <c r="D68" s="82">
        <v>185409.94</v>
      </c>
      <c r="E68" s="82">
        <v>206391.39</v>
      </c>
      <c r="F68" s="82">
        <v>166922.28</v>
      </c>
      <c r="G68" s="82">
        <v>120970.64</v>
      </c>
      <c r="H68" s="82">
        <v>162659.28</v>
      </c>
    </row>
    <row r="69" spans="2:8" s="3" customFormat="1">
      <c r="B69" s="66" t="s">
        <v>56</v>
      </c>
      <c r="C69" s="82">
        <v>360367.96</v>
      </c>
      <c r="D69" s="82">
        <v>433154.52</v>
      </c>
      <c r="E69" s="82">
        <v>449447.81</v>
      </c>
      <c r="F69" s="82">
        <v>405464.99</v>
      </c>
      <c r="G69" s="82">
        <v>412488.77</v>
      </c>
      <c r="H69" s="82">
        <v>439124.04</v>
      </c>
    </row>
    <row r="70" spans="2:8" s="3" customFormat="1" ht="15.5">
      <c r="B70" s="63" t="str">
        <f>$B$35</f>
        <v>Table 5.5, continued</v>
      </c>
      <c r="C70" s="100"/>
      <c r="D70" s="100"/>
      <c r="E70" s="100"/>
      <c r="F70" s="100"/>
      <c r="G70" s="100"/>
      <c r="H70" s="100"/>
    </row>
    <row r="71" spans="2:8" s="3" customFormat="1">
      <c r="B71" s="64" t="str">
        <f>$B$2</f>
        <v xml:space="preserve">Recordation Tax and Deeds of Conveyance Revenue Collections by Locality </v>
      </c>
      <c r="C71" s="100"/>
      <c r="D71" s="100"/>
      <c r="E71" s="100"/>
      <c r="F71" s="100"/>
      <c r="G71" s="100"/>
      <c r="H71" s="100"/>
    </row>
    <row r="72" spans="2:8" s="3" customFormat="1" ht="3" customHeight="1" thickBot="1">
      <c r="B72" s="101"/>
      <c r="C72" s="102"/>
      <c r="D72" s="102"/>
      <c r="E72" s="102"/>
      <c r="F72" s="103"/>
      <c r="G72" s="103"/>
      <c r="H72" s="103"/>
    </row>
    <row r="73" spans="2:8" s="3" customFormat="1" ht="26">
      <c r="B73" s="104" t="s">
        <v>43</v>
      </c>
      <c r="C73" s="105" t="str">
        <f>C$4</f>
        <v>Fiscal Year 
2020</v>
      </c>
      <c r="D73" s="105" t="str">
        <f t="shared" ref="D73:H73" si="3">D$4</f>
        <v>Fiscal Year 
2021</v>
      </c>
      <c r="E73" s="105" t="str">
        <f t="shared" si="3"/>
        <v>Fiscal Year 
2022</v>
      </c>
      <c r="F73" s="105" t="str">
        <f t="shared" si="3"/>
        <v>Fiscal Year 
2023</v>
      </c>
      <c r="G73" s="105" t="str">
        <f t="shared" si="3"/>
        <v>Fiscal Year 
2024</v>
      </c>
      <c r="H73" s="105" t="str">
        <f t="shared" si="3"/>
        <v>Fiscal Year 
2025</v>
      </c>
    </row>
    <row r="74" spans="2:8" s="3" customFormat="1" ht="21" customHeight="1">
      <c r="B74" s="66" t="s">
        <v>57</v>
      </c>
      <c r="C74" s="81">
        <v>1599313.4</v>
      </c>
      <c r="D74" s="81">
        <v>2290163.75</v>
      </c>
      <c r="E74" s="81">
        <v>2227666.79</v>
      </c>
      <c r="F74" s="81">
        <v>1902268.59</v>
      </c>
      <c r="G74" s="81">
        <v>1649697.43</v>
      </c>
      <c r="H74" s="81">
        <v>2206126.4900000002</v>
      </c>
    </row>
    <row r="75" spans="2:8" s="3" customFormat="1">
      <c r="B75" s="66" t="s">
        <v>58</v>
      </c>
      <c r="C75" s="82">
        <v>1286025.81</v>
      </c>
      <c r="D75" s="82">
        <v>1975227.45</v>
      </c>
      <c r="E75" s="82">
        <v>2320586.44</v>
      </c>
      <c r="F75" s="82">
        <v>2102643.5499999998</v>
      </c>
      <c r="G75" s="82">
        <v>1804396.89</v>
      </c>
      <c r="H75" s="82">
        <v>2065601.25</v>
      </c>
    </row>
    <row r="76" spans="2:8" s="3" customFormat="1">
      <c r="B76" s="66" t="s">
        <v>59</v>
      </c>
      <c r="C76" s="82">
        <v>563956.04</v>
      </c>
      <c r="D76" s="82">
        <v>830616.78</v>
      </c>
      <c r="E76" s="82">
        <v>906639.28</v>
      </c>
      <c r="F76" s="82">
        <v>777631.18</v>
      </c>
      <c r="G76" s="82">
        <v>718663.12</v>
      </c>
      <c r="H76" s="82">
        <v>771973.34</v>
      </c>
    </row>
    <row r="77" spans="2:8" s="3" customFormat="1">
      <c r="B77" s="66" t="s">
        <v>534</v>
      </c>
      <c r="C77" s="82">
        <v>225086.27</v>
      </c>
      <c r="D77" s="82">
        <v>320140.81</v>
      </c>
      <c r="E77" s="82">
        <v>304983.31</v>
      </c>
      <c r="F77" s="82">
        <v>206401.53</v>
      </c>
      <c r="G77" s="82">
        <v>239220.11</v>
      </c>
      <c r="H77" s="82">
        <v>215593.57</v>
      </c>
    </row>
    <row r="78" spans="2:8" s="3" customFormat="1">
      <c r="B78" s="66" t="s">
        <v>60</v>
      </c>
      <c r="C78" s="82">
        <v>222549.5</v>
      </c>
      <c r="D78" s="82">
        <v>308541.71000000002</v>
      </c>
      <c r="E78" s="82">
        <v>296035</v>
      </c>
      <c r="F78" s="82">
        <v>195667.69</v>
      </c>
      <c r="G78" s="82">
        <v>201619.55</v>
      </c>
      <c r="H78" s="82">
        <v>246083.25</v>
      </c>
    </row>
    <row r="79" spans="2:8" s="3" customFormat="1" ht="24" customHeight="1">
      <c r="B79" s="66" t="s">
        <v>61</v>
      </c>
      <c r="C79" s="82">
        <v>21225125.039999999</v>
      </c>
      <c r="D79" s="82">
        <v>30462586.079999998</v>
      </c>
      <c r="E79" s="82">
        <v>29420781.420000002</v>
      </c>
      <c r="F79" s="82">
        <v>21051338.489999998</v>
      </c>
      <c r="G79" s="82">
        <v>20177634.300000001</v>
      </c>
      <c r="H79" s="82">
        <v>23091053.289999999</v>
      </c>
    </row>
    <row r="80" spans="2:8" s="3" customFormat="1">
      <c r="B80" s="66" t="s">
        <v>62</v>
      </c>
      <c r="C80" s="82">
        <v>882197.55</v>
      </c>
      <c r="D80" s="82">
        <v>1503083.69</v>
      </c>
      <c r="E80" s="82">
        <v>1419606.68</v>
      </c>
      <c r="F80" s="82">
        <v>857933.74</v>
      </c>
      <c r="G80" s="82">
        <v>779370.14</v>
      </c>
      <c r="H80" s="82">
        <v>844558.14</v>
      </c>
    </row>
    <row r="81" spans="2:8" s="3" customFormat="1">
      <c r="B81" s="66" t="s">
        <v>63</v>
      </c>
      <c r="C81" s="82">
        <v>99354.15</v>
      </c>
      <c r="D81" s="82">
        <v>169734.01</v>
      </c>
      <c r="E81" s="82">
        <v>145657.82999999999</v>
      </c>
      <c r="F81" s="82">
        <v>94625.36</v>
      </c>
      <c r="G81" s="82">
        <v>129688.98</v>
      </c>
      <c r="H81" s="82">
        <v>124645.99</v>
      </c>
    </row>
    <row r="82" spans="2:8" s="3" customFormat="1">
      <c r="B82" s="66" t="s">
        <v>64</v>
      </c>
      <c r="C82" s="82">
        <v>2676410.46</v>
      </c>
      <c r="D82" s="82">
        <v>3948394.85</v>
      </c>
      <c r="E82" s="82">
        <v>3563539.67</v>
      </c>
      <c r="F82" s="82">
        <v>2746787.57</v>
      </c>
      <c r="G82" s="82">
        <v>2485534.1800000002</v>
      </c>
      <c r="H82" s="82">
        <v>3414806.64</v>
      </c>
    </row>
    <row r="83" spans="2:8" s="3" customFormat="1">
      <c r="B83" s="66" t="s">
        <v>65</v>
      </c>
      <c r="C83" s="82">
        <v>302178.89</v>
      </c>
      <c r="D83" s="82">
        <v>311021.46000000002</v>
      </c>
      <c r="E83" s="82">
        <v>361067.55</v>
      </c>
      <c r="F83" s="82">
        <v>321325.37</v>
      </c>
      <c r="G83" s="82">
        <v>348096.36</v>
      </c>
      <c r="H83" s="82">
        <v>360990.71</v>
      </c>
    </row>
    <row r="84" spans="2:8" s="3" customFormat="1" ht="24" customHeight="1">
      <c r="B84" s="66" t="s">
        <v>66</v>
      </c>
      <c r="C84" s="82">
        <v>562230.54</v>
      </c>
      <c r="D84" s="82">
        <v>91030.89</v>
      </c>
      <c r="E84" s="82">
        <v>115745.48</v>
      </c>
      <c r="F84" s="82">
        <v>117450.54</v>
      </c>
      <c r="G84" s="82">
        <v>119778.32</v>
      </c>
      <c r="H84" s="82">
        <v>108613.95</v>
      </c>
    </row>
    <row r="85" spans="2:8" s="3" customFormat="1">
      <c r="B85" s="66" t="s">
        <v>167</v>
      </c>
      <c r="C85" s="82">
        <v>907140.02</v>
      </c>
      <c r="D85" s="82">
        <v>1040011.46</v>
      </c>
      <c r="E85" s="82">
        <v>1077572.31</v>
      </c>
      <c r="F85" s="82">
        <v>828183.64</v>
      </c>
      <c r="G85" s="82">
        <v>813041.02</v>
      </c>
      <c r="H85" s="82">
        <v>831717.45</v>
      </c>
    </row>
    <row r="86" spans="2:8" s="3" customFormat="1">
      <c r="B86" s="66" t="s">
        <v>67</v>
      </c>
      <c r="C86" s="82">
        <v>345444.18</v>
      </c>
      <c r="D86" s="82">
        <v>551733.09</v>
      </c>
      <c r="E86" s="82">
        <v>558883.96</v>
      </c>
      <c r="F86" s="82">
        <v>428221.23</v>
      </c>
      <c r="G86" s="82">
        <v>337610.85</v>
      </c>
      <c r="H86" s="82">
        <v>575174.61</v>
      </c>
    </row>
    <row r="87" spans="2:8" s="3" customFormat="1">
      <c r="B87" s="66" t="s">
        <v>535</v>
      </c>
      <c r="C87" s="82">
        <v>106314702.31</v>
      </c>
      <c r="D87" s="82">
        <v>145339962.56999999</v>
      </c>
      <c r="E87" s="82">
        <v>125697445.23999999</v>
      </c>
      <c r="F87" s="82">
        <v>73283557.140000001</v>
      </c>
      <c r="G87" s="82">
        <v>67121074.430000007</v>
      </c>
      <c r="H87" s="82">
        <v>83033564</v>
      </c>
    </row>
    <row r="88" spans="2:8" s="3" customFormat="1">
      <c r="B88" s="66" t="s">
        <v>68</v>
      </c>
      <c r="C88" s="82">
        <v>6240755.6200000001</v>
      </c>
      <c r="D88" s="82">
        <v>9271174.6300000008</v>
      </c>
      <c r="E88" s="82">
        <v>7890420.7599999998</v>
      </c>
      <c r="F88" s="82">
        <v>4447079.1500000004</v>
      </c>
      <c r="G88" s="82">
        <v>5632017.04</v>
      </c>
      <c r="H88" s="82">
        <v>5584004.5300000003</v>
      </c>
    </row>
    <row r="89" spans="2:8" s="3" customFormat="1" ht="24" customHeight="1">
      <c r="B89" s="66" t="s">
        <v>69</v>
      </c>
      <c r="C89" s="82">
        <v>391111.73</v>
      </c>
      <c r="D89" s="82">
        <v>576547.26</v>
      </c>
      <c r="E89" s="82">
        <v>547015.21</v>
      </c>
      <c r="F89" s="82">
        <v>447718.74</v>
      </c>
      <c r="G89" s="82">
        <v>452196.36</v>
      </c>
      <c r="H89" s="82">
        <v>458363.21</v>
      </c>
    </row>
    <row r="90" spans="2:8" s="3" customFormat="1">
      <c r="B90" s="66" t="s">
        <v>70</v>
      </c>
      <c r="C90" s="82">
        <v>1166850.21</v>
      </c>
      <c r="D90" s="82">
        <v>1855746.5</v>
      </c>
      <c r="E90" s="82">
        <v>1649271.52</v>
      </c>
      <c r="F90" s="82">
        <v>1409739.22</v>
      </c>
      <c r="G90" s="82">
        <v>1144269.56</v>
      </c>
      <c r="H90" s="82">
        <v>1271953.5900000001</v>
      </c>
    </row>
    <row r="91" spans="2:8" s="3" customFormat="1">
      <c r="B91" s="66" t="s">
        <v>71</v>
      </c>
      <c r="C91" s="82">
        <v>2343146.64</v>
      </c>
      <c r="D91" s="82">
        <v>3891049.54</v>
      </c>
      <c r="E91" s="82">
        <v>3570115.63</v>
      </c>
      <c r="F91" s="82">
        <v>2430165.96</v>
      </c>
      <c r="G91" s="82">
        <v>2479304.65</v>
      </c>
      <c r="H91" s="82">
        <v>2785319.42</v>
      </c>
    </row>
    <row r="92" spans="2:8" s="3" customFormat="1">
      <c r="B92" s="66" t="s">
        <v>169</v>
      </c>
      <c r="C92" s="82">
        <v>5458785.2599999998</v>
      </c>
      <c r="D92" s="82">
        <v>7978901.7599999998</v>
      </c>
      <c r="E92" s="82">
        <v>7939076.4500000002</v>
      </c>
      <c r="F92" s="82">
        <v>6126300.1200000001</v>
      </c>
      <c r="G92" s="82">
        <v>5714023.2199999997</v>
      </c>
      <c r="H92" s="82">
        <v>6218608.1299999999</v>
      </c>
    </row>
    <row r="93" spans="2:8" s="3" customFormat="1">
      <c r="B93" s="66" t="s">
        <v>72</v>
      </c>
      <c r="C93" s="82">
        <v>297824</v>
      </c>
      <c r="D93" s="82">
        <v>433026.16</v>
      </c>
      <c r="E93" s="82">
        <v>430979.35</v>
      </c>
      <c r="F93" s="82">
        <v>339820.95</v>
      </c>
      <c r="G93" s="82">
        <v>364433.89</v>
      </c>
      <c r="H93" s="82">
        <v>325736.02</v>
      </c>
    </row>
    <row r="94" spans="2:8" s="3" customFormat="1" ht="24" customHeight="1">
      <c r="B94" s="66" t="s">
        <v>342</v>
      </c>
      <c r="C94" s="82">
        <v>1641573.14</v>
      </c>
      <c r="D94" s="82">
        <v>2376065.5</v>
      </c>
      <c r="E94" s="82">
        <v>2361135.9700000002</v>
      </c>
      <c r="F94" s="82">
        <v>1519527.13</v>
      </c>
      <c r="G94" s="82">
        <v>1764811.43</v>
      </c>
      <c r="H94" s="82">
        <v>1608502.48</v>
      </c>
    </row>
    <row r="95" spans="2:8" s="3" customFormat="1">
      <c r="B95" s="66" t="s">
        <v>345</v>
      </c>
      <c r="C95" s="82">
        <v>2498348.46</v>
      </c>
      <c r="D95" s="82">
        <v>2927588.87</v>
      </c>
      <c r="E95" s="82">
        <v>3219196.09</v>
      </c>
      <c r="F95" s="82">
        <v>2348137.64</v>
      </c>
      <c r="G95" s="82">
        <v>2867341.64</v>
      </c>
      <c r="H95" s="82">
        <v>3112011.8</v>
      </c>
    </row>
    <row r="96" spans="2:8" s="3" customFormat="1">
      <c r="B96" s="66" t="s">
        <v>348</v>
      </c>
      <c r="C96" s="82">
        <v>363379.94</v>
      </c>
      <c r="D96" s="82">
        <v>467611.27</v>
      </c>
      <c r="E96" s="82">
        <v>567726.01</v>
      </c>
      <c r="F96" s="82">
        <v>453670.45</v>
      </c>
      <c r="G96" s="82">
        <v>335578.94</v>
      </c>
      <c r="H96" s="82">
        <v>420346.77</v>
      </c>
    </row>
    <row r="97" spans="2:8" s="3" customFormat="1">
      <c r="B97" s="66" t="s">
        <v>76</v>
      </c>
      <c r="C97" s="82">
        <v>919761.94</v>
      </c>
      <c r="D97" s="82">
        <v>1325887.18</v>
      </c>
      <c r="E97" s="82">
        <v>1302309.82</v>
      </c>
      <c r="F97" s="82">
        <v>848465.8</v>
      </c>
      <c r="G97" s="82">
        <v>1012504.53</v>
      </c>
      <c r="H97" s="82">
        <v>1010087.17</v>
      </c>
    </row>
    <row r="98" spans="2:8" s="3" customFormat="1">
      <c r="B98" s="66" t="s">
        <v>353</v>
      </c>
      <c r="C98" s="82">
        <v>101834.98</v>
      </c>
      <c r="D98" s="82">
        <v>171728.01</v>
      </c>
      <c r="E98" s="82">
        <v>272672.63</v>
      </c>
      <c r="F98" s="82">
        <v>192090.46</v>
      </c>
      <c r="G98" s="82">
        <v>159738.57</v>
      </c>
      <c r="H98" s="82">
        <v>146350.57999999999</v>
      </c>
    </row>
    <row r="99" spans="2:8" s="3" customFormat="1" ht="24" customHeight="1">
      <c r="B99" s="66" t="s">
        <v>536</v>
      </c>
      <c r="C99" s="82">
        <v>554097.91</v>
      </c>
      <c r="D99" s="82">
        <v>719066.97</v>
      </c>
      <c r="E99" s="82">
        <v>792493.91</v>
      </c>
      <c r="F99" s="82">
        <v>1052664.2</v>
      </c>
      <c r="G99" s="82">
        <v>989175.13</v>
      </c>
      <c r="H99" s="82">
        <v>747631.16</v>
      </c>
    </row>
    <row r="100" spans="2:8" s="3" customFormat="1">
      <c r="B100" s="66" t="s">
        <v>79</v>
      </c>
      <c r="C100" s="82">
        <v>6739040</v>
      </c>
      <c r="D100" s="82">
        <v>9856129.4600000009</v>
      </c>
      <c r="E100" s="82">
        <v>9503388.1099999994</v>
      </c>
      <c r="F100" s="82">
        <v>6597644.2000000002</v>
      </c>
      <c r="G100" s="82">
        <v>6575659.1699999999</v>
      </c>
      <c r="H100" s="82">
        <v>6636636.8499999996</v>
      </c>
    </row>
    <row r="101" spans="2:8" s="3" customFormat="1">
      <c r="B101" s="66" t="s">
        <v>80</v>
      </c>
      <c r="C101" s="82">
        <v>19671754.030000001</v>
      </c>
      <c r="D101" s="82">
        <v>24630987.210000001</v>
      </c>
      <c r="E101" s="82">
        <v>26278413.440000001</v>
      </c>
      <c r="F101" s="82">
        <v>18549881.23</v>
      </c>
      <c r="G101" s="82">
        <v>19105205.52</v>
      </c>
      <c r="H101" s="82">
        <v>24102525.579999998</v>
      </c>
    </row>
    <row r="102" spans="2:8" s="3" customFormat="1">
      <c r="B102" s="66" t="s">
        <v>81</v>
      </c>
      <c r="C102" s="82">
        <v>574127.31999999995</v>
      </c>
      <c r="D102" s="82">
        <v>960304.22</v>
      </c>
      <c r="E102" s="82">
        <v>1112657.02</v>
      </c>
      <c r="F102" s="82">
        <v>1236086.75</v>
      </c>
      <c r="G102" s="82">
        <v>1022793.81</v>
      </c>
      <c r="H102" s="82">
        <v>962548.49</v>
      </c>
    </row>
    <row r="103" spans="2:8" s="3" customFormat="1">
      <c r="B103" s="66" t="s">
        <v>170</v>
      </c>
      <c r="C103" s="82">
        <v>89084.74</v>
      </c>
      <c r="D103" s="82">
        <v>145278.51999999999</v>
      </c>
      <c r="E103" s="82">
        <v>129505.19</v>
      </c>
      <c r="F103" s="82">
        <v>99633.82</v>
      </c>
      <c r="G103" s="82">
        <v>127414.32</v>
      </c>
      <c r="H103" s="82">
        <v>148639.59</v>
      </c>
    </row>
    <row r="104" spans="2:8" s="3" customFormat="1" ht="15.5">
      <c r="B104" s="63" t="str">
        <f>$B$35</f>
        <v>Table 5.5, continued</v>
      </c>
      <c r="C104" s="100"/>
      <c r="D104" s="100"/>
      <c r="E104" s="100"/>
      <c r="F104" s="100"/>
      <c r="G104" s="100"/>
      <c r="H104" s="100"/>
    </row>
    <row r="105" spans="2:8" s="3" customFormat="1">
      <c r="B105" s="64" t="str">
        <f>$B$2</f>
        <v xml:space="preserve">Recordation Tax and Deeds of Conveyance Revenue Collections by Locality </v>
      </c>
      <c r="C105" s="100"/>
      <c r="D105" s="100"/>
      <c r="E105" s="100"/>
      <c r="F105" s="100"/>
      <c r="G105" s="100"/>
      <c r="H105" s="100"/>
    </row>
    <row r="106" spans="2:8" s="3" customFormat="1" ht="3" customHeight="1" thickBot="1">
      <c r="B106" s="101"/>
      <c r="C106" s="102"/>
      <c r="D106" s="102"/>
      <c r="E106" s="102"/>
      <c r="F106" s="103"/>
      <c r="G106" s="103"/>
      <c r="H106" s="103"/>
    </row>
    <row r="107" spans="2:8" s="3" customFormat="1" ht="26">
      <c r="B107" s="104" t="s">
        <v>43</v>
      </c>
      <c r="C107" s="105" t="str">
        <f>C$4</f>
        <v>Fiscal Year 
2020</v>
      </c>
      <c r="D107" s="105" t="str">
        <f t="shared" ref="D107:H107" si="4">D$4</f>
        <v>Fiscal Year 
2021</v>
      </c>
      <c r="E107" s="105" t="str">
        <f t="shared" si="4"/>
        <v>Fiscal Year 
2022</v>
      </c>
      <c r="F107" s="105" t="str">
        <f t="shared" si="4"/>
        <v>Fiscal Year 
2023</v>
      </c>
      <c r="G107" s="105" t="str">
        <f t="shared" si="4"/>
        <v>Fiscal Year 
2024</v>
      </c>
      <c r="H107" s="105" t="str">
        <f t="shared" si="4"/>
        <v>Fiscal Year 
2025</v>
      </c>
    </row>
    <row r="108" spans="2:8" s="3" customFormat="1" ht="21" customHeight="1">
      <c r="B108" s="66" t="s">
        <v>82</v>
      </c>
      <c r="C108" s="81">
        <v>1959225.49</v>
      </c>
      <c r="D108" s="81">
        <v>3098198.98</v>
      </c>
      <c r="E108" s="81">
        <v>2879705.89</v>
      </c>
      <c r="F108" s="81">
        <v>1913605.31</v>
      </c>
      <c r="G108" s="81">
        <v>1818906.44</v>
      </c>
      <c r="H108" s="81">
        <v>2239985.83</v>
      </c>
    </row>
    <row r="109" spans="2:8" s="3" customFormat="1">
      <c r="B109" s="66" t="s">
        <v>537</v>
      </c>
      <c r="C109" s="82">
        <v>5282264.55</v>
      </c>
      <c r="D109" s="82">
        <v>8005280.0300000003</v>
      </c>
      <c r="E109" s="82">
        <v>7428674.1500000004</v>
      </c>
      <c r="F109" s="82">
        <v>4932264.49</v>
      </c>
      <c r="G109" s="82">
        <v>4539817.0999999996</v>
      </c>
      <c r="H109" s="82">
        <v>5227746.13</v>
      </c>
    </row>
    <row r="110" spans="2:8" s="3" customFormat="1">
      <c r="B110" s="66" t="s">
        <v>84</v>
      </c>
      <c r="C110" s="82">
        <v>177906.49</v>
      </c>
      <c r="D110" s="82">
        <v>251196.65</v>
      </c>
      <c r="E110" s="82">
        <v>268071.81</v>
      </c>
      <c r="F110" s="82">
        <v>170904.54</v>
      </c>
      <c r="G110" s="82">
        <v>211882.11</v>
      </c>
      <c r="H110" s="82">
        <v>249565.37</v>
      </c>
    </row>
    <row r="111" spans="2:8" s="3" customFormat="1">
      <c r="B111" s="66" t="s">
        <v>85</v>
      </c>
      <c r="C111" s="82">
        <v>1538333.55</v>
      </c>
      <c r="D111" s="82">
        <v>2252647.92</v>
      </c>
      <c r="E111" s="82">
        <v>2239870.3199999998</v>
      </c>
      <c r="F111" s="82">
        <v>1331932.45</v>
      </c>
      <c r="G111" s="82">
        <v>1815602.61</v>
      </c>
      <c r="H111" s="82">
        <v>1607331.61</v>
      </c>
    </row>
    <row r="112" spans="2:8" s="3" customFormat="1">
      <c r="B112" s="66" t="s">
        <v>538</v>
      </c>
      <c r="C112" s="82">
        <v>796261.99</v>
      </c>
      <c r="D112" s="82">
        <v>1048178.42</v>
      </c>
      <c r="E112" s="82">
        <v>1185230.58</v>
      </c>
      <c r="F112" s="82">
        <v>788247.93</v>
      </c>
      <c r="G112" s="82">
        <v>761309.17</v>
      </c>
      <c r="H112" s="82">
        <v>953104.39</v>
      </c>
    </row>
    <row r="113" spans="2:8" s="3" customFormat="1" ht="24" customHeight="1">
      <c r="B113" s="66" t="s">
        <v>539</v>
      </c>
      <c r="C113" s="82">
        <v>806809.46</v>
      </c>
      <c r="D113" s="82">
        <v>1362347.36</v>
      </c>
      <c r="E113" s="82">
        <v>1148480.8799999999</v>
      </c>
      <c r="F113" s="82">
        <v>973493.06</v>
      </c>
      <c r="G113" s="82">
        <v>822604.25</v>
      </c>
      <c r="H113" s="82">
        <v>965580.4</v>
      </c>
    </row>
    <row r="114" spans="2:8" s="3" customFormat="1">
      <c r="B114" s="66" t="s">
        <v>87</v>
      </c>
      <c r="C114" s="82">
        <v>178872.95999999999</v>
      </c>
      <c r="D114" s="82">
        <v>290550.92</v>
      </c>
      <c r="E114" s="82">
        <v>315031.52</v>
      </c>
      <c r="F114" s="82">
        <v>259549.65</v>
      </c>
      <c r="G114" s="82">
        <v>301327.92</v>
      </c>
      <c r="H114" s="82">
        <v>281033.71000000002</v>
      </c>
    </row>
    <row r="115" spans="2:8" s="3" customFormat="1">
      <c r="B115" s="66" t="s">
        <v>88</v>
      </c>
      <c r="C115" s="82">
        <v>53157736.380000003</v>
      </c>
      <c r="D115" s="82">
        <v>77452544.010000005</v>
      </c>
      <c r="E115" s="82">
        <v>68964866.620000005</v>
      </c>
      <c r="F115" s="82">
        <v>41688679.030000001</v>
      </c>
      <c r="G115" s="82">
        <v>44221861.130000003</v>
      </c>
      <c r="H115" s="82">
        <v>49968550.090000004</v>
      </c>
    </row>
    <row r="116" spans="2:8" s="3" customFormat="1">
      <c r="B116" s="66" t="s">
        <v>89</v>
      </c>
      <c r="C116" s="82">
        <v>2198231.9300000002</v>
      </c>
      <c r="D116" s="82">
        <v>3488527.53</v>
      </c>
      <c r="E116" s="82">
        <v>3490787.71</v>
      </c>
      <c r="F116" s="82">
        <v>3093140.3</v>
      </c>
      <c r="G116" s="82">
        <v>2855252.98</v>
      </c>
      <c r="H116" s="82">
        <v>3240253.55</v>
      </c>
    </row>
    <row r="117" spans="2:8" s="3" customFormat="1">
      <c r="B117" s="66" t="s">
        <v>90</v>
      </c>
      <c r="C117" s="82">
        <v>190064.47</v>
      </c>
      <c r="D117" s="82">
        <v>221420.32</v>
      </c>
      <c r="E117" s="82">
        <v>239459.88</v>
      </c>
      <c r="F117" s="82">
        <v>226645.66</v>
      </c>
      <c r="G117" s="82">
        <v>236100.76</v>
      </c>
      <c r="H117" s="82">
        <v>311824.07</v>
      </c>
    </row>
    <row r="118" spans="2:8" s="3" customFormat="1" ht="24" customHeight="1">
      <c r="B118" s="66" t="s">
        <v>91</v>
      </c>
      <c r="C118" s="82">
        <v>460587.43</v>
      </c>
      <c r="D118" s="82">
        <v>817720.99</v>
      </c>
      <c r="E118" s="82">
        <v>744153.3</v>
      </c>
      <c r="F118" s="82">
        <v>453699.48</v>
      </c>
      <c r="G118" s="82">
        <v>521232.14</v>
      </c>
      <c r="H118" s="82">
        <v>567887.29</v>
      </c>
    </row>
    <row r="119" spans="2:8" s="3" customFormat="1">
      <c r="B119" s="66" t="s">
        <v>92</v>
      </c>
      <c r="C119" s="82">
        <v>388892.25</v>
      </c>
      <c r="D119" s="82">
        <v>728834.36</v>
      </c>
      <c r="E119" s="82">
        <v>722974.04</v>
      </c>
      <c r="F119" s="82">
        <v>417017.86</v>
      </c>
      <c r="G119" s="82">
        <v>460584.45</v>
      </c>
      <c r="H119" s="82">
        <v>479054</v>
      </c>
    </row>
    <row r="120" spans="2:8" s="3" customFormat="1">
      <c r="B120" s="66" t="s">
        <v>93</v>
      </c>
      <c r="C120" s="82">
        <v>910756.09</v>
      </c>
      <c r="D120" s="82">
        <v>1581306.9</v>
      </c>
      <c r="E120" s="82">
        <v>1397308.98</v>
      </c>
      <c r="F120" s="82">
        <v>994197.91</v>
      </c>
      <c r="G120" s="82">
        <v>1165315.75</v>
      </c>
      <c r="H120" s="82">
        <v>1366009.27</v>
      </c>
    </row>
    <row r="121" spans="2:8" s="3" customFormat="1">
      <c r="B121" s="66" t="s">
        <v>94</v>
      </c>
      <c r="C121" s="82">
        <v>592423.35</v>
      </c>
      <c r="D121" s="82">
        <v>941776.47</v>
      </c>
      <c r="E121" s="82">
        <v>825371.66</v>
      </c>
      <c r="F121" s="82">
        <v>639506.76</v>
      </c>
      <c r="G121" s="82">
        <v>512800.81</v>
      </c>
      <c r="H121" s="82">
        <v>662604.51</v>
      </c>
    </row>
    <row r="122" spans="2:8" s="3" customFormat="1">
      <c r="B122" s="66" t="s">
        <v>95</v>
      </c>
      <c r="C122" s="82">
        <v>4494921.7699999996</v>
      </c>
      <c r="D122" s="82">
        <v>5220241.55</v>
      </c>
      <c r="E122" s="82">
        <v>5006185.6900000004</v>
      </c>
      <c r="F122" s="82">
        <v>4769623.5599999996</v>
      </c>
      <c r="G122" s="82">
        <v>2991646.96</v>
      </c>
      <c r="H122" s="82">
        <v>3878171.17</v>
      </c>
    </row>
    <row r="123" spans="2:8" s="3" customFormat="1" ht="24" customHeight="1">
      <c r="B123" s="66" t="s">
        <v>96</v>
      </c>
      <c r="C123" s="82">
        <v>729977.75</v>
      </c>
      <c r="D123" s="82">
        <v>1451600.96</v>
      </c>
      <c r="E123" s="82">
        <v>1426099.21</v>
      </c>
      <c r="F123" s="82">
        <v>897113.28</v>
      </c>
      <c r="G123" s="82">
        <v>941119.61</v>
      </c>
      <c r="H123" s="82">
        <v>968766.78</v>
      </c>
    </row>
    <row r="124" spans="2:8" s="3" customFormat="1">
      <c r="B124" s="66" t="s">
        <v>172</v>
      </c>
      <c r="C124" s="82">
        <v>1467213.74</v>
      </c>
      <c r="D124" s="82">
        <v>2237700.41</v>
      </c>
      <c r="E124" s="82">
        <v>2285095.4700000002</v>
      </c>
      <c r="F124" s="82">
        <v>2153688.73</v>
      </c>
      <c r="G124" s="82">
        <v>2026841.07</v>
      </c>
      <c r="H124" s="82">
        <v>2270289.7599999998</v>
      </c>
    </row>
    <row r="125" spans="2:8" s="3" customFormat="1">
      <c r="B125" s="66" t="s">
        <v>97</v>
      </c>
      <c r="C125" s="82">
        <v>583901.9</v>
      </c>
      <c r="D125" s="82">
        <v>1240419.83</v>
      </c>
      <c r="E125" s="82">
        <v>1071061.58</v>
      </c>
      <c r="F125" s="82">
        <v>1004737.76</v>
      </c>
      <c r="G125" s="82">
        <v>974834.65</v>
      </c>
      <c r="H125" s="82">
        <v>924577.99</v>
      </c>
    </row>
    <row r="126" spans="2:8" s="3" customFormat="1">
      <c r="B126" s="66" t="s">
        <v>540</v>
      </c>
      <c r="C126" s="82">
        <v>755409.69</v>
      </c>
      <c r="D126" s="82">
        <v>1412853.03</v>
      </c>
      <c r="E126" s="82">
        <v>1161335.1299999999</v>
      </c>
      <c r="F126" s="82">
        <v>883254.11</v>
      </c>
      <c r="G126" s="82">
        <v>806965.24</v>
      </c>
      <c r="H126" s="82">
        <v>875195.14</v>
      </c>
    </row>
    <row r="127" spans="2:8" s="3" customFormat="1">
      <c r="B127" s="66" t="s">
        <v>98</v>
      </c>
      <c r="C127" s="82">
        <v>219470.27</v>
      </c>
      <c r="D127" s="82">
        <v>304820.94</v>
      </c>
      <c r="E127" s="82">
        <v>432431.43</v>
      </c>
      <c r="F127" s="82">
        <v>339010.5</v>
      </c>
      <c r="G127" s="82">
        <v>304916.51</v>
      </c>
      <c r="H127" s="82">
        <v>330312.53000000003</v>
      </c>
    </row>
    <row r="128" spans="2:8" s="3" customFormat="1" ht="24" customHeight="1">
      <c r="B128" s="66" t="s">
        <v>99</v>
      </c>
      <c r="C128" s="82">
        <v>1823120.68</v>
      </c>
      <c r="D128" s="82">
        <v>2801675.59</v>
      </c>
      <c r="E128" s="82">
        <v>3000361.77</v>
      </c>
      <c r="F128" s="82">
        <v>1961065.42</v>
      </c>
      <c r="G128" s="82">
        <v>2093348.1</v>
      </c>
      <c r="H128" s="82">
        <v>2384456.0099999998</v>
      </c>
    </row>
    <row r="129" spans="2:8" s="3" customFormat="1">
      <c r="B129" s="66" t="s">
        <v>100</v>
      </c>
      <c r="C129" s="82">
        <v>585266.56999999995</v>
      </c>
      <c r="D129" s="82">
        <v>879482.51</v>
      </c>
      <c r="E129" s="82">
        <v>967729.73</v>
      </c>
      <c r="F129" s="82">
        <v>873864.52</v>
      </c>
      <c r="G129" s="82">
        <v>878778.14</v>
      </c>
      <c r="H129" s="82">
        <v>978675.76</v>
      </c>
    </row>
    <row r="130" spans="2:8" s="3" customFormat="1">
      <c r="B130" s="66" t="s">
        <v>101</v>
      </c>
      <c r="C130" s="82">
        <v>387569.08</v>
      </c>
      <c r="D130" s="82">
        <v>478785.61</v>
      </c>
      <c r="E130" s="82">
        <v>471696.05</v>
      </c>
      <c r="F130" s="82">
        <v>436590.33</v>
      </c>
      <c r="G130" s="82">
        <v>380638.39</v>
      </c>
      <c r="H130" s="82">
        <v>425607.72</v>
      </c>
    </row>
    <row r="131" spans="2:8" s="3" customFormat="1">
      <c r="B131" s="66" t="s">
        <v>102</v>
      </c>
      <c r="C131" s="82">
        <v>1075072.74</v>
      </c>
      <c r="D131" s="82">
        <v>1326805.08</v>
      </c>
      <c r="E131" s="82">
        <v>1419187.81</v>
      </c>
      <c r="F131" s="82">
        <v>1410682.1</v>
      </c>
      <c r="G131" s="82">
        <v>1111658.56</v>
      </c>
      <c r="H131" s="82">
        <v>1154478.05</v>
      </c>
    </row>
    <row r="132" spans="2:8" s="3" customFormat="1">
      <c r="B132" s="66" t="s">
        <v>541</v>
      </c>
      <c r="C132" s="82">
        <v>1972535.79</v>
      </c>
      <c r="D132" s="82">
        <v>2455836.9700000002</v>
      </c>
      <c r="E132" s="82">
        <v>2620953.88</v>
      </c>
      <c r="F132" s="82">
        <v>1505250.05</v>
      </c>
      <c r="G132" s="82">
        <v>1512621.06</v>
      </c>
      <c r="H132" s="82">
        <v>1609497.25</v>
      </c>
    </row>
    <row r="133" spans="2:8" s="3" customFormat="1" ht="24" customHeight="1">
      <c r="B133" s="66" t="s">
        <v>103</v>
      </c>
      <c r="C133" s="82">
        <v>453222.72</v>
      </c>
      <c r="D133" s="82">
        <v>672030.62</v>
      </c>
      <c r="E133" s="82">
        <v>841084.94</v>
      </c>
      <c r="F133" s="82">
        <v>631206.54</v>
      </c>
      <c r="G133" s="82">
        <v>641588.37</v>
      </c>
      <c r="H133" s="82">
        <v>583261.49</v>
      </c>
    </row>
    <row r="134" spans="2:8" s="3" customFormat="1">
      <c r="B134" s="66" t="s">
        <v>542</v>
      </c>
      <c r="C134" s="82">
        <v>1184889.1200000001</v>
      </c>
      <c r="D134" s="82">
        <v>1510833.5</v>
      </c>
      <c r="E134" s="82">
        <v>1856565.04</v>
      </c>
      <c r="F134" s="82">
        <v>1323845.3500000001</v>
      </c>
      <c r="G134" s="82">
        <v>1205838.55</v>
      </c>
      <c r="H134" s="82">
        <v>1187802.51</v>
      </c>
    </row>
    <row r="135" spans="2:8" s="3" customFormat="1">
      <c r="B135" s="66" t="s">
        <v>104</v>
      </c>
      <c r="C135" s="82">
        <v>35560843.670000002</v>
      </c>
      <c r="D135" s="82">
        <v>57077748.280000001</v>
      </c>
      <c r="E135" s="82">
        <v>47850203.479999997</v>
      </c>
      <c r="F135" s="82">
        <v>29341732.190000001</v>
      </c>
      <c r="G135" s="82">
        <v>28925268.379999999</v>
      </c>
      <c r="H135" s="82">
        <v>35585729.590000004</v>
      </c>
    </row>
    <row r="136" spans="2:8" s="3" customFormat="1">
      <c r="B136" s="66" t="s">
        <v>105</v>
      </c>
      <c r="C136" s="82">
        <v>861117.05</v>
      </c>
      <c r="D136" s="82">
        <v>1209774.8</v>
      </c>
      <c r="E136" s="82">
        <v>1204760.31</v>
      </c>
      <c r="F136" s="82">
        <v>915854.61</v>
      </c>
      <c r="G136" s="82">
        <v>875656.2</v>
      </c>
      <c r="H136" s="82">
        <v>973766.28</v>
      </c>
    </row>
    <row r="137" spans="2:8" s="3" customFormat="1">
      <c r="B137" s="66" t="s">
        <v>106</v>
      </c>
      <c r="C137" s="82">
        <v>436841.67</v>
      </c>
      <c r="D137" s="82">
        <v>792558.93</v>
      </c>
      <c r="E137" s="82">
        <v>936800.21</v>
      </c>
      <c r="F137" s="82">
        <v>461650.52</v>
      </c>
      <c r="G137" s="82">
        <v>424111.35</v>
      </c>
      <c r="H137" s="82">
        <v>498434.62</v>
      </c>
    </row>
    <row r="138" spans="2:8" s="3" customFormat="1" ht="15.5">
      <c r="B138" s="63" t="str">
        <f>$B$35</f>
        <v>Table 5.5, continued</v>
      </c>
      <c r="C138" s="100"/>
      <c r="D138" s="100"/>
      <c r="E138" s="100"/>
      <c r="F138" s="100"/>
      <c r="G138" s="100"/>
      <c r="H138" s="100"/>
    </row>
    <row r="139" spans="2:8" s="3" customFormat="1">
      <c r="B139" s="64" t="str">
        <f>$B$2</f>
        <v xml:space="preserve">Recordation Tax and Deeds of Conveyance Revenue Collections by Locality </v>
      </c>
      <c r="C139" s="100"/>
      <c r="D139" s="100"/>
      <c r="E139" s="100"/>
      <c r="F139" s="100"/>
      <c r="G139" s="100"/>
      <c r="H139" s="100"/>
    </row>
    <row r="140" spans="2:8" s="3" customFormat="1" ht="3" customHeight="1" thickBot="1">
      <c r="B140" s="101"/>
      <c r="C140" s="102"/>
      <c r="D140" s="102"/>
      <c r="E140" s="102"/>
      <c r="F140" s="103"/>
      <c r="G140" s="103"/>
      <c r="H140" s="103"/>
    </row>
    <row r="141" spans="2:8" s="3" customFormat="1" ht="26">
      <c r="B141" s="104" t="s">
        <v>43</v>
      </c>
      <c r="C141" s="105" t="str">
        <f>C$4</f>
        <v>Fiscal Year 
2020</v>
      </c>
      <c r="D141" s="105" t="str">
        <f t="shared" ref="D141:H141" si="5">D$4</f>
        <v>Fiscal Year 
2021</v>
      </c>
      <c r="E141" s="105" t="str">
        <f t="shared" si="5"/>
        <v>Fiscal Year 
2022</v>
      </c>
      <c r="F141" s="105" t="str">
        <f t="shared" si="5"/>
        <v>Fiscal Year 
2023</v>
      </c>
      <c r="G141" s="105" t="str">
        <f t="shared" si="5"/>
        <v>Fiscal Year 
2024</v>
      </c>
      <c r="H141" s="105" t="str">
        <f t="shared" si="5"/>
        <v>Fiscal Year 
2025</v>
      </c>
    </row>
    <row r="142" spans="2:8" s="3" customFormat="1" ht="21" customHeight="1">
      <c r="B142" s="66" t="s">
        <v>524</v>
      </c>
      <c r="C142" s="81">
        <v>226953.8</v>
      </c>
      <c r="D142" s="81">
        <v>309660.08</v>
      </c>
      <c r="E142" s="81">
        <v>254910.79</v>
      </c>
      <c r="F142" s="81">
        <v>366530.77</v>
      </c>
      <c r="G142" s="81">
        <v>211714.4</v>
      </c>
      <c r="H142" s="81">
        <v>372919.85</v>
      </c>
    </row>
    <row r="143" spans="2:8" s="3" customFormat="1">
      <c r="B143" s="66" t="s">
        <v>525</v>
      </c>
      <c r="C143" s="82">
        <v>3746993.86</v>
      </c>
      <c r="D143" s="82">
        <v>5377044.7000000002</v>
      </c>
      <c r="E143" s="82">
        <v>4904476.17</v>
      </c>
      <c r="F143" s="82">
        <v>4012237.62</v>
      </c>
      <c r="G143" s="82">
        <v>3304075.39</v>
      </c>
      <c r="H143" s="82">
        <v>3835871.54</v>
      </c>
    </row>
    <row r="144" spans="2:8" s="3" customFormat="1">
      <c r="B144" s="66" t="s">
        <v>107</v>
      </c>
      <c r="C144" s="82">
        <v>770962.09</v>
      </c>
      <c r="D144" s="82">
        <v>1083678.8799999999</v>
      </c>
      <c r="E144" s="82">
        <v>1151022.3400000001</v>
      </c>
      <c r="F144" s="82">
        <v>730210.7</v>
      </c>
      <c r="G144" s="82">
        <v>774547.66</v>
      </c>
      <c r="H144" s="82">
        <v>850228.78</v>
      </c>
    </row>
    <row r="145" spans="2:8" s="3" customFormat="1">
      <c r="B145" s="66" t="s">
        <v>108</v>
      </c>
      <c r="C145" s="82">
        <v>3308695.16</v>
      </c>
      <c r="D145" s="82">
        <v>4754630.32</v>
      </c>
      <c r="E145" s="82">
        <v>4540865.68</v>
      </c>
      <c r="F145" s="82">
        <v>3976664.63</v>
      </c>
      <c r="G145" s="82">
        <v>3910170.06</v>
      </c>
      <c r="H145" s="82">
        <v>4786872.78</v>
      </c>
    </row>
    <row r="146" spans="2:8" s="3" customFormat="1">
      <c r="B146" s="66" t="s">
        <v>109</v>
      </c>
      <c r="C146" s="82">
        <v>338693.88</v>
      </c>
      <c r="D146" s="82">
        <v>379173.09</v>
      </c>
      <c r="E146" s="82">
        <v>375293.53</v>
      </c>
      <c r="F146" s="82">
        <v>272979.89</v>
      </c>
      <c r="G146" s="82">
        <v>355135.9</v>
      </c>
      <c r="H146" s="82">
        <v>392360.84</v>
      </c>
    </row>
    <row r="147" spans="2:8" s="3" customFormat="1" ht="24" customHeight="1">
      <c r="B147" s="66" t="s">
        <v>110</v>
      </c>
      <c r="C147" s="82">
        <v>278006.08</v>
      </c>
      <c r="D147" s="82">
        <v>319019.11</v>
      </c>
      <c r="E147" s="82">
        <v>442924.61</v>
      </c>
      <c r="F147" s="82">
        <v>293617.58</v>
      </c>
      <c r="G147" s="82">
        <v>313998.94</v>
      </c>
      <c r="H147" s="82">
        <v>386462.19</v>
      </c>
    </row>
    <row r="148" spans="2:8" s="3" customFormat="1">
      <c r="B148" s="66" t="s">
        <v>111</v>
      </c>
      <c r="C148" s="82">
        <v>1589540.57</v>
      </c>
      <c r="D148" s="82">
        <v>2281469.62</v>
      </c>
      <c r="E148" s="82">
        <v>2386505.7999999998</v>
      </c>
      <c r="F148" s="82">
        <v>1776145.89</v>
      </c>
      <c r="G148" s="82">
        <v>1846746.04</v>
      </c>
      <c r="H148" s="82">
        <v>1947474.69</v>
      </c>
    </row>
    <row r="149" spans="2:8" s="3" customFormat="1">
      <c r="B149" s="66" t="s">
        <v>112</v>
      </c>
      <c r="C149" s="82">
        <v>439458.14</v>
      </c>
      <c r="D149" s="82">
        <v>491456.93</v>
      </c>
      <c r="E149" s="82">
        <v>587659.72</v>
      </c>
      <c r="F149" s="82">
        <v>526995.52</v>
      </c>
      <c r="G149" s="82">
        <v>471451.88</v>
      </c>
      <c r="H149" s="82">
        <v>461022.16</v>
      </c>
    </row>
    <row r="150" spans="2:8" s="3" customFormat="1">
      <c r="B150" s="66" t="s">
        <v>113</v>
      </c>
      <c r="C150" s="82">
        <v>412789.26</v>
      </c>
      <c r="D150" s="82">
        <v>541911.36</v>
      </c>
      <c r="E150" s="82">
        <v>645800.04</v>
      </c>
      <c r="F150" s="82">
        <v>489856.19</v>
      </c>
      <c r="G150" s="82">
        <v>400387</v>
      </c>
      <c r="H150" s="82">
        <v>590164.98</v>
      </c>
    </row>
    <row r="151" spans="2:8" s="3" customFormat="1">
      <c r="B151" s="66" t="s">
        <v>114</v>
      </c>
      <c r="C151" s="82">
        <v>9502487.5299999993</v>
      </c>
      <c r="D151" s="82">
        <v>14511881.59</v>
      </c>
      <c r="E151" s="82">
        <v>13677307.140000001</v>
      </c>
      <c r="F151" s="82">
        <v>9147765.9600000009</v>
      </c>
      <c r="G151" s="82">
        <v>8565051.9700000007</v>
      </c>
      <c r="H151" s="82">
        <v>9456133.0199999996</v>
      </c>
    </row>
    <row r="152" spans="2:8" s="3" customFormat="1" ht="24" customHeight="1">
      <c r="B152" s="66" t="s">
        <v>115</v>
      </c>
      <c r="C152" s="82">
        <v>12880841.9</v>
      </c>
      <c r="D152" s="82">
        <v>19935747.370000001</v>
      </c>
      <c r="E152" s="82">
        <v>16931728.18</v>
      </c>
      <c r="F152" s="82">
        <v>10354416.24</v>
      </c>
      <c r="G152" s="82">
        <v>9540156.6400000006</v>
      </c>
      <c r="H152" s="82">
        <v>15974675.49</v>
      </c>
    </row>
    <row r="153" spans="2:8" s="3" customFormat="1">
      <c r="B153" s="66" t="s">
        <v>116</v>
      </c>
      <c r="C153" s="82">
        <v>213988.37</v>
      </c>
      <c r="D153" s="82">
        <v>258408.48</v>
      </c>
      <c r="E153" s="82">
        <v>313146.25</v>
      </c>
      <c r="F153" s="82">
        <v>267305.03999999998</v>
      </c>
      <c r="G153" s="82">
        <v>203284.57</v>
      </c>
      <c r="H153" s="82">
        <v>622181.9</v>
      </c>
    </row>
    <row r="154" spans="2:8" s="3" customFormat="1">
      <c r="B154" s="66" t="s">
        <v>117</v>
      </c>
      <c r="C154" s="82">
        <v>219052.23</v>
      </c>
      <c r="D154" s="82">
        <v>284327.19</v>
      </c>
      <c r="E154" s="82">
        <v>394364</v>
      </c>
      <c r="F154" s="82">
        <v>316624.52</v>
      </c>
      <c r="G154" s="82">
        <v>266227.14</v>
      </c>
      <c r="H154" s="82">
        <v>297498.8</v>
      </c>
    </row>
    <row r="155" spans="2:8" s="3" customFormat="1">
      <c r="B155" s="66" t="s">
        <v>118</v>
      </c>
      <c r="C155" s="82">
        <v>619201.65</v>
      </c>
      <c r="D155" s="82">
        <v>785964.35</v>
      </c>
      <c r="E155" s="82">
        <v>779113.96</v>
      </c>
      <c r="F155" s="82">
        <v>716029.78</v>
      </c>
      <c r="G155" s="82">
        <v>766882.8</v>
      </c>
      <c r="H155" s="82">
        <v>567215.77</v>
      </c>
    </row>
    <row r="156" spans="2:8" s="3" customFormat="1">
      <c r="B156" s="66" t="s">
        <v>119</v>
      </c>
      <c r="C156" s="82">
        <v>2053348.34</v>
      </c>
      <c r="D156" s="82">
        <v>3248221.89</v>
      </c>
      <c r="E156" s="82">
        <v>3248965.47</v>
      </c>
      <c r="F156" s="82">
        <v>2064113.36</v>
      </c>
      <c r="G156" s="82">
        <v>1862556.65</v>
      </c>
      <c r="H156" s="82">
        <v>2104628.12</v>
      </c>
    </row>
    <row r="157" spans="2:8" s="3" customFormat="1" ht="24" customHeight="1">
      <c r="B157" s="66" t="s">
        <v>120</v>
      </c>
      <c r="C157" s="82">
        <v>1529182.91</v>
      </c>
      <c r="D157" s="82">
        <v>1979827.95</v>
      </c>
      <c r="E157" s="82">
        <v>2110386.25</v>
      </c>
      <c r="F157" s="82">
        <v>1910859.45</v>
      </c>
      <c r="G157" s="82">
        <v>1635103.07</v>
      </c>
      <c r="H157" s="82">
        <v>2089455.37</v>
      </c>
    </row>
    <row r="158" spans="2:8" s="3" customFormat="1">
      <c r="B158" s="66" t="s">
        <v>178</v>
      </c>
      <c r="C158" s="82">
        <v>823366.22</v>
      </c>
      <c r="D158" s="82">
        <v>1470104.13</v>
      </c>
      <c r="E158" s="82">
        <v>1436592.26</v>
      </c>
      <c r="F158" s="82">
        <v>1139541.25</v>
      </c>
      <c r="G158" s="82">
        <v>1073395.1100000001</v>
      </c>
      <c r="H158" s="82">
        <v>1137314.9099999999</v>
      </c>
    </row>
    <row r="159" spans="2:8" s="3" customFormat="1">
      <c r="B159" s="66" t="s">
        <v>121</v>
      </c>
      <c r="C159" s="82">
        <v>446724.18</v>
      </c>
      <c r="D159" s="82">
        <v>418524.9</v>
      </c>
      <c r="E159" s="82">
        <v>572201.34</v>
      </c>
      <c r="F159" s="82">
        <v>471792.42</v>
      </c>
      <c r="G159" s="82">
        <v>686400.56</v>
      </c>
      <c r="H159" s="82">
        <v>543361.36</v>
      </c>
    </row>
    <row r="160" spans="2:8" s="3" customFormat="1">
      <c r="B160" s="66" t="s">
        <v>122</v>
      </c>
      <c r="C160" s="82">
        <v>789534.61</v>
      </c>
      <c r="D160" s="82">
        <v>804919.76</v>
      </c>
      <c r="E160" s="82">
        <v>1010772.84</v>
      </c>
      <c r="F160" s="82">
        <v>943531.54</v>
      </c>
      <c r="G160" s="82">
        <v>882179.61</v>
      </c>
      <c r="H160" s="82">
        <v>709709.5</v>
      </c>
    </row>
    <row r="161" spans="2:8" s="3" customFormat="1">
      <c r="B161" s="66" t="s">
        <v>123</v>
      </c>
      <c r="C161" s="82">
        <v>4207435.66</v>
      </c>
      <c r="D161" s="82">
        <v>6062372.7599999998</v>
      </c>
      <c r="E161" s="82">
        <v>5661666.9199999999</v>
      </c>
      <c r="F161" s="82">
        <v>3611717.36</v>
      </c>
      <c r="G161" s="82">
        <v>3415890.73</v>
      </c>
      <c r="H161" s="82">
        <v>3564474.13</v>
      </c>
    </row>
    <row r="162" spans="2:8" s="3" customFormat="1">
      <c r="B162" s="66"/>
      <c r="C162" s="82"/>
      <c r="D162" s="82"/>
      <c r="E162" s="82"/>
      <c r="F162" s="82"/>
      <c r="G162" s="82"/>
      <c r="H162" s="82"/>
    </row>
    <row r="163" spans="2:8" s="3" customFormat="1">
      <c r="B163" s="106" t="s">
        <v>124</v>
      </c>
      <c r="C163" s="107">
        <f t="shared" ref="C163:H163" si="6">SUM(C55:C161)</f>
        <v>394179563.19000012</v>
      </c>
      <c r="D163" s="107">
        <f t="shared" si="6"/>
        <v>563241430.41999996</v>
      </c>
      <c r="E163" s="107">
        <f t="shared" si="6"/>
        <v>526165162.75999999</v>
      </c>
      <c r="F163" s="107">
        <f t="shared" si="6"/>
        <v>339180527.05999988</v>
      </c>
      <c r="G163" s="107">
        <f t="shared" si="6"/>
        <v>328810242.47999996</v>
      </c>
      <c r="H163" s="107">
        <f t="shared" si="6"/>
        <v>384653569.37999994</v>
      </c>
    </row>
    <row r="164" spans="2:8" s="3" customFormat="1" ht="6" customHeight="1">
      <c r="B164" s="66"/>
      <c r="C164" s="82"/>
      <c r="D164" s="82"/>
      <c r="E164" s="82"/>
      <c r="F164" s="82"/>
      <c r="G164" s="82"/>
      <c r="H164" s="82"/>
    </row>
    <row r="165" spans="2:8" s="3" customFormat="1">
      <c r="B165" s="106" t="s">
        <v>152</v>
      </c>
      <c r="C165" s="107">
        <f t="shared" ref="C165:H165" si="7">C48</f>
        <v>132666677.05999997</v>
      </c>
      <c r="D165" s="107">
        <f t="shared" si="7"/>
        <v>177467703.21999994</v>
      </c>
      <c r="E165" s="107">
        <f t="shared" si="7"/>
        <v>189616804.50999996</v>
      </c>
      <c r="F165" s="107">
        <f t="shared" si="7"/>
        <v>129469806.41999999</v>
      </c>
      <c r="G165" s="107">
        <f t="shared" si="7"/>
        <v>114317639.78999998</v>
      </c>
      <c r="H165" s="107">
        <f t="shared" si="7"/>
        <v>131222507.7</v>
      </c>
    </row>
    <row r="166" spans="2:8" s="3" customFormat="1" ht="6" customHeight="1">
      <c r="B166" s="66"/>
      <c r="C166" s="82"/>
      <c r="D166" s="82"/>
      <c r="E166" s="82"/>
      <c r="F166" s="82"/>
      <c r="G166" s="82"/>
      <c r="H166" s="82"/>
    </row>
    <row r="167" spans="2:8" s="3" customFormat="1">
      <c r="B167" s="106" t="s">
        <v>153</v>
      </c>
      <c r="C167" s="107">
        <f>C163+C165</f>
        <v>526846240.25000012</v>
      </c>
      <c r="D167" s="107">
        <f t="shared" ref="D167:H167" si="8">D163+D165</f>
        <v>740709133.63999987</v>
      </c>
      <c r="E167" s="107">
        <f t="shared" si="8"/>
        <v>715781967.26999998</v>
      </c>
      <c r="F167" s="107">
        <f t="shared" si="8"/>
        <v>468650333.4799999</v>
      </c>
      <c r="G167" s="107">
        <f t="shared" si="8"/>
        <v>443127882.26999992</v>
      </c>
      <c r="H167" s="107">
        <f t="shared" si="8"/>
        <v>515876077.07999992</v>
      </c>
    </row>
    <row r="168" spans="2:8" s="3" customFormat="1" ht="6" customHeight="1">
      <c r="B168" s="66"/>
      <c r="C168" s="82"/>
      <c r="D168" s="82"/>
      <c r="E168" s="82"/>
      <c r="F168" s="82"/>
      <c r="G168" s="82"/>
      <c r="H168" s="82"/>
    </row>
    <row r="169" spans="2:8">
      <c r="B169" s="65"/>
      <c r="C169" s="108"/>
      <c r="D169" s="108"/>
      <c r="E169" s="108"/>
      <c r="F169" s="108"/>
      <c r="G169" s="108"/>
      <c r="H169" s="108"/>
    </row>
    <row r="170" spans="2:8">
      <c r="B170" s="65"/>
      <c r="C170" s="108"/>
      <c r="D170" s="108"/>
      <c r="E170" s="108"/>
      <c r="F170" s="108"/>
      <c r="G170" s="108"/>
      <c r="H170" s="108"/>
    </row>
    <row r="172" spans="2:8">
      <c r="B172" s="7" t="s">
        <v>543</v>
      </c>
    </row>
    <row r="173" spans="2:8">
      <c r="B173" s="7"/>
    </row>
  </sheetData>
  <phoneticPr fontId="32" type="noConversion"/>
  <hyperlinks>
    <hyperlink ref="A1" location="TOC!A1" display="Back" xr:uid="{391E4E84-4569-45EA-8D7E-762C9178FEBD}"/>
  </hyperlinks>
  <pageMargins left="0.5" right="0.5" top="0.4" bottom="0.8" header="0.25" footer="0.35"/>
  <pageSetup fitToHeight="5" orientation="landscape" cellComments="asDisplayed" r:id="rId1"/>
  <headerFooter scaleWithDoc="0">
    <oddHeader>&amp;R&amp;P</oddHeader>
    <oddFooter>&amp;R&amp;G&amp;L© 2025 Virginia Department of Taxation, All Rights Reserved</oddFooter>
  </headerFooter>
  <rowBreaks count="4" manualBreakCount="4">
    <brk id="34" min="1" max="8" man="1"/>
    <brk id="69" min="1" max="7" man="1"/>
    <brk id="103" min="1" max="8" man="1"/>
    <brk id="137" min="1" max="8" man="1"/>
  </rowBreaks>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5A414-847D-4DBA-9B05-48176884DBC3}">
  <sheetPr codeName="Sheet13"/>
  <dimension ref="A1:X91"/>
  <sheetViews>
    <sheetView zoomScaleNormal="100" workbookViewId="0"/>
  </sheetViews>
  <sheetFormatPr defaultRowHeight="13"/>
  <cols>
    <col min="1" max="1" width="4.19921875" customWidth="1"/>
    <col min="2" max="2" width="18.69921875" customWidth="1"/>
    <col min="3" max="3" width="12.69921875" hidden="1" customWidth="1"/>
    <col min="4" max="4" width="12.69921875" customWidth="1"/>
    <col min="5" max="5" width="4.69921875" customWidth="1"/>
    <col min="6" max="6" width="16.69921875" customWidth="1"/>
    <col min="7" max="7" width="12.69921875" hidden="1" customWidth="1"/>
    <col min="8" max="8" width="12.69921875" customWidth="1"/>
    <col min="9" max="9" width="4.69921875" customWidth="1"/>
    <col min="10" max="10" width="16.69921875" customWidth="1"/>
    <col min="11" max="11" width="12.69921875" hidden="1" customWidth="1"/>
    <col min="12" max="12" width="12.69921875" customWidth="1"/>
    <col min="13" max="13" width="4.69921875" customWidth="1"/>
    <col min="14" max="14" width="16.69921875" customWidth="1"/>
    <col min="15" max="15" width="12.69921875" hidden="1" customWidth="1"/>
    <col min="16" max="16" width="12.69921875" customWidth="1"/>
    <col min="17" max="17" width="4.69921875" customWidth="1"/>
    <col min="18" max="18" width="16.69921875" customWidth="1"/>
    <col min="19" max="19" width="12.69921875" hidden="1" customWidth="1"/>
    <col min="20" max="20" width="12.69921875" customWidth="1"/>
    <col min="21" max="21" width="2.69921875" customWidth="1"/>
    <col min="22" max="22" width="6.69921875" customWidth="1"/>
    <col min="24" max="24" width="13.69921875" customWidth="1"/>
  </cols>
  <sheetData>
    <row r="1" spans="1:21" s="2" customFormat="1" ht="15.5">
      <c r="A1" s="812" t="s">
        <v>42</v>
      </c>
      <c r="B1" s="63" t="s">
        <v>251</v>
      </c>
      <c r="C1" s="35"/>
      <c r="D1" s="57"/>
      <c r="E1" s="58"/>
      <c r="F1" s="58"/>
      <c r="G1" s="58"/>
      <c r="H1" s="58"/>
      <c r="I1" s="58"/>
      <c r="J1" s="58"/>
      <c r="K1" s="58"/>
      <c r="L1" s="58"/>
      <c r="M1" s="58"/>
      <c r="N1" s="58"/>
      <c r="O1" s="58"/>
      <c r="P1" s="58"/>
      <c r="Q1" s="58"/>
      <c r="R1" s="58"/>
      <c r="S1" s="58"/>
      <c r="T1" s="58"/>
      <c r="U1" s="67"/>
    </row>
    <row r="2" spans="1:21">
      <c r="B2" s="64" t="s">
        <v>1233</v>
      </c>
      <c r="C2" s="60"/>
      <c r="D2" s="33"/>
      <c r="E2" s="34"/>
      <c r="F2" s="34"/>
      <c r="G2" s="34"/>
      <c r="H2" s="34"/>
      <c r="I2" s="34"/>
      <c r="J2" s="34"/>
      <c r="K2" s="34"/>
      <c r="L2" s="34"/>
      <c r="M2" s="34"/>
      <c r="N2" s="34"/>
      <c r="O2" s="34"/>
      <c r="P2" s="34"/>
      <c r="Q2" s="34"/>
      <c r="R2" s="34"/>
      <c r="S2" s="34"/>
      <c r="T2" s="34"/>
      <c r="U2" s="68"/>
    </row>
    <row r="3" spans="1:21" ht="6" customHeight="1" thickBot="1">
      <c r="B3" s="36"/>
      <c r="C3" s="36"/>
      <c r="D3" s="33"/>
      <c r="E3" s="34"/>
      <c r="F3" s="34"/>
      <c r="G3" s="34"/>
      <c r="H3" s="34"/>
      <c r="I3" s="34"/>
      <c r="J3" s="34"/>
      <c r="K3" s="34"/>
      <c r="L3" s="34"/>
      <c r="M3" s="34"/>
      <c r="N3" s="34"/>
      <c r="O3" s="34"/>
      <c r="P3" s="34"/>
      <c r="Q3" s="34"/>
      <c r="R3" s="34"/>
      <c r="S3" s="34"/>
      <c r="T3" s="34"/>
      <c r="U3" s="68"/>
    </row>
    <row r="4" spans="1:21">
      <c r="B4" s="37" t="s">
        <v>43</v>
      </c>
      <c r="C4" s="38" t="s">
        <v>252</v>
      </c>
      <c r="D4" s="39" t="s">
        <v>253</v>
      </c>
      <c r="E4" s="40"/>
      <c r="F4" s="37" t="s">
        <v>43</v>
      </c>
      <c r="G4" s="38" t="s">
        <v>252</v>
      </c>
      <c r="H4" s="39" t="s">
        <v>253</v>
      </c>
      <c r="I4" s="40"/>
      <c r="J4" s="37" t="s">
        <v>43</v>
      </c>
      <c r="K4" s="38" t="s">
        <v>252</v>
      </c>
      <c r="L4" s="39" t="s">
        <v>253</v>
      </c>
      <c r="M4" s="40"/>
      <c r="N4" s="37" t="s">
        <v>125</v>
      </c>
      <c r="O4" s="38" t="s">
        <v>252</v>
      </c>
      <c r="P4" s="39" t="s">
        <v>253</v>
      </c>
      <c r="Q4" s="34"/>
      <c r="R4" s="34"/>
      <c r="S4" s="34"/>
      <c r="T4" s="34"/>
      <c r="U4" s="68"/>
    </row>
    <row r="5" spans="1:21" ht="13" customHeight="1">
      <c r="B5" s="34" t="s">
        <v>254</v>
      </c>
      <c r="C5" s="34" t="s">
        <v>694</v>
      </c>
      <c r="D5" s="41">
        <v>666109.22</v>
      </c>
      <c r="E5" s="41"/>
      <c r="F5" s="34" t="s">
        <v>329</v>
      </c>
      <c r="G5" s="34" t="s">
        <v>724</v>
      </c>
      <c r="H5" s="42">
        <v>401896.11</v>
      </c>
      <c r="I5" s="41"/>
      <c r="J5" s="42" t="s">
        <v>282</v>
      </c>
      <c r="K5" s="42" t="s">
        <v>754</v>
      </c>
      <c r="L5" s="42">
        <v>306953.73</v>
      </c>
      <c r="M5" s="41"/>
      <c r="N5" s="41" t="s">
        <v>255</v>
      </c>
      <c r="O5" s="41" t="s">
        <v>651</v>
      </c>
      <c r="P5" s="41">
        <v>7002233.7999999998</v>
      </c>
      <c r="Q5" s="42"/>
      <c r="R5" s="34"/>
      <c r="S5" s="34"/>
      <c r="T5" s="34"/>
      <c r="U5" s="69"/>
    </row>
    <row r="6" spans="1:21" ht="13" customHeight="1">
      <c r="B6" s="34" t="s">
        <v>256</v>
      </c>
      <c r="C6" s="34" t="s">
        <v>695</v>
      </c>
      <c r="D6" s="42">
        <v>3000522.44</v>
      </c>
      <c r="E6" s="42"/>
      <c r="F6" s="34" t="s">
        <v>332</v>
      </c>
      <c r="G6" s="34" t="s">
        <v>725</v>
      </c>
      <c r="H6" s="42">
        <v>542837.63</v>
      </c>
      <c r="I6" s="42"/>
      <c r="J6" s="42" t="s">
        <v>284</v>
      </c>
      <c r="K6" s="42" t="s">
        <v>755</v>
      </c>
      <c r="L6" s="42">
        <v>386245.86</v>
      </c>
      <c r="M6" s="42"/>
      <c r="N6" s="42" t="s">
        <v>258</v>
      </c>
      <c r="O6" s="42" t="s">
        <v>652</v>
      </c>
      <c r="P6" s="42">
        <v>392787.34</v>
      </c>
      <c r="Q6" s="42"/>
      <c r="R6" s="34"/>
      <c r="S6" s="34"/>
      <c r="T6" s="34"/>
      <c r="U6" s="69"/>
    </row>
    <row r="7" spans="1:21" ht="13" customHeight="1">
      <c r="B7" s="34" t="s">
        <v>259</v>
      </c>
      <c r="C7" s="34" t="s">
        <v>696</v>
      </c>
      <c r="D7" s="42">
        <v>268314.78000000003</v>
      </c>
      <c r="E7" s="42"/>
      <c r="F7" s="34" t="s">
        <v>334</v>
      </c>
      <c r="G7" s="34" t="s">
        <v>726</v>
      </c>
      <c r="H7" s="42">
        <v>1438300.07</v>
      </c>
      <c r="I7" s="42"/>
      <c r="J7" s="42" t="s">
        <v>287</v>
      </c>
      <c r="K7" s="42" t="s">
        <v>756</v>
      </c>
      <c r="L7" s="42">
        <v>329061.42</v>
      </c>
      <c r="M7" s="42"/>
      <c r="N7" s="42" t="s">
        <v>261</v>
      </c>
      <c r="O7" s="42" t="s">
        <v>653</v>
      </c>
      <c r="P7" s="42">
        <v>204214.74</v>
      </c>
      <c r="Q7" s="42"/>
      <c r="R7" s="34"/>
      <c r="S7" s="34"/>
      <c r="T7" s="34"/>
      <c r="U7" s="69"/>
    </row>
    <row r="8" spans="1:21" ht="13" customHeight="1">
      <c r="B8" s="34" t="s">
        <v>262</v>
      </c>
      <c r="C8" s="34" t="s">
        <v>697</v>
      </c>
      <c r="D8" s="42">
        <v>164510.39999999999</v>
      </c>
      <c r="E8" s="42"/>
      <c r="F8" s="34" t="s">
        <v>337</v>
      </c>
      <c r="G8" s="34" t="s">
        <v>727</v>
      </c>
      <c r="H8" s="42">
        <v>874826.84</v>
      </c>
      <c r="I8" s="42"/>
      <c r="J8" s="42" t="s">
        <v>173</v>
      </c>
      <c r="K8" s="42" t="s">
        <v>757</v>
      </c>
      <c r="L8" s="42">
        <v>247752.31</v>
      </c>
      <c r="M8" s="42"/>
      <c r="N8" s="42" t="s">
        <v>264</v>
      </c>
      <c r="O8" s="42" t="s">
        <v>654</v>
      </c>
      <c r="P8" s="42">
        <v>2074629.69</v>
      </c>
      <c r="Q8" s="42"/>
      <c r="R8" s="34"/>
      <c r="S8" s="34"/>
      <c r="T8" s="34"/>
      <c r="U8" s="69"/>
    </row>
    <row r="9" spans="1:21" ht="13" customHeight="1">
      <c r="B9" s="34" t="s">
        <v>265</v>
      </c>
      <c r="C9" s="34" t="s">
        <v>698</v>
      </c>
      <c r="D9" s="42">
        <v>820065.94</v>
      </c>
      <c r="E9" s="42"/>
      <c r="F9" s="34" t="s">
        <v>339</v>
      </c>
      <c r="G9" s="34" t="s">
        <v>728</v>
      </c>
      <c r="H9" s="42">
        <v>163932.93</v>
      </c>
      <c r="I9" s="42"/>
      <c r="J9" s="42" t="s">
        <v>292</v>
      </c>
      <c r="K9" s="42" t="s">
        <v>758</v>
      </c>
      <c r="L9" s="42">
        <v>225034.73</v>
      </c>
      <c r="M9" s="42"/>
      <c r="N9" s="42" t="s">
        <v>181</v>
      </c>
      <c r="O9" s="42" t="s">
        <v>655</v>
      </c>
      <c r="P9" s="42">
        <v>7705458.4500000002</v>
      </c>
      <c r="Q9" s="42"/>
      <c r="R9" s="34"/>
      <c r="S9" s="34"/>
      <c r="T9" s="34"/>
      <c r="U9" s="69"/>
    </row>
    <row r="10" spans="1:21" ht="18" customHeight="1">
      <c r="B10" s="34" t="s">
        <v>267</v>
      </c>
      <c r="C10" s="34" t="s">
        <v>699</v>
      </c>
      <c r="D10" s="42">
        <v>365000.29</v>
      </c>
      <c r="E10" s="42"/>
      <c r="F10" s="34" t="s">
        <v>342</v>
      </c>
      <c r="G10" s="34" t="s">
        <v>729</v>
      </c>
      <c r="H10" s="42">
        <v>990171.69</v>
      </c>
      <c r="I10" s="42"/>
      <c r="J10" s="42" t="s">
        <v>294</v>
      </c>
      <c r="K10" s="42" t="s">
        <v>759</v>
      </c>
      <c r="L10" s="42">
        <v>927557.25</v>
      </c>
      <c r="M10" s="42"/>
      <c r="N10" s="42" t="s">
        <v>269</v>
      </c>
      <c r="O10" s="42" t="s">
        <v>656</v>
      </c>
      <c r="P10" s="42">
        <v>450852.87</v>
      </c>
      <c r="Q10" s="42"/>
      <c r="R10" s="34"/>
      <c r="S10" s="34"/>
      <c r="T10" s="34"/>
      <c r="U10" s="69"/>
    </row>
    <row r="11" spans="1:21" ht="13" customHeight="1">
      <c r="B11" s="34" t="s">
        <v>270</v>
      </c>
      <c r="C11" s="34" t="s">
        <v>700</v>
      </c>
      <c r="D11" s="42">
        <v>4869050.6399999997</v>
      </c>
      <c r="E11" s="42"/>
      <c r="F11" s="34" t="s">
        <v>345</v>
      </c>
      <c r="G11" s="34" t="s">
        <v>730</v>
      </c>
      <c r="H11" s="42">
        <v>554028.37</v>
      </c>
      <c r="I11" s="42"/>
      <c r="J11" s="42" t="s">
        <v>296</v>
      </c>
      <c r="K11" s="42" t="s">
        <v>760</v>
      </c>
      <c r="L11" s="42">
        <v>317089.93</v>
      </c>
      <c r="M11" s="42"/>
      <c r="N11" s="42" t="s">
        <v>272</v>
      </c>
      <c r="O11" s="42" t="s">
        <v>657</v>
      </c>
      <c r="P11" s="42">
        <v>201181.2</v>
      </c>
      <c r="Q11" s="42"/>
      <c r="R11" s="34"/>
      <c r="S11" s="34"/>
      <c r="T11" s="34"/>
      <c r="U11" s="69"/>
    </row>
    <row r="12" spans="1:21" ht="13" customHeight="1">
      <c r="B12" s="34" t="s">
        <v>273</v>
      </c>
      <c r="C12" s="34" t="s">
        <v>701</v>
      </c>
      <c r="D12" s="42">
        <v>1619528.75</v>
      </c>
      <c r="E12" s="42"/>
      <c r="F12" s="34" t="s">
        <v>348</v>
      </c>
      <c r="G12" s="34" t="s">
        <v>731</v>
      </c>
      <c r="H12" s="42">
        <v>246619.17</v>
      </c>
      <c r="I12" s="42"/>
      <c r="J12" s="42" t="s">
        <v>299</v>
      </c>
      <c r="K12" s="42" t="s">
        <v>761</v>
      </c>
      <c r="L12" s="42">
        <v>316601.92</v>
      </c>
      <c r="M12" s="42"/>
      <c r="N12" s="42" t="s">
        <v>275</v>
      </c>
      <c r="O12" s="42" t="s">
        <v>658</v>
      </c>
      <c r="P12" s="42">
        <v>2085885.5</v>
      </c>
      <c r="Q12" s="42"/>
      <c r="R12" s="34"/>
      <c r="S12" s="34"/>
      <c r="T12" s="34"/>
      <c r="U12" s="69"/>
    </row>
    <row r="13" spans="1:21" ht="13" customHeight="1">
      <c r="B13" s="34" t="s">
        <v>165</v>
      </c>
      <c r="C13" s="34" t="s">
        <v>702</v>
      </c>
      <c r="D13" s="42">
        <v>74783.86</v>
      </c>
      <c r="E13" s="42"/>
      <c r="F13" s="34" t="s">
        <v>351</v>
      </c>
      <c r="G13" s="34" t="s">
        <v>732</v>
      </c>
      <c r="H13" s="42">
        <v>319201.74</v>
      </c>
      <c r="I13" s="42"/>
      <c r="J13" s="42" t="s">
        <v>301</v>
      </c>
      <c r="K13" s="42" t="s">
        <v>762</v>
      </c>
      <c r="L13" s="42">
        <v>1471153.92</v>
      </c>
      <c r="M13" s="42"/>
      <c r="N13" s="42" t="s">
        <v>277</v>
      </c>
      <c r="O13" s="42" t="s">
        <v>659</v>
      </c>
      <c r="P13" s="42">
        <v>172898</v>
      </c>
      <c r="Q13" s="42"/>
      <c r="R13" s="34"/>
      <c r="S13" s="34"/>
      <c r="T13" s="34"/>
      <c r="U13" s="69"/>
    </row>
    <row r="14" spans="1:21" ht="13" customHeight="1">
      <c r="B14" s="43" t="s">
        <v>278</v>
      </c>
      <c r="C14" s="43" t="s">
        <v>703</v>
      </c>
      <c r="D14" s="42">
        <v>1240754.24</v>
      </c>
      <c r="E14" s="42"/>
      <c r="F14" s="34" t="s">
        <v>353</v>
      </c>
      <c r="G14" s="34" t="s">
        <v>733</v>
      </c>
      <c r="H14" s="42">
        <v>114824.36</v>
      </c>
      <c r="I14" s="42"/>
      <c r="J14" s="42" t="s">
        <v>174</v>
      </c>
      <c r="K14" s="42" t="s">
        <v>763</v>
      </c>
      <c r="L14" s="42">
        <v>557921.24</v>
      </c>
      <c r="M14" s="42"/>
      <c r="N14" s="42" t="s">
        <v>280</v>
      </c>
      <c r="O14" s="42" t="s">
        <v>660</v>
      </c>
      <c r="P14" s="42">
        <v>1472568.98</v>
      </c>
      <c r="Q14" s="42"/>
      <c r="R14" s="34"/>
      <c r="S14" s="34"/>
      <c r="T14" s="34"/>
      <c r="U14" s="69"/>
    </row>
    <row r="15" spans="1:21" ht="18" customHeight="1">
      <c r="B15" s="34" t="s">
        <v>281</v>
      </c>
      <c r="C15" s="34" t="s">
        <v>704</v>
      </c>
      <c r="D15" s="42">
        <v>67705.600000000006</v>
      </c>
      <c r="E15" s="42"/>
      <c r="F15" s="34" t="s">
        <v>78</v>
      </c>
      <c r="G15" s="34" t="s">
        <v>734</v>
      </c>
      <c r="H15" s="42">
        <v>752823.94</v>
      </c>
      <c r="I15" s="42"/>
      <c r="J15" s="42" t="s">
        <v>305</v>
      </c>
      <c r="K15" s="42" t="s">
        <v>764</v>
      </c>
      <c r="L15" s="42">
        <v>201707.1</v>
      </c>
      <c r="M15" s="42"/>
      <c r="N15" s="42" t="s">
        <v>133</v>
      </c>
      <c r="O15" s="42" t="s">
        <v>661</v>
      </c>
      <c r="P15" s="42">
        <v>557059.18999999994</v>
      </c>
      <c r="Q15" s="42"/>
      <c r="R15" s="34"/>
      <c r="S15" s="34"/>
      <c r="T15" s="34"/>
      <c r="U15" s="69"/>
    </row>
    <row r="16" spans="1:21" ht="13" customHeight="1">
      <c r="B16" s="34" t="s">
        <v>283</v>
      </c>
      <c r="C16" s="34" t="s">
        <v>705</v>
      </c>
      <c r="D16" s="42">
        <v>463523.78</v>
      </c>
      <c r="E16" s="42"/>
      <c r="F16" s="34" t="s">
        <v>356</v>
      </c>
      <c r="G16" s="34" t="s">
        <v>735</v>
      </c>
      <c r="H16" s="42">
        <v>3225668.27</v>
      </c>
      <c r="I16" s="42"/>
      <c r="J16" s="42" t="s">
        <v>175</v>
      </c>
      <c r="K16" s="42" t="s">
        <v>765</v>
      </c>
      <c r="L16" s="42">
        <v>825672.14</v>
      </c>
      <c r="M16" s="42"/>
      <c r="N16" s="42" t="s">
        <v>285</v>
      </c>
      <c r="O16" s="42" t="s">
        <v>662</v>
      </c>
      <c r="P16" s="42">
        <v>359895.6</v>
      </c>
      <c r="Q16" s="42"/>
      <c r="R16" s="34"/>
      <c r="S16" s="34"/>
      <c r="T16" s="34"/>
      <c r="U16" s="69"/>
    </row>
    <row r="17" spans="2:21" ht="13" customHeight="1">
      <c r="B17" s="34" t="s">
        <v>286</v>
      </c>
      <c r="C17" s="34" t="s">
        <v>706</v>
      </c>
      <c r="D17" s="42">
        <v>271267.01</v>
      </c>
      <c r="E17" s="42"/>
      <c r="F17" s="34" t="s">
        <v>358</v>
      </c>
      <c r="G17" s="34" t="s">
        <v>736</v>
      </c>
      <c r="H17" s="42">
        <v>8518963.9499999993</v>
      </c>
      <c r="I17" s="42"/>
      <c r="J17" s="42" t="s">
        <v>309</v>
      </c>
      <c r="K17" s="42" t="s">
        <v>766</v>
      </c>
      <c r="L17" s="42">
        <v>12550997.1</v>
      </c>
      <c r="M17" s="42"/>
      <c r="N17" s="42" t="s">
        <v>288</v>
      </c>
      <c r="O17" s="42" t="s">
        <v>663</v>
      </c>
      <c r="P17" s="42">
        <v>1153161.24</v>
      </c>
      <c r="Q17" s="42"/>
      <c r="R17" s="34"/>
      <c r="S17" s="34"/>
      <c r="T17" s="34"/>
      <c r="U17" s="69"/>
    </row>
    <row r="18" spans="2:21" ht="13" customHeight="1">
      <c r="B18" s="34" t="s">
        <v>289</v>
      </c>
      <c r="C18" s="34" t="s">
        <v>707</v>
      </c>
      <c r="D18" s="42">
        <v>547107.35</v>
      </c>
      <c r="E18" s="42"/>
      <c r="F18" s="34" t="s">
        <v>360</v>
      </c>
      <c r="G18" s="34" t="s">
        <v>737</v>
      </c>
      <c r="H18" s="42">
        <v>1504368.23</v>
      </c>
      <c r="I18" s="42"/>
      <c r="J18" s="42" t="s">
        <v>312</v>
      </c>
      <c r="K18" s="42" t="s">
        <v>767</v>
      </c>
      <c r="L18" s="42">
        <v>533699.09</v>
      </c>
      <c r="M18" s="42"/>
      <c r="N18" s="42" t="s">
        <v>290</v>
      </c>
      <c r="O18" s="42" t="s">
        <v>664</v>
      </c>
      <c r="P18" s="42">
        <v>151356.89000000001</v>
      </c>
      <c r="Q18" s="42"/>
      <c r="R18" s="34"/>
      <c r="S18" s="34"/>
      <c r="T18" s="34"/>
      <c r="U18" s="69"/>
    </row>
    <row r="19" spans="2:21" ht="13" customHeight="1">
      <c r="B19" s="34" t="s">
        <v>291</v>
      </c>
      <c r="C19" s="34" t="s">
        <v>708</v>
      </c>
      <c r="D19" s="42">
        <v>274349.32</v>
      </c>
      <c r="E19" s="42"/>
      <c r="F19" s="34" t="s">
        <v>362</v>
      </c>
      <c r="G19" s="34" t="s">
        <v>738</v>
      </c>
      <c r="H19" s="42">
        <v>48894.44</v>
      </c>
      <c r="I19" s="42"/>
      <c r="J19" s="42" t="s">
        <v>315</v>
      </c>
      <c r="K19" s="42" t="s">
        <v>768</v>
      </c>
      <c r="L19" s="42">
        <v>224725.66</v>
      </c>
      <c r="M19" s="42"/>
      <c r="N19" s="42" t="s">
        <v>136</v>
      </c>
      <c r="O19" s="42" t="s">
        <v>665</v>
      </c>
      <c r="P19" s="42">
        <v>5927483.6399999997</v>
      </c>
      <c r="Q19" s="42"/>
      <c r="R19" s="34"/>
      <c r="S19" s="34"/>
      <c r="T19" s="34"/>
      <c r="U19" s="69"/>
    </row>
    <row r="20" spans="2:21" ht="18" customHeight="1">
      <c r="B20" s="34" t="s">
        <v>293</v>
      </c>
      <c r="C20" s="34" t="s">
        <v>709</v>
      </c>
      <c r="D20" s="42">
        <v>902101.53</v>
      </c>
      <c r="E20" s="42"/>
      <c r="F20" s="34" t="s">
        <v>364</v>
      </c>
      <c r="G20" s="34" t="s">
        <v>739</v>
      </c>
      <c r="H20" s="42">
        <v>863215.86</v>
      </c>
      <c r="I20" s="42"/>
      <c r="J20" s="42" t="s">
        <v>176</v>
      </c>
      <c r="K20" s="42" t="s">
        <v>769</v>
      </c>
      <c r="L20" s="42">
        <v>199223.91</v>
      </c>
      <c r="M20" s="42"/>
      <c r="N20" s="42" t="s">
        <v>182</v>
      </c>
      <c r="O20" s="42" t="s">
        <v>666</v>
      </c>
      <c r="P20" s="42">
        <v>1048340.24</v>
      </c>
      <c r="Q20" s="34"/>
      <c r="R20" s="34"/>
      <c r="S20" s="34"/>
      <c r="T20" s="34"/>
      <c r="U20" s="69"/>
    </row>
    <row r="21" spans="2:21" s="3" customFormat="1" ht="13" customHeight="1">
      <c r="B21" s="34" t="s">
        <v>295</v>
      </c>
      <c r="C21" s="34" t="s">
        <v>710</v>
      </c>
      <c r="D21" s="42">
        <v>508338.25</v>
      </c>
      <c r="E21" s="42"/>
      <c r="F21" s="34" t="s">
        <v>83</v>
      </c>
      <c r="G21" s="34" t="s">
        <v>740</v>
      </c>
      <c r="H21" s="42">
        <v>1104448.46</v>
      </c>
      <c r="I21" s="42"/>
      <c r="J21" s="42" t="s">
        <v>319</v>
      </c>
      <c r="K21" s="42" t="s">
        <v>770</v>
      </c>
      <c r="L21" s="42">
        <v>2552871.17</v>
      </c>
      <c r="M21" s="42"/>
      <c r="N21" s="42" t="s">
        <v>297</v>
      </c>
      <c r="O21" s="42" t="s">
        <v>667</v>
      </c>
      <c r="P21" s="42">
        <v>546424.15</v>
      </c>
      <c r="Q21" s="34"/>
      <c r="R21" s="34"/>
      <c r="S21" s="34"/>
      <c r="T21" s="34"/>
      <c r="U21" s="69"/>
    </row>
    <row r="22" spans="2:21" s="3" customFormat="1" ht="13" customHeight="1">
      <c r="B22" s="34" t="s">
        <v>298</v>
      </c>
      <c r="C22" s="34" t="s">
        <v>711</v>
      </c>
      <c r="D22" s="42">
        <v>655311.57999999996</v>
      </c>
      <c r="E22" s="42"/>
      <c r="F22" s="34" t="s">
        <v>365</v>
      </c>
      <c r="G22" s="34" t="s">
        <v>741</v>
      </c>
      <c r="H22" s="42">
        <v>113772.51</v>
      </c>
      <c r="I22" s="42"/>
      <c r="J22" s="42" t="s">
        <v>322</v>
      </c>
      <c r="K22" s="42" t="s">
        <v>771</v>
      </c>
      <c r="L22" s="42">
        <v>604224</v>
      </c>
      <c r="M22" s="42"/>
      <c r="N22" s="42" t="s">
        <v>300</v>
      </c>
      <c r="O22" s="42" t="s">
        <v>668</v>
      </c>
      <c r="P22" s="42">
        <v>208291.98</v>
      </c>
      <c r="Q22" s="34"/>
      <c r="R22" s="34"/>
      <c r="S22" s="34"/>
      <c r="T22" s="34"/>
      <c r="U22" s="69"/>
    </row>
    <row r="23" spans="2:21" s="3" customFormat="1" ht="13" customHeight="1">
      <c r="B23" s="34" t="s">
        <v>166</v>
      </c>
      <c r="C23" s="34" t="s">
        <v>712</v>
      </c>
      <c r="D23" s="42">
        <v>100201.57</v>
      </c>
      <c r="E23" s="42"/>
      <c r="F23" s="34" t="s">
        <v>366</v>
      </c>
      <c r="G23" s="34" t="s">
        <v>742</v>
      </c>
      <c r="H23" s="42">
        <v>250693.73</v>
      </c>
      <c r="I23" s="42"/>
      <c r="J23" s="42" t="s">
        <v>324</v>
      </c>
      <c r="K23" s="42" t="s">
        <v>772</v>
      </c>
      <c r="L23" s="42">
        <v>1032169.48</v>
      </c>
      <c r="M23" s="42"/>
      <c r="N23" s="42" t="s">
        <v>302</v>
      </c>
      <c r="O23" s="42" t="s">
        <v>669</v>
      </c>
      <c r="P23" s="42">
        <v>2198053.15</v>
      </c>
      <c r="Q23" s="34"/>
      <c r="R23" s="34"/>
      <c r="S23" s="34"/>
      <c r="T23" s="34"/>
      <c r="U23" s="69"/>
    </row>
    <row r="24" spans="2:21" s="3" customFormat="1" ht="13" customHeight="1">
      <c r="B24" s="34" t="s">
        <v>303</v>
      </c>
      <c r="C24" s="34" t="s">
        <v>713</v>
      </c>
      <c r="D24" s="42">
        <v>83231.100000000006</v>
      </c>
      <c r="E24" s="42"/>
      <c r="F24" s="34" t="s">
        <v>86</v>
      </c>
      <c r="G24" s="34" t="s">
        <v>743</v>
      </c>
      <c r="H24" s="42">
        <v>232224.12</v>
      </c>
      <c r="I24" s="42"/>
      <c r="J24" s="42" t="s">
        <v>327</v>
      </c>
      <c r="K24" s="42" t="s">
        <v>773</v>
      </c>
      <c r="L24" s="42">
        <v>557818.27</v>
      </c>
      <c r="M24" s="42"/>
      <c r="N24" s="42" t="s">
        <v>183</v>
      </c>
      <c r="O24" s="42" t="s">
        <v>670</v>
      </c>
      <c r="P24" s="42">
        <v>1870217.06</v>
      </c>
      <c r="Q24" s="34"/>
      <c r="R24" s="34"/>
      <c r="S24" s="34"/>
      <c r="T24" s="34"/>
      <c r="U24" s="68"/>
    </row>
    <row r="25" spans="2:21" s="3" customFormat="1" ht="18" customHeight="1">
      <c r="B25" s="34" t="s">
        <v>304</v>
      </c>
      <c r="C25" s="34" t="s">
        <v>714</v>
      </c>
      <c r="D25" s="42">
        <v>9432871.6099999994</v>
      </c>
      <c r="E25" s="42"/>
      <c r="F25" s="41" t="s">
        <v>171</v>
      </c>
      <c r="G25" s="41" t="s">
        <v>744</v>
      </c>
      <c r="H25" s="41">
        <v>214592.22</v>
      </c>
      <c r="I25" s="42"/>
      <c r="J25" s="42" t="s">
        <v>330</v>
      </c>
      <c r="K25" s="42" t="s">
        <v>774</v>
      </c>
      <c r="L25" s="42">
        <v>502311.88</v>
      </c>
      <c r="M25" s="42"/>
      <c r="N25" s="42" t="s">
        <v>306</v>
      </c>
      <c r="O25" s="42" t="s">
        <v>671</v>
      </c>
      <c r="P25" s="42">
        <v>473817.2</v>
      </c>
      <c r="Q25" s="42"/>
      <c r="R25" s="34"/>
      <c r="S25" s="34"/>
      <c r="T25" s="34"/>
      <c r="U25" s="68"/>
    </row>
    <row r="26" spans="2:21" s="3" customFormat="1" ht="13" customHeight="1">
      <c r="B26" s="34" t="s">
        <v>307</v>
      </c>
      <c r="C26" s="34" t="s">
        <v>715</v>
      </c>
      <c r="D26" s="42">
        <v>278217.83</v>
      </c>
      <c r="E26" s="42"/>
      <c r="F26" s="42" t="s">
        <v>257</v>
      </c>
      <c r="G26" s="42" t="s">
        <v>745</v>
      </c>
      <c r="H26" s="42">
        <v>273641.71999999997</v>
      </c>
      <c r="I26" s="42"/>
      <c r="J26" s="42" t="s">
        <v>333</v>
      </c>
      <c r="K26" s="42" t="s">
        <v>775</v>
      </c>
      <c r="L26" s="42">
        <v>772827.92</v>
      </c>
      <c r="M26" s="42"/>
      <c r="N26" s="42" t="s">
        <v>185</v>
      </c>
      <c r="O26" s="42" t="s">
        <v>672</v>
      </c>
      <c r="P26" s="42">
        <v>588928.97</v>
      </c>
      <c r="Q26" s="42"/>
      <c r="R26" s="34"/>
      <c r="S26" s="34"/>
      <c r="T26" s="34"/>
      <c r="U26" s="68"/>
    </row>
    <row r="27" spans="2:21" s="3" customFormat="1" ht="13" customHeight="1">
      <c r="B27" s="34" t="s">
        <v>308</v>
      </c>
      <c r="C27" s="34" t="s">
        <v>716</v>
      </c>
      <c r="D27" s="42">
        <v>74783.88</v>
      </c>
      <c r="E27" s="42"/>
      <c r="F27" s="42" t="s">
        <v>260</v>
      </c>
      <c r="G27" s="42" t="s">
        <v>746</v>
      </c>
      <c r="H27" s="42">
        <v>7535434.0199999996</v>
      </c>
      <c r="I27" s="42"/>
      <c r="J27" s="42" t="s">
        <v>335</v>
      </c>
      <c r="K27" s="42" t="s">
        <v>776</v>
      </c>
      <c r="L27" s="42">
        <v>381336.33</v>
      </c>
      <c r="M27" s="42"/>
      <c r="N27" s="42" t="s">
        <v>310</v>
      </c>
      <c r="O27" s="42" t="s">
        <v>673</v>
      </c>
      <c r="P27" s="42">
        <v>7547383.8399999999</v>
      </c>
      <c r="Q27" s="42"/>
      <c r="R27" s="34"/>
      <c r="S27" s="34"/>
      <c r="T27" s="34"/>
      <c r="U27" s="68"/>
    </row>
    <row r="28" spans="2:21" s="3" customFormat="1" ht="13" customHeight="1">
      <c r="B28" s="34" t="s">
        <v>311</v>
      </c>
      <c r="C28" s="34" t="s">
        <v>717</v>
      </c>
      <c r="D28" s="42">
        <v>1318197.51</v>
      </c>
      <c r="E28" s="42"/>
      <c r="F28" s="42" t="s">
        <v>263</v>
      </c>
      <c r="G28" s="42" t="s">
        <v>747</v>
      </c>
      <c r="H28" s="42">
        <v>225216.35</v>
      </c>
      <c r="I28" s="42"/>
      <c r="J28" s="42" t="s">
        <v>338</v>
      </c>
      <c r="K28" s="42" t="s">
        <v>777</v>
      </c>
      <c r="L28" s="42">
        <v>360998.92</v>
      </c>
      <c r="M28" s="42"/>
      <c r="N28" s="42" t="s">
        <v>313</v>
      </c>
      <c r="O28" s="42" t="s">
        <v>674</v>
      </c>
      <c r="P28" s="42">
        <v>14186596.279999999</v>
      </c>
      <c r="Q28" s="42"/>
      <c r="R28" s="34"/>
      <c r="S28" s="34"/>
      <c r="T28" s="34"/>
      <c r="U28" s="68"/>
    </row>
    <row r="29" spans="2:21" s="3" customFormat="1" ht="13" customHeight="1">
      <c r="B29" s="34" t="s">
        <v>314</v>
      </c>
      <c r="C29" s="34" t="s">
        <v>718</v>
      </c>
      <c r="D29" s="42">
        <v>247923.13</v>
      </c>
      <c r="E29" s="42"/>
      <c r="F29" s="42" t="s">
        <v>266</v>
      </c>
      <c r="G29" s="42" t="s">
        <v>748</v>
      </c>
      <c r="H29" s="42">
        <v>133700.6</v>
      </c>
      <c r="I29" s="42"/>
      <c r="J29" s="42" t="s">
        <v>340</v>
      </c>
      <c r="K29" s="42" t="s">
        <v>778</v>
      </c>
      <c r="L29" s="42">
        <v>3053298.9</v>
      </c>
      <c r="M29" s="42"/>
      <c r="N29" s="42" t="s">
        <v>316</v>
      </c>
      <c r="O29" s="42" t="s">
        <v>675</v>
      </c>
      <c r="P29" s="42">
        <v>136772.09</v>
      </c>
      <c r="Q29" s="42"/>
      <c r="R29" s="34"/>
      <c r="S29" s="34"/>
      <c r="T29" s="34"/>
      <c r="U29" s="68"/>
    </row>
    <row r="30" spans="2:21" s="3" customFormat="1" ht="18" customHeight="1">
      <c r="B30" s="34" t="s">
        <v>317</v>
      </c>
      <c r="C30" s="34" t="s">
        <v>719</v>
      </c>
      <c r="D30" s="42">
        <v>319681.55</v>
      </c>
      <c r="E30" s="42"/>
      <c r="F30" s="42" t="s">
        <v>268</v>
      </c>
      <c r="G30" s="42" t="s">
        <v>749</v>
      </c>
      <c r="H30" s="42">
        <v>376315.72</v>
      </c>
      <c r="I30" s="42"/>
      <c r="J30" s="42" t="s">
        <v>343</v>
      </c>
      <c r="K30" s="42" t="s">
        <v>779</v>
      </c>
      <c r="L30" s="42">
        <v>3754124.4</v>
      </c>
      <c r="M30" s="42"/>
      <c r="N30" s="42" t="s">
        <v>143</v>
      </c>
      <c r="O30" s="42" t="s">
        <v>676</v>
      </c>
      <c r="P30" s="42">
        <v>1191366.45</v>
      </c>
      <c r="Q30" s="42"/>
      <c r="R30" s="34"/>
      <c r="S30" s="34"/>
      <c r="T30" s="34"/>
      <c r="U30" s="68"/>
    </row>
    <row r="31" spans="2:21" s="3" customFormat="1" ht="13" customHeight="1">
      <c r="B31" s="34" t="s">
        <v>318</v>
      </c>
      <c r="C31" s="34" t="s">
        <v>720</v>
      </c>
      <c r="D31" s="42">
        <v>597346.38</v>
      </c>
      <c r="E31" s="42"/>
      <c r="F31" s="42" t="s">
        <v>271</v>
      </c>
      <c r="G31" s="42" t="s">
        <v>750</v>
      </c>
      <c r="H31" s="42">
        <v>290598.68</v>
      </c>
      <c r="I31" s="42"/>
      <c r="J31" s="42" t="s">
        <v>346</v>
      </c>
      <c r="K31" s="42" t="s">
        <v>780</v>
      </c>
      <c r="L31" s="42">
        <v>33292.99</v>
      </c>
      <c r="M31" s="42"/>
      <c r="N31" s="42" t="s">
        <v>320</v>
      </c>
      <c r="O31" s="42" t="s">
        <v>677</v>
      </c>
      <c r="P31" s="42">
        <v>267170.81</v>
      </c>
      <c r="Q31" s="42"/>
      <c r="R31" s="34"/>
      <c r="S31" s="34"/>
      <c r="T31" s="34"/>
      <c r="U31" s="68"/>
    </row>
    <row r="32" spans="2:21" s="3" customFormat="1" ht="13" customHeight="1">
      <c r="B32" s="34" t="s">
        <v>321</v>
      </c>
      <c r="C32" s="34" t="s">
        <v>721</v>
      </c>
      <c r="D32" s="42">
        <v>228138.74</v>
      </c>
      <c r="E32" s="42"/>
      <c r="F32" s="42" t="s">
        <v>274</v>
      </c>
      <c r="G32" s="42" t="s">
        <v>751</v>
      </c>
      <c r="H32" s="42">
        <v>373724.07</v>
      </c>
      <c r="I32" s="42"/>
      <c r="J32" s="42" t="s">
        <v>349</v>
      </c>
      <c r="K32" s="42" t="s">
        <v>781</v>
      </c>
      <c r="L32" s="42">
        <v>113561.06</v>
      </c>
      <c r="M32" s="42"/>
      <c r="N32" s="42" t="s">
        <v>144</v>
      </c>
      <c r="O32" s="42" t="s">
        <v>678</v>
      </c>
      <c r="P32" s="42">
        <v>5378630.4400000004</v>
      </c>
      <c r="Q32" s="42"/>
      <c r="R32" s="34"/>
      <c r="S32" s="34"/>
      <c r="T32" s="34"/>
      <c r="U32" s="68"/>
    </row>
    <row r="33" spans="2:24" s="3" customFormat="1" ht="13" customHeight="1">
      <c r="B33" s="34" t="s">
        <v>323</v>
      </c>
      <c r="C33" s="34" t="s">
        <v>722</v>
      </c>
      <c r="D33" s="42">
        <v>51221502.560000002</v>
      </c>
      <c r="E33" s="42"/>
      <c r="F33" s="42" t="s">
        <v>276</v>
      </c>
      <c r="G33" s="42" t="s">
        <v>752</v>
      </c>
      <c r="H33" s="42">
        <v>284444.84000000003</v>
      </c>
      <c r="I33" s="42"/>
      <c r="J33" s="42" t="s">
        <v>352</v>
      </c>
      <c r="K33" s="42" t="s">
        <v>782</v>
      </c>
      <c r="L33" s="42">
        <v>389883.96</v>
      </c>
      <c r="M33" s="42"/>
      <c r="N33" s="42" t="s">
        <v>325</v>
      </c>
      <c r="O33" s="42" t="s">
        <v>679</v>
      </c>
      <c r="P33" s="42">
        <v>483427.48</v>
      </c>
      <c r="Q33" s="42"/>
      <c r="R33" s="34"/>
      <c r="S33" s="34"/>
      <c r="T33" s="34"/>
      <c r="U33" s="68"/>
    </row>
    <row r="34" spans="2:24" s="3" customFormat="1" ht="13" customHeight="1">
      <c r="B34" s="34" t="s">
        <v>326</v>
      </c>
      <c r="C34" s="34" t="s">
        <v>723</v>
      </c>
      <c r="D34" s="42">
        <v>1875644.38</v>
      </c>
      <c r="E34" s="42"/>
      <c r="F34" s="42" t="s">
        <v>279</v>
      </c>
      <c r="G34" s="42" t="s">
        <v>753</v>
      </c>
      <c r="H34" s="42">
        <v>659773.79</v>
      </c>
      <c r="I34" s="42"/>
      <c r="J34" s="42" t="s">
        <v>354</v>
      </c>
      <c r="K34" s="42" t="s">
        <v>783</v>
      </c>
      <c r="L34" s="42">
        <v>577044.18000000005</v>
      </c>
      <c r="M34" s="42"/>
      <c r="N34" s="42" t="s">
        <v>328</v>
      </c>
      <c r="O34" s="42" t="s">
        <v>680</v>
      </c>
      <c r="P34" s="42">
        <v>13289539.789999999</v>
      </c>
      <c r="Q34" s="42"/>
      <c r="R34" s="34"/>
      <c r="S34" s="34"/>
      <c r="T34" s="34"/>
      <c r="U34" s="68"/>
    </row>
    <row r="35" spans="2:24" s="3" customFormat="1" ht="18" customHeight="1">
      <c r="B35" s="65"/>
      <c r="C35" s="65"/>
      <c r="D35" s="65"/>
      <c r="E35" s="42"/>
      <c r="I35" s="42"/>
      <c r="J35" s="42" t="s">
        <v>355</v>
      </c>
      <c r="K35" s="42" t="s">
        <v>784</v>
      </c>
      <c r="L35" s="42">
        <v>1047196.23</v>
      </c>
      <c r="M35" s="42"/>
      <c r="N35" s="42" t="s">
        <v>331</v>
      </c>
      <c r="O35" s="42" t="s">
        <v>686</v>
      </c>
      <c r="P35" s="42">
        <v>4504771.41</v>
      </c>
      <c r="Q35" s="42"/>
      <c r="R35" s="34"/>
      <c r="S35" s="34"/>
      <c r="T35" s="34"/>
      <c r="U35" s="68"/>
    </row>
    <row r="36" spans="2:24" s="3" customFormat="1" ht="13" customHeight="1">
      <c r="B36" s="65"/>
      <c r="C36" s="65"/>
      <c r="D36" s="65"/>
      <c r="E36" s="42"/>
      <c r="I36" s="42"/>
      <c r="J36" s="42" t="s">
        <v>357</v>
      </c>
      <c r="K36" s="42" t="s">
        <v>785</v>
      </c>
      <c r="L36" s="42">
        <v>412314.25</v>
      </c>
      <c r="M36" s="42"/>
      <c r="N36" s="42" t="s">
        <v>147</v>
      </c>
      <c r="O36" s="42" t="s">
        <v>687</v>
      </c>
      <c r="P36" s="42">
        <v>692364.64</v>
      </c>
      <c r="Q36" s="42"/>
      <c r="R36" s="34"/>
      <c r="S36" s="34"/>
      <c r="T36" s="34"/>
      <c r="U36" s="68"/>
    </row>
    <row r="37" spans="2:24" s="3" customFormat="1" ht="13" customHeight="1">
      <c r="B37" s="65"/>
      <c r="C37" s="65"/>
      <c r="D37" s="65"/>
      <c r="E37" s="42"/>
      <c r="I37" s="42"/>
      <c r="J37" s="42" t="s">
        <v>359</v>
      </c>
      <c r="K37" s="42" t="s">
        <v>786</v>
      </c>
      <c r="L37" s="42">
        <v>650537.62</v>
      </c>
      <c r="M37" s="42"/>
      <c r="N37" s="42" t="s">
        <v>336</v>
      </c>
      <c r="O37" s="42" t="s">
        <v>688</v>
      </c>
      <c r="P37" s="42">
        <v>905872.48</v>
      </c>
      <c r="Q37" s="42"/>
      <c r="R37" s="34"/>
      <c r="S37" s="34"/>
      <c r="T37" s="34"/>
      <c r="U37" s="68"/>
    </row>
    <row r="38" spans="2:24" s="3" customFormat="1" ht="13" customHeight="1">
      <c r="B38" s="65"/>
      <c r="C38" s="65"/>
      <c r="D38" s="65"/>
      <c r="E38" s="42"/>
      <c r="I38" s="42"/>
      <c r="J38" s="42" t="s">
        <v>361</v>
      </c>
      <c r="K38" s="42" t="s">
        <v>787</v>
      </c>
      <c r="L38" s="42">
        <v>494084.17</v>
      </c>
      <c r="M38" s="42"/>
      <c r="N38" s="42" t="s">
        <v>188</v>
      </c>
      <c r="O38" s="42" t="s">
        <v>689</v>
      </c>
      <c r="P38" s="42">
        <v>2269399.5499999998</v>
      </c>
      <c r="Q38" s="42"/>
      <c r="R38" s="34"/>
      <c r="S38" s="34"/>
      <c r="T38" s="34"/>
      <c r="U38" s="68"/>
    </row>
    <row r="39" spans="2:24" s="3" customFormat="1" ht="13" customHeight="1">
      <c r="B39" s="65"/>
      <c r="C39" s="65"/>
      <c r="D39" s="65"/>
      <c r="E39" s="42"/>
      <c r="I39" s="42"/>
      <c r="J39" s="42" t="s">
        <v>363</v>
      </c>
      <c r="K39" s="42" t="s">
        <v>788</v>
      </c>
      <c r="L39" s="42">
        <v>852025.16</v>
      </c>
      <c r="M39" s="42"/>
      <c r="N39" s="42" t="s">
        <v>341</v>
      </c>
      <c r="O39" s="42" t="s">
        <v>690</v>
      </c>
      <c r="P39" s="42">
        <v>16921872.699999999</v>
      </c>
      <c r="Q39" s="42"/>
      <c r="R39" s="34"/>
      <c r="S39" s="34"/>
      <c r="T39" s="34"/>
      <c r="U39" s="68"/>
    </row>
    <row r="40" spans="2:24" s="3" customFormat="1" ht="18" customHeight="1">
      <c r="B40" s="65"/>
      <c r="C40" s="65"/>
      <c r="D40" s="65"/>
      <c r="E40" s="42"/>
      <c r="I40" s="42"/>
      <c r="J40" s="42"/>
      <c r="K40" s="42"/>
      <c r="L40" s="42"/>
      <c r="M40" s="42"/>
      <c r="N40" s="42" t="s">
        <v>344</v>
      </c>
      <c r="O40" s="42" t="s">
        <v>691</v>
      </c>
      <c r="P40" s="42">
        <v>840698.9</v>
      </c>
      <c r="Q40" s="42"/>
      <c r="R40" s="34"/>
      <c r="S40" s="34"/>
      <c r="T40" s="34"/>
      <c r="U40" s="68"/>
    </row>
    <row r="41" spans="2:24" s="3" customFormat="1" ht="13" customHeight="1">
      <c r="B41" s="65"/>
      <c r="C41" s="65"/>
      <c r="D41" s="65"/>
      <c r="E41" s="42"/>
      <c r="I41" s="42"/>
      <c r="J41" s="44" t="s">
        <v>124</v>
      </c>
      <c r="K41" s="44"/>
      <c r="L41" s="45">
        <f>SUM(D5:D34,H5:H34,L5:L39)</f>
        <v>152948557.84999996</v>
      </c>
      <c r="M41" s="42"/>
      <c r="N41" s="42" t="s">
        <v>347</v>
      </c>
      <c r="O41" s="42" t="s">
        <v>692</v>
      </c>
      <c r="P41" s="42">
        <v>465697.96</v>
      </c>
      <c r="Q41" s="42"/>
      <c r="R41" s="34"/>
      <c r="S41" s="34"/>
      <c r="T41" s="34"/>
      <c r="U41" s="68"/>
      <c r="X41" s="744"/>
    </row>
    <row r="42" spans="2:24" s="3" customFormat="1" ht="13" customHeight="1">
      <c r="B42" s="65"/>
      <c r="C42" s="65"/>
      <c r="D42" s="65"/>
      <c r="E42" s="42"/>
      <c r="I42" s="42"/>
      <c r="J42" s="42"/>
      <c r="K42" s="42"/>
      <c r="L42" s="42"/>
      <c r="M42" s="42"/>
      <c r="N42" s="42" t="s">
        <v>350</v>
      </c>
      <c r="O42" s="42" t="s">
        <v>693</v>
      </c>
      <c r="P42" s="42">
        <v>1384406.66</v>
      </c>
      <c r="Q42" s="42"/>
      <c r="R42" s="34"/>
      <c r="S42" s="34"/>
      <c r="T42" s="34"/>
      <c r="U42" s="68"/>
      <c r="X42" s="744"/>
    </row>
    <row r="43" spans="2:24" s="3" customFormat="1" ht="9" customHeight="1">
      <c r="B43" s="65"/>
      <c r="C43" s="65"/>
      <c r="D43" s="65"/>
      <c r="E43" s="42"/>
      <c r="I43" s="42"/>
      <c r="J43" s="42"/>
      <c r="K43" s="42"/>
      <c r="L43" s="42"/>
      <c r="M43" s="42"/>
      <c r="N43" s="34"/>
      <c r="O43" s="34"/>
      <c r="P43" s="42"/>
      <c r="Q43" s="42"/>
      <c r="R43" s="34"/>
      <c r="S43" s="34"/>
      <c r="T43" s="34"/>
      <c r="U43" s="68"/>
      <c r="X43" s="744"/>
    </row>
    <row r="44" spans="2:24" ht="13" customHeight="1">
      <c r="B44" s="66"/>
      <c r="C44" s="66"/>
      <c r="D44" s="66"/>
      <c r="E44" s="42"/>
      <c r="I44" s="42"/>
      <c r="J44" s="42"/>
      <c r="K44" s="42"/>
      <c r="L44" s="42"/>
      <c r="M44" s="42"/>
      <c r="N44" s="44" t="s">
        <v>152</v>
      </c>
      <c r="O44" s="44"/>
      <c r="P44" s="45">
        <f>SUM(P5:P43)</f>
        <v>107311711.36</v>
      </c>
      <c r="Q44" s="42"/>
      <c r="R44" s="34"/>
      <c r="S44" s="34"/>
      <c r="T44" s="34"/>
      <c r="U44" s="68"/>
      <c r="X44" s="745"/>
    </row>
    <row r="45" spans="2:24" s="2" customFormat="1" ht="15.5">
      <c r="B45" s="63" t="str">
        <f>B1&amp;", Continued"</f>
        <v>Table 5.6, Continued</v>
      </c>
      <c r="C45" s="35"/>
      <c r="D45" s="57"/>
      <c r="E45" s="58"/>
      <c r="F45" s="58"/>
      <c r="G45" s="58"/>
      <c r="H45" s="58"/>
      <c r="I45" s="58"/>
      <c r="J45" s="58"/>
      <c r="K45" s="58"/>
      <c r="L45" s="58"/>
      <c r="M45" s="58"/>
      <c r="N45" s="58"/>
      <c r="O45" s="58"/>
      <c r="P45" s="58"/>
      <c r="Q45" s="58"/>
      <c r="R45" s="58"/>
      <c r="S45" s="58"/>
      <c r="T45" s="58"/>
      <c r="U45" s="67"/>
    </row>
    <row r="46" spans="2:24">
      <c r="B46" s="64" t="s">
        <v>1233</v>
      </c>
      <c r="C46" s="60"/>
      <c r="D46" s="33"/>
      <c r="E46" s="34"/>
      <c r="F46" s="34"/>
      <c r="G46" s="34"/>
      <c r="H46" s="42"/>
      <c r="I46" s="34"/>
      <c r="J46" s="34"/>
      <c r="K46" s="34"/>
      <c r="L46" s="42"/>
      <c r="M46" s="34"/>
      <c r="N46" s="34"/>
      <c r="O46" s="34"/>
      <c r="P46" s="34"/>
      <c r="Q46" s="34"/>
      <c r="R46" s="34"/>
      <c r="S46" s="34"/>
      <c r="T46" s="34"/>
      <c r="U46" s="68"/>
    </row>
    <row r="47" spans="2:24" s="3" customFormat="1" ht="6" customHeight="1" thickBot="1">
      <c r="B47" s="34"/>
      <c r="C47" s="34"/>
      <c r="D47" s="34"/>
      <c r="E47" s="34"/>
      <c r="F47" s="34"/>
      <c r="G47" s="34"/>
      <c r="H47" s="42"/>
      <c r="I47" s="34"/>
      <c r="J47" s="34"/>
      <c r="K47" s="34"/>
      <c r="L47" s="42"/>
      <c r="M47" s="34"/>
      <c r="N47" s="34"/>
      <c r="O47" s="34"/>
      <c r="P47" s="34"/>
      <c r="Q47" s="34"/>
      <c r="R47" s="34"/>
      <c r="S47" s="34"/>
      <c r="T47" s="34"/>
      <c r="U47" s="68"/>
    </row>
    <row r="48" spans="2:24" s="62" customFormat="1">
      <c r="B48" s="37" t="s">
        <v>367</v>
      </c>
      <c r="C48" s="38" t="s">
        <v>252</v>
      </c>
      <c r="D48" s="39" t="s">
        <v>253</v>
      </c>
      <c r="E48" s="61"/>
      <c r="F48" s="37" t="s">
        <v>367</v>
      </c>
      <c r="G48" s="38" t="s">
        <v>252</v>
      </c>
      <c r="H48" s="39" t="s">
        <v>253</v>
      </c>
      <c r="I48" s="61"/>
      <c r="J48" s="37" t="s">
        <v>367</v>
      </c>
      <c r="K48" s="38" t="s">
        <v>252</v>
      </c>
      <c r="L48" s="39" t="s">
        <v>253</v>
      </c>
      <c r="M48" s="61"/>
      <c r="N48" s="37" t="s">
        <v>367</v>
      </c>
      <c r="O48" s="38" t="s">
        <v>252</v>
      </c>
      <c r="P48" s="39" t="s">
        <v>253</v>
      </c>
      <c r="Q48" s="34"/>
      <c r="R48" s="37" t="s">
        <v>367</v>
      </c>
      <c r="S48" s="38" t="s">
        <v>252</v>
      </c>
      <c r="T48" s="39" t="s">
        <v>253</v>
      </c>
      <c r="U48" s="68"/>
    </row>
    <row r="49" spans="2:21" s="3" customFormat="1">
      <c r="B49" s="46" t="s">
        <v>368</v>
      </c>
      <c r="C49" s="34" t="s">
        <v>1234</v>
      </c>
      <c r="D49" s="41">
        <v>78481.58</v>
      </c>
      <c r="E49" s="42"/>
      <c r="F49" s="34" t="s">
        <v>495</v>
      </c>
      <c r="G49" s="34" t="s">
        <v>1235</v>
      </c>
      <c r="H49" s="42">
        <v>1087.1300000000001</v>
      </c>
      <c r="I49" s="42"/>
      <c r="J49" s="42" t="s">
        <v>474</v>
      </c>
      <c r="K49" s="42" t="s">
        <v>1236</v>
      </c>
      <c r="L49" s="42">
        <v>11922.72</v>
      </c>
      <c r="M49" s="42"/>
      <c r="N49" s="42" t="s">
        <v>455</v>
      </c>
      <c r="O49" s="42" t="s">
        <v>1237</v>
      </c>
      <c r="P49" s="42">
        <v>2716.37</v>
      </c>
      <c r="Q49" s="42"/>
      <c r="R49" s="42" t="s">
        <v>432</v>
      </c>
      <c r="S49" s="42" t="s">
        <v>1238</v>
      </c>
      <c r="T49" s="42">
        <v>21223.89</v>
      </c>
      <c r="U49" s="69"/>
    </row>
    <row r="50" spans="2:21" s="3" customFormat="1">
      <c r="B50" s="34" t="s">
        <v>372</v>
      </c>
      <c r="C50" s="34" t="s">
        <v>1239</v>
      </c>
      <c r="D50" s="42">
        <v>3483.53</v>
      </c>
      <c r="E50" s="42"/>
      <c r="F50" s="34" t="s">
        <v>499</v>
      </c>
      <c r="G50" s="34" t="s">
        <v>1240</v>
      </c>
      <c r="H50" s="42">
        <v>3784.46</v>
      </c>
      <c r="I50" s="42"/>
      <c r="J50" s="42" t="s">
        <v>478</v>
      </c>
      <c r="K50" s="42" t="s">
        <v>1241</v>
      </c>
      <c r="L50" s="42">
        <v>10054.879999999999</v>
      </c>
      <c r="M50" s="42"/>
      <c r="N50" s="42" t="s">
        <v>294</v>
      </c>
      <c r="O50" s="42" t="s">
        <v>1242</v>
      </c>
      <c r="P50" s="42">
        <v>114463.82</v>
      </c>
      <c r="Q50" s="42"/>
      <c r="R50" s="42" t="s">
        <v>436</v>
      </c>
      <c r="S50" s="42" t="s">
        <v>1243</v>
      </c>
      <c r="T50" s="42">
        <v>1442.18</v>
      </c>
      <c r="U50" s="69"/>
    </row>
    <row r="51" spans="2:21" s="3" customFormat="1">
      <c r="B51" s="34" t="s">
        <v>376</v>
      </c>
      <c r="C51" s="34" t="s">
        <v>1244</v>
      </c>
      <c r="D51" s="42">
        <v>7896.94</v>
      </c>
      <c r="E51" s="42"/>
      <c r="F51" s="34" t="s">
        <v>502</v>
      </c>
      <c r="G51" s="34" t="s">
        <v>1245</v>
      </c>
      <c r="H51" s="42">
        <v>60882.21</v>
      </c>
      <c r="I51" s="42"/>
      <c r="J51" s="42" t="s">
        <v>482</v>
      </c>
      <c r="K51" s="42" t="s">
        <v>1246</v>
      </c>
      <c r="L51" s="42">
        <v>15403.52</v>
      </c>
      <c r="M51" s="42"/>
      <c r="N51" s="42" t="s">
        <v>460</v>
      </c>
      <c r="O51" s="42" t="s">
        <v>1247</v>
      </c>
      <c r="P51" s="42">
        <v>1580.45</v>
      </c>
      <c r="Q51" s="42"/>
      <c r="R51" s="42" t="s">
        <v>440</v>
      </c>
      <c r="S51" s="42" t="s">
        <v>1248</v>
      </c>
      <c r="T51" s="42">
        <v>2347.69</v>
      </c>
      <c r="U51" s="69"/>
    </row>
    <row r="52" spans="2:21" s="3" customFormat="1">
      <c r="B52" s="34" t="s">
        <v>379</v>
      </c>
      <c r="C52" s="34" t="s">
        <v>1249</v>
      </c>
      <c r="D52" s="42">
        <v>26331.34</v>
      </c>
      <c r="E52" s="42"/>
      <c r="F52" s="34" t="s">
        <v>506</v>
      </c>
      <c r="G52" s="34" t="s">
        <v>1250</v>
      </c>
      <c r="H52" s="42">
        <v>47294.97</v>
      </c>
      <c r="I52" s="42"/>
      <c r="J52" s="42" t="s">
        <v>486</v>
      </c>
      <c r="K52" s="42" t="s">
        <v>1251</v>
      </c>
      <c r="L52" s="42">
        <v>22248.65</v>
      </c>
      <c r="M52" s="42"/>
      <c r="N52" s="42" t="s">
        <v>464</v>
      </c>
      <c r="O52" s="42" t="s">
        <v>1252</v>
      </c>
      <c r="P52" s="42">
        <v>13939.62</v>
      </c>
      <c r="Q52" s="42"/>
      <c r="R52" s="42" t="s">
        <v>444</v>
      </c>
      <c r="S52" s="42" t="s">
        <v>1253</v>
      </c>
      <c r="T52" s="42">
        <v>33222.51</v>
      </c>
      <c r="U52" s="69"/>
    </row>
    <row r="53" spans="2:21" s="3" customFormat="1">
      <c r="B53" s="34" t="s">
        <v>265</v>
      </c>
      <c r="C53" s="34" t="s">
        <v>1254</v>
      </c>
      <c r="D53" s="42">
        <v>66266.100000000006</v>
      </c>
      <c r="E53" s="42"/>
      <c r="F53" s="34" t="s">
        <v>509</v>
      </c>
      <c r="G53" s="34" t="s">
        <v>1255</v>
      </c>
      <c r="H53" s="42">
        <v>29904.35</v>
      </c>
      <c r="I53" s="42"/>
      <c r="J53" s="42" t="s">
        <v>490</v>
      </c>
      <c r="K53" s="42" t="s">
        <v>1256</v>
      </c>
      <c r="L53" s="42">
        <v>10418.11</v>
      </c>
      <c r="M53" s="42"/>
      <c r="N53" s="42" t="s">
        <v>468</v>
      </c>
      <c r="O53" s="42" t="s">
        <v>1257</v>
      </c>
      <c r="P53" s="42">
        <v>15983.67</v>
      </c>
      <c r="Q53" s="42"/>
      <c r="R53" s="42" t="s">
        <v>448</v>
      </c>
      <c r="S53" s="42" t="s">
        <v>1258</v>
      </c>
      <c r="T53" s="42">
        <v>691708.59</v>
      </c>
      <c r="U53" s="69"/>
    </row>
    <row r="54" spans="2:21" s="3" customFormat="1" ht="18" customHeight="1">
      <c r="B54" s="34" t="s">
        <v>385</v>
      </c>
      <c r="C54" s="34" t="s">
        <v>1259</v>
      </c>
      <c r="D54" s="42">
        <v>25650.87</v>
      </c>
      <c r="E54" s="42"/>
      <c r="F54" s="34" t="s">
        <v>512</v>
      </c>
      <c r="G54" s="34" t="s">
        <v>1260</v>
      </c>
      <c r="H54" s="47">
        <v>131575.21</v>
      </c>
      <c r="I54" s="42"/>
      <c r="J54" s="42" t="s">
        <v>493</v>
      </c>
      <c r="K54" s="42" t="s">
        <v>1261</v>
      </c>
      <c r="L54" s="42">
        <v>1604.84</v>
      </c>
      <c r="M54" s="42"/>
      <c r="N54" s="42" t="s">
        <v>471</v>
      </c>
      <c r="O54" s="42" t="s">
        <v>1262</v>
      </c>
      <c r="P54" s="42">
        <v>5053.1899999999996</v>
      </c>
      <c r="Q54" s="42"/>
      <c r="R54" s="42" t="s">
        <v>452</v>
      </c>
      <c r="S54" s="42" t="s">
        <v>1263</v>
      </c>
      <c r="T54" s="42">
        <v>220209.23</v>
      </c>
      <c r="U54" s="69"/>
    </row>
    <row r="55" spans="2:21" s="3" customFormat="1">
      <c r="B55" s="34" t="s">
        <v>267</v>
      </c>
      <c r="C55" s="34" t="s">
        <v>1264</v>
      </c>
      <c r="D55" s="42">
        <v>4096.1899999999996</v>
      </c>
      <c r="E55" s="42"/>
      <c r="F55" s="34" t="s">
        <v>369</v>
      </c>
      <c r="G55" s="34" t="s">
        <v>1265</v>
      </c>
      <c r="H55" s="41">
        <v>3852.25</v>
      </c>
      <c r="I55" s="42"/>
      <c r="J55" s="42" t="s">
        <v>496</v>
      </c>
      <c r="K55" s="42" t="s">
        <v>1266</v>
      </c>
      <c r="L55" s="42">
        <v>1206.3499999999999</v>
      </c>
      <c r="M55" s="42"/>
      <c r="N55" s="42" t="s">
        <v>475</v>
      </c>
      <c r="O55" s="42" t="s">
        <v>1267</v>
      </c>
      <c r="P55" s="42">
        <v>30503.47</v>
      </c>
      <c r="Q55" s="42"/>
      <c r="R55" s="42" t="s">
        <v>456</v>
      </c>
      <c r="S55" s="42" t="s">
        <v>1268</v>
      </c>
      <c r="T55" s="42">
        <v>1642.83</v>
      </c>
      <c r="U55" s="69"/>
    </row>
    <row r="56" spans="2:21" s="3" customFormat="1">
      <c r="B56" s="34" t="s">
        <v>391</v>
      </c>
      <c r="C56" s="34" t="s">
        <v>1269</v>
      </c>
      <c r="D56" s="42">
        <v>176907.47</v>
      </c>
      <c r="E56" s="42"/>
      <c r="F56" s="42" t="s">
        <v>373</v>
      </c>
      <c r="G56" s="42" t="s">
        <v>1270</v>
      </c>
      <c r="H56" s="42">
        <v>27472.61</v>
      </c>
      <c r="I56" s="42"/>
      <c r="J56" s="34" t="s">
        <v>500</v>
      </c>
      <c r="K56" s="34" t="s">
        <v>1271</v>
      </c>
      <c r="L56" s="42">
        <v>2998.3</v>
      </c>
      <c r="M56" s="42"/>
      <c r="N56" s="42" t="s">
        <v>479</v>
      </c>
      <c r="O56" s="42" t="s">
        <v>1272</v>
      </c>
      <c r="P56" s="42">
        <v>900.04</v>
      </c>
      <c r="Q56" s="42"/>
      <c r="R56" s="42" t="s">
        <v>457</v>
      </c>
      <c r="S56" s="42" t="s">
        <v>1273</v>
      </c>
      <c r="T56" s="42">
        <v>11499.81</v>
      </c>
      <c r="U56" s="69"/>
    </row>
    <row r="57" spans="2:21" s="3" customFormat="1">
      <c r="B57" s="43" t="s">
        <v>395</v>
      </c>
      <c r="C57" s="43" t="s">
        <v>1274</v>
      </c>
      <c r="D57" s="42">
        <v>91323.24</v>
      </c>
      <c r="E57" s="42"/>
      <c r="F57" s="42" t="s">
        <v>311</v>
      </c>
      <c r="G57" s="42" t="s">
        <v>1275</v>
      </c>
      <c r="H57" s="42">
        <v>79574.039999999994</v>
      </c>
      <c r="I57" s="42"/>
      <c r="J57" s="34" t="s">
        <v>503</v>
      </c>
      <c r="K57" s="34" t="s">
        <v>1276</v>
      </c>
      <c r="L57" s="42">
        <v>12998.98</v>
      </c>
      <c r="M57" s="42"/>
      <c r="N57" s="42" t="s">
        <v>483</v>
      </c>
      <c r="O57" s="42" t="s">
        <v>1277</v>
      </c>
      <c r="P57" s="42">
        <v>11684.1</v>
      </c>
      <c r="Q57" s="42"/>
      <c r="R57" s="42" t="s">
        <v>461</v>
      </c>
      <c r="S57" s="42" t="s">
        <v>1278</v>
      </c>
      <c r="T57" s="42">
        <v>349013.9</v>
      </c>
      <c r="U57" s="69"/>
    </row>
    <row r="58" spans="2:21" s="3" customFormat="1">
      <c r="B58" s="34" t="s">
        <v>399</v>
      </c>
      <c r="C58" s="34" t="s">
        <v>1279</v>
      </c>
      <c r="D58" s="42">
        <v>60505.36</v>
      </c>
      <c r="E58" s="42"/>
      <c r="F58" s="42" t="s">
        <v>380</v>
      </c>
      <c r="G58" s="42" t="s">
        <v>1280</v>
      </c>
      <c r="H58" s="42">
        <v>16102.95</v>
      </c>
      <c r="I58" s="42"/>
      <c r="J58" s="34" t="s">
        <v>507</v>
      </c>
      <c r="K58" s="34" t="s">
        <v>1281</v>
      </c>
      <c r="L58" s="42">
        <v>20378.080000000002</v>
      </c>
      <c r="M58" s="42"/>
      <c r="N58" s="42" t="s">
        <v>487</v>
      </c>
      <c r="O58" s="42" t="s">
        <v>1282</v>
      </c>
      <c r="P58" s="42">
        <v>2499.48</v>
      </c>
      <c r="Q58" s="42"/>
      <c r="R58" s="42" t="s">
        <v>465</v>
      </c>
      <c r="S58" s="42" t="s">
        <v>1283</v>
      </c>
      <c r="T58" s="42">
        <v>30516.98</v>
      </c>
      <c r="U58" s="69"/>
    </row>
    <row r="59" spans="2:21" s="3" customFormat="1" ht="18" customHeight="1">
      <c r="B59" s="34" t="s">
        <v>403</v>
      </c>
      <c r="C59" s="34" t="s">
        <v>1284</v>
      </c>
      <c r="D59" s="42">
        <v>123889.7</v>
      </c>
      <c r="E59" s="42"/>
      <c r="F59" s="42" t="s">
        <v>383</v>
      </c>
      <c r="G59" s="42" t="s">
        <v>1285</v>
      </c>
      <c r="H59" s="42">
        <v>16517.72</v>
      </c>
      <c r="I59" s="42"/>
      <c r="J59" s="34" t="s">
        <v>510</v>
      </c>
      <c r="K59" s="34" t="s">
        <v>1286</v>
      </c>
      <c r="L59" s="42">
        <v>1534.4</v>
      </c>
      <c r="M59" s="42"/>
      <c r="N59" s="42" t="s">
        <v>491</v>
      </c>
      <c r="O59" s="42" t="s">
        <v>1287</v>
      </c>
      <c r="P59" s="42">
        <v>21264.55</v>
      </c>
      <c r="Q59" s="42"/>
      <c r="R59" s="42" t="s">
        <v>355</v>
      </c>
      <c r="S59" s="42" t="s">
        <v>1288</v>
      </c>
      <c r="T59" s="42">
        <v>2377.48</v>
      </c>
      <c r="U59" s="69"/>
    </row>
    <row r="60" spans="2:21" s="3" customFormat="1">
      <c r="B60" s="34" t="s">
        <v>407</v>
      </c>
      <c r="C60" s="34" t="s">
        <v>1289</v>
      </c>
      <c r="D60" s="42">
        <v>800316.77</v>
      </c>
      <c r="E60" s="42"/>
      <c r="F60" s="42" t="s">
        <v>386</v>
      </c>
      <c r="G60" s="42" t="s">
        <v>1290</v>
      </c>
      <c r="H60" s="42">
        <v>2526.58</v>
      </c>
      <c r="I60" s="42"/>
      <c r="J60" s="34" t="s">
        <v>513</v>
      </c>
      <c r="K60" s="34" t="s">
        <v>1291</v>
      </c>
      <c r="L60" s="42">
        <v>49366.1</v>
      </c>
      <c r="M60" s="42"/>
      <c r="N60" s="42" t="s">
        <v>312</v>
      </c>
      <c r="O60" s="42" t="s">
        <v>1292</v>
      </c>
      <c r="P60" s="42">
        <v>294079.53000000003</v>
      </c>
      <c r="Q60" s="42"/>
      <c r="R60" s="42" t="s">
        <v>472</v>
      </c>
      <c r="S60" s="42" t="s">
        <v>1293</v>
      </c>
      <c r="T60" s="42">
        <v>20698.02</v>
      </c>
      <c r="U60" s="69"/>
    </row>
    <row r="61" spans="2:21" s="3" customFormat="1">
      <c r="B61" s="34" t="s">
        <v>411</v>
      </c>
      <c r="C61" s="34" t="s">
        <v>1294</v>
      </c>
      <c r="D61" s="42">
        <v>11545.88</v>
      </c>
      <c r="E61" s="42"/>
      <c r="F61" s="42" t="s">
        <v>389</v>
      </c>
      <c r="G61" s="42" t="s">
        <v>1295</v>
      </c>
      <c r="H61" s="42">
        <v>916.3</v>
      </c>
      <c r="I61" s="42"/>
      <c r="J61" s="34" t="s">
        <v>370</v>
      </c>
      <c r="K61" s="34" t="s">
        <v>1296</v>
      </c>
      <c r="L61" s="41">
        <v>7918.67</v>
      </c>
      <c r="M61" s="42"/>
      <c r="N61" s="42" t="s">
        <v>497</v>
      </c>
      <c r="O61" s="42" t="s">
        <v>1297</v>
      </c>
      <c r="P61" s="42">
        <v>104341.2</v>
      </c>
      <c r="Q61" s="42"/>
      <c r="R61" s="42" t="s">
        <v>476</v>
      </c>
      <c r="S61" s="42" t="s">
        <v>1298</v>
      </c>
      <c r="T61" s="42">
        <v>14723.08</v>
      </c>
      <c r="U61" s="69"/>
    </row>
    <row r="62" spans="2:21" s="3" customFormat="1">
      <c r="B62" s="43" t="s">
        <v>415</v>
      </c>
      <c r="C62" s="43" t="s">
        <v>1299</v>
      </c>
      <c r="D62" s="42">
        <v>3464.6</v>
      </c>
      <c r="E62" s="42"/>
      <c r="F62" s="42" t="s">
        <v>392</v>
      </c>
      <c r="G62" s="42" t="s">
        <v>1300</v>
      </c>
      <c r="H62" s="42">
        <v>60131.24</v>
      </c>
      <c r="I62" s="42"/>
      <c r="J62" s="42" t="s">
        <v>374</v>
      </c>
      <c r="K62" s="42" t="s">
        <v>1301</v>
      </c>
      <c r="L62" s="42">
        <v>33545.120000000003</v>
      </c>
      <c r="M62" s="42"/>
      <c r="N62" s="34" t="s">
        <v>501</v>
      </c>
      <c r="O62" s="34" t="s">
        <v>1302</v>
      </c>
      <c r="P62" s="42">
        <v>18369.27</v>
      </c>
      <c r="Q62" s="42"/>
      <c r="R62" s="42" t="s">
        <v>480</v>
      </c>
      <c r="S62" s="42" t="s">
        <v>1303</v>
      </c>
      <c r="T62" s="42">
        <v>56032.35</v>
      </c>
      <c r="U62" s="69"/>
    </row>
    <row r="63" spans="2:21" s="3" customFormat="1">
      <c r="B63" s="34" t="s">
        <v>418</v>
      </c>
      <c r="C63" s="34" t="s">
        <v>1304</v>
      </c>
      <c r="D63" s="42">
        <v>28264.2</v>
      </c>
      <c r="E63" s="42"/>
      <c r="F63" s="42" t="s">
        <v>396</v>
      </c>
      <c r="G63" s="42" t="s">
        <v>1305</v>
      </c>
      <c r="H63" s="42">
        <v>121251.99</v>
      </c>
      <c r="I63" s="42"/>
      <c r="J63" s="42" t="s">
        <v>377</v>
      </c>
      <c r="K63" s="42" t="s">
        <v>1306</v>
      </c>
      <c r="L63" s="42">
        <v>52467.46</v>
      </c>
      <c r="M63" s="42"/>
      <c r="N63" s="34" t="s">
        <v>504</v>
      </c>
      <c r="O63" s="34" t="s">
        <v>1307</v>
      </c>
      <c r="P63" s="42">
        <v>12248.02</v>
      </c>
      <c r="Q63" s="42"/>
      <c r="R63" s="42" t="s">
        <v>484</v>
      </c>
      <c r="S63" s="42" t="s">
        <v>1308</v>
      </c>
      <c r="T63" s="42">
        <v>2141.63</v>
      </c>
      <c r="U63" s="69"/>
    </row>
    <row r="64" spans="2:21" s="3" customFormat="1" ht="18" customHeight="1">
      <c r="B64" s="34" t="s">
        <v>422</v>
      </c>
      <c r="C64" s="34" t="s">
        <v>1309</v>
      </c>
      <c r="D64" s="42">
        <v>2168.75</v>
      </c>
      <c r="E64" s="42"/>
      <c r="F64" s="42" t="s">
        <v>400</v>
      </c>
      <c r="G64" s="42" t="s">
        <v>1310</v>
      </c>
      <c r="H64" s="42">
        <v>6348.98</v>
      </c>
      <c r="I64" s="42"/>
      <c r="J64" s="42" t="s">
        <v>381</v>
      </c>
      <c r="K64" s="42" t="s">
        <v>1311</v>
      </c>
      <c r="L64" s="42">
        <v>1401683.49</v>
      </c>
      <c r="M64" s="42"/>
      <c r="N64" s="34" t="s">
        <v>508</v>
      </c>
      <c r="O64" s="34" t="s">
        <v>1312</v>
      </c>
      <c r="P64" s="42">
        <v>5074.8900000000003</v>
      </c>
      <c r="Q64" s="42"/>
      <c r="R64" s="42" t="s">
        <v>488</v>
      </c>
      <c r="S64" s="42" t="s">
        <v>1313</v>
      </c>
      <c r="T64" s="42">
        <v>43247.55</v>
      </c>
      <c r="U64" s="69"/>
    </row>
    <row r="65" spans="2:21" s="3" customFormat="1">
      <c r="B65" s="34" t="s">
        <v>426</v>
      </c>
      <c r="C65" s="34" t="s">
        <v>1314</v>
      </c>
      <c r="D65" s="42">
        <v>26420.78</v>
      </c>
      <c r="E65" s="42"/>
      <c r="F65" s="42" t="s">
        <v>404</v>
      </c>
      <c r="G65" s="42" t="s">
        <v>1315</v>
      </c>
      <c r="H65" s="42">
        <v>34146.949999999997</v>
      </c>
      <c r="I65" s="42"/>
      <c r="J65" s="42" t="s">
        <v>263</v>
      </c>
      <c r="K65" s="42" t="s">
        <v>1316</v>
      </c>
      <c r="L65" s="42">
        <v>4643.82</v>
      </c>
      <c r="M65" s="42"/>
      <c r="N65" s="34" t="s">
        <v>511</v>
      </c>
      <c r="O65" s="34" t="s">
        <v>1317</v>
      </c>
      <c r="P65" s="42">
        <v>12510.98</v>
      </c>
      <c r="Q65" s="42"/>
      <c r="R65" s="42" t="s">
        <v>359</v>
      </c>
      <c r="S65" s="42" t="s">
        <v>1318</v>
      </c>
      <c r="T65" s="42">
        <v>69811.97</v>
      </c>
      <c r="U65" s="69"/>
    </row>
    <row r="66" spans="2:21" s="3" customFormat="1">
      <c r="B66" s="34" t="s">
        <v>429</v>
      </c>
      <c r="C66" s="34" t="s">
        <v>1319</v>
      </c>
      <c r="D66" s="42">
        <v>1610.29</v>
      </c>
      <c r="E66" s="42"/>
      <c r="F66" s="42" t="s">
        <v>408</v>
      </c>
      <c r="G66" s="42" t="s">
        <v>1320</v>
      </c>
      <c r="H66" s="42">
        <v>338606.64</v>
      </c>
      <c r="I66" s="42"/>
      <c r="J66" s="42" t="s">
        <v>387</v>
      </c>
      <c r="K66" s="42" t="s">
        <v>1321</v>
      </c>
      <c r="L66" s="42">
        <v>8650.6</v>
      </c>
      <c r="M66" s="42"/>
      <c r="N66" s="34" t="s">
        <v>514</v>
      </c>
      <c r="O66" s="34" t="s">
        <v>1322</v>
      </c>
      <c r="P66" s="42">
        <v>126747.02</v>
      </c>
      <c r="Q66" s="42"/>
      <c r="R66" s="42" t="s">
        <v>494</v>
      </c>
      <c r="S66" s="42" t="s">
        <v>1323</v>
      </c>
      <c r="T66" s="42">
        <v>60917.41</v>
      </c>
      <c r="U66" s="69"/>
    </row>
    <row r="67" spans="2:21" s="3" customFormat="1">
      <c r="B67" s="34" t="s">
        <v>433</v>
      </c>
      <c r="C67" s="34" t="s">
        <v>1324</v>
      </c>
      <c r="D67" s="42">
        <v>9721.43</v>
      </c>
      <c r="E67" s="42"/>
      <c r="F67" s="42" t="s">
        <v>412</v>
      </c>
      <c r="G67" s="42" t="s">
        <v>1325</v>
      </c>
      <c r="H67" s="42">
        <v>1838.02</v>
      </c>
      <c r="I67" s="42"/>
      <c r="J67" s="42" t="s">
        <v>390</v>
      </c>
      <c r="K67" s="42" t="s">
        <v>1326</v>
      </c>
      <c r="L67" s="42">
        <v>50054.7</v>
      </c>
      <c r="M67" s="42"/>
      <c r="N67" s="34" t="s">
        <v>371</v>
      </c>
      <c r="O67" s="34" t="s">
        <v>1327</v>
      </c>
      <c r="P67" s="41">
        <v>9051.81</v>
      </c>
      <c r="Q67" s="42"/>
      <c r="R67" s="42" t="s">
        <v>498</v>
      </c>
      <c r="S67" s="42" t="s">
        <v>1328</v>
      </c>
      <c r="T67" s="42">
        <v>276602.12</v>
      </c>
      <c r="U67" s="69"/>
    </row>
    <row r="68" spans="2:21" s="3" customFormat="1">
      <c r="B68" s="34" t="s">
        <v>437</v>
      </c>
      <c r="C68" s="34" t="s">
        <v>1329</v>
      </c>
      <c r="D68" s="42">
        <v>2361.2199999999998</v>
      </c>
      <c r="E68" s="42"/>
      <c r="F68" s="42" t="s">
        <v>329</v>
      </c>
      <c r="G68" s="42" t="s">
        <v>1330</v>
      </c>
      <c r="H68" s="42">
        <v>300.95</v>
      </c>
      <c r="I68" s="42"/>
      <c r="J68" s="42" t="s">
        <v>393</v>
      </c>
      <c r="K68" s="42" t="s">
        <v>1331</v>
      </c>
      <c r="L68" s="42">
        <v>84418.49</v>
      </c>
      <c r="M68" s="42"/>
      <c r="N68" s="42" t="s">
        <v>375</v>
      </c>
      <c r="O68" s="42" t="s">
        <v>1332</v>
      </c>
      <c r="P68" s="42">
        <v>25854.2</v>
      </c>
      <c r="Q68" s="42"/>
      <c r="R68" s="34"/>
      <c r="S68" s="34"/>
      <c r="T68" s="34"/>
      <c r="U68" s="69"/>
    </row>
    <row r="69" spans="2:21" s="3" customFormat="1" ht="18" customHeight="1">
      <c r="B69" s="34" t="s">
        <v>441</v>
      </c>
      <c r="C69" s="34" t="s">
        <v>1333</v>
      </c>
      <c r="D69" s="42">
        <v>59103.82</v>
      </c>
      <c r="E69" s="42"/>
      <c r="F69" s="42" t="s">
        <v>419</v>
      </c>
      <c r="G69" s="42" t="s">
        <v>1334</v>
      </c>
      <c r="H69" s="42">
        <v>8276.49</v>
      </c>
      <c r="I69" s="42"/>
      <c r="J69" s="42" t="s">
        <v>397</v>
      </c>
      <c r="K69" s="42" t="s">
        <v>1335</v>
      </c>
      <c r="L69" s="42">
        <v>5901.69</v>
      </c>
      <c r="M69" s="42"/>
      <c r="N69" s="42" t="s">
        <v>378</v>
      </c>
      <c r="O69" s="42" t="s">
        <v>1336</v>
      </c>
      <c r="P69" s="42">
        <v>0</v>
      </c>
      <c r="Q69" s="42"/>
      <c r="R69" s="65"/>
      <c r="S69" s="65"/>
      <c r="T69" s="65"/>
      <c r="U69" s="69"/>
    </row>
    <row r="70" spans="2:21" s="3" customFormat="1">
      <c r="B70" s="34" t="s">
        <v>445</v>
      </c>
      <c r="C70" s="34" t="s">
        <v>1337</v>
      </c>
      <c r="D70" s="42">
        <v>6723.13</v>
      </c>
      <c r="E70" s="42"/>
      <c r="F70" s="42" t="s">
        <v>423</v>
      </c>
      <c r="G70" s="42" t="s">
        <v>1338</v>
      </c>
      <c r="H70" s="42">
        <v>110332.28</v>
      </c>
      <c r="I70" s="42"/>
      <c r="J70" s="42" t="s">
        <v>401</v>
      </c>
      <c r="K70" s="42" t="s">
        <v>1339</v>
      </c>
      <c r="L70" s="42">
        <v>2659.41</v>
      </c>
      <c r="M70" s="42"/>
      <c r="N70" s="42" t="s">
        <v>382</v>
      </c>
      <c r="O70" s="42" t="s">
        <v>1340</v>
      </c>
      <c r="P70" s="42">
        <v>15620.44</v>
      </c>
      <c r="Q70" s="42"/>
      <c r="R70" s="44" t="s">
        <v>505</v>
      </c>
      <c r="S70" s="44"/>
      <c r="T70" s="45">
        <f>SUM(D49:D83,H49:H83,L49:L83,P49:P83,T49:T67)</f>
        <v>10833224.000000006</v>
      </c>
      <c r="U70" s="69"/>
    </row>
    <row r="71" spans="2:21" s="3" customFormat="1">
      <c r="B71" s="34" t="s">
        <v>449</v>
      </c>
      <c r="C71" s="34" t="s">
        <v>1341</v>
      </c>
      <c r="D71" s="42">
        <v>30904.65</v>
      </c>
      <c r="E71" s="42"/>
      <c r="F71" s="42" t="s">
        <v>427</v>
      </c>
      <c r="G71" s="42" t="s">
        <v>1342</v>
      </c>
      <c r="H71" s="42">
        <v>25602.09</v>
      </c>
      <c r="I71" s="42"/>
      <c r="J71" s="42" t="s">
        <v>405</v>
      </c>
      <c r="K71" s="42" t="s">
        <v>1343</v>
      </c>
      <c r="L71" s="42">
        <v>29364.84</v>
      </c>
      <c r="M71" s="42"/>
      <c r="N71" s="42" t="s">
        <v>384</v>
      </c>
      <c r="O71" s="42" t="s">
        <v>1344</v>
      </c>
      <c r="P71" s="42">
        <v>31189.279999999999</v>
      </c>
      <c r="Q71" s="42"/>
      <c r="R71" s="44" t="s">
        <v>124</v>
      </c>
      <c r="S71" s="44"/>
      <c r="T71" s="45">
        <f>L41</f>
        <v>152948557.84999996</v>
      </c>
      <c r="U71" s="69"/>
    </row>
    <row r="72" spans="2:21" s="3" customFormat="1">
      <c r="B72" s="34" t="s">
        <v>453</v>
      </c>
      <c r="C72" s="34" t="s">
        <v>1345</v>
      </c>
      <c r="D72" s="42">
        <v>12025.7</v>
      </c>
      <c r="E72" s="42"/>
      <c r="F72" s="42" t="s">
        <v>430</v>
      </c>
      <c r="G72" s="42" t="s">
        <v>1346</v>
      </c>
      <c r="H72" s="42">
        <v>18822.04</v>
      </c>
      <c r="I72" s="42"/>
      <c r="J72" s="42" t="s">
        <v>409</v>
      </c>
      <c r="K72" s="42" t="s">
        <v>1347</v>
      </c>
      <c r="L72" s="42">
        <v>9290.3700000000008</v>
      </c>
      <c r="M72" s="42"/>
      <c r="N72" s="42" t="s">
        <v>388</v>
      </c>
      <c r="O72" s="42" t="s">
        <v>1348</v>
      </c>
      <c r="P72" s="42">
        <v>11461.86</v>
      </c>
      <c r="Q72" s="42"/>
      <c r="R72" s="44" t="s">
        <v>152</v>
      </c>
      <c r="S72" s="44"/>
      <c r="T72" s="45">
        <f>P44</f>
        <v>107311711.36</v>
      </c>
      <c r="U72" s="69"/>
    </row>
    <row r="73" spans="2:21" s="3" customFormat="1" ht="13.5" thickBot="1">
      <c r="B73" s="34" t="s">
        <v>289</v>
      </c>
      <c r="C73" s="34" t="s">
        <v>1349</v>
      </c>
      <c r="D73" s="42">
        <v>1857</v>
      </c>
      <c r="E73" s="42"/>
      <c r="F73" s="42" t="s">
        <v>434</v>
      </c>
      <c r="G73" s="42" t="s">
        <v>1350</v>
      </c>
      <c r="H73" s="42">
        <v>13562.8</v>
      </c>
      <c r="I73" s="42"/>
      <c r="J73" s="42" t="s">
        <v>413</v>
      </c>
      <c r="K73" s="42" t="s">
        <v>1351</v>
      </c>
      <c r="L73" s="42">
        <v>1165.7</v>
      </c>
      <c r="M73" s="42"/>
      <c r="N73" s="42" t="s">
        <v>333</v>
      </c>
      <c r="O73" s="42" t="s">
        <v>1352</v>
      </c>
      <c r="P73" s="42">
        <v>18046.66</v>
      </c>
      <c r="Q73" s="42"/>
      <c r="R73" s="34"/>
      <c r="S73" s="34"/>
      <c r="T73" s="42"/>
      <c r="U73" s="69"/>
    </row>
    <row r="74" spans="2:21" s="3" customFormat="1" ht="18" customHeight="1" thickTop="1" thickBot="1">
      <c r="B74" s="34" t="s">
        <v>458</v>
      </c>
      <c r="C74" s="34" t="s">
        <v>1353</v>
      </c>
      <c r="D74" s="42">
        <v>1149.4100000000001</v>
      </c>
      <c r="E74" s="42"/>
      <c r="F74" s="42" t="s">
        <v>438</v>
      </c>
      <c r="G74" s="42" t="s">
        <v>1354</v>
      </c>
      <c r="H74" s="42">
        <v>19732.88</v>
      </c>
      <c r="I74" s="42"/>
      <c r="J74" s="42" t="s">
        <v>416</v>
      </c>
      <c r="K74" s="42" t="s">
        <v>1355</v>
      </c>
      <c r="L74" s="42">
        <v>4462.18</v>
      </c>
      <c r="M74" s="42"/>
      <c r="N74" s="42" t="s">
        <v>394</v>
      </c>
      <c r="O74" s="42" t="s">
        <v>1356</v>
      </c>
      <c r="P74" s="42">
        <v>153365.73000000001</v>
      </c>
      <c r="Q74" s="42"/>
      <c r="R74" s="55" t="s">
        <v>153</v>
      </c>
      <c r="S74" s="55"/>
      <c r="T74" s="56">
        <f>SUM(T70:T72)</f>
        <v>271093493.20999998</v>
      </c>
      <c r="U74" s="69"/>
    </row>
    <row r="75" spans="2:21" s="3" customFormat="1" ht="13.5" thickTop="1">
      <c r="B75" s="34" t="s">
        <v>462</v>
      </c>
      <c r="C75" s="34" t="s">
        <v>1357</v>
      </c>
      <c r="D75" s="42">
        <v>30541.39</v>
      </c>
      <c r="E75" s="42"/>
      <c r="F75" s="42" t="s">
        <v>442</v>
      </c>
      <c r="G75" s="42" t="s">
        <v>1358</v>
      </c>
      <c r="H75" s="42">
        <v>4901.37</v>
      </c>
      <c r="I75" s="42"/>
      <c r="J75" s="42" t="s">
        <v>420</v>
      </c>
      <c r="K75" s="42" t="s">
        <v>1359</v>
      </c>
      <c r="L75" s="42">
        <v>9032.82</v>
      </c>
      <c r="M75" s="42"/>
      <c r="N75" s="42" t="s">
        <v>398</v>
      </c>
      <c r="O75" s="42" t="s">
        <v>1360</v>
      </c>
      <c r="P75" s="42">
        <v>506657.47</v>
      </c>
      <c r="Q75" s="42"/>
      <c r="R75" s="65"/>
      <c r="S75" s="65"/>
      <c r="T75" s="65"/>
      <c r="U75" s="69"/>
    </row>
    <row r="76" spans="2:21" s="3" customFormat="1">
      <c r="B76" s="34" t="s">
        <v>466</v>
      </c>
      <c r="C76" s="34" t="s">
        <v>1361</v>
      </c>
      <c r="D76" s="42">
        <v>24468.91</v>
      </c>
      <c r="E76" s="42"/>
      <c r="F76" s="42" t="s">
        <v>446</v>
      </c>
      <c r="G76" s="42" t="s">
        <v>1362</v>
      </c>
      <c r="H76" s="42">
        <v>17027.39</v>
      </c>
      <c r="I76" s="42"/>
      <c r="J76" s="42" t="s">
        <v>424</v>
      </c>
      <c r="K76" s="42" t="s">
        <v>1363</v>
      </c>
      <c r="L76" s="42">
        <v>14527.9</v>
      </c>
      <c r="M76" s="42"/>
      <c r="N76" s="42" t="s">
        <v>402</v>
      </c>
      <c r="O76" s="42" t="s">
        <v>1364</v>
      </c>
      <c r="P76" s="42">
        <v>114949.04</v>
      </c>
      <c r="Q76" s="42"/>
      <c r="R76" s="65"/>
      <c r="S76" s="65"/>
      <c r="T76" s="65"/>
      <c r="U76" s="69"/>
    </row>
    <row r="77" spans="2:21" s="3" customFormat="1">
      <c r="B77" s="34" t="s">
        <v>469</v>
      </c>
      <c r="C77" s="34" t="s">
        <v>1365</v>
      </c>
      <c r="D77" s="42">
        <v>1623.84</v>
      </c>
      <c r="E77" s="42"/>
      <c r="F77" s="42" t="s">
        <v>450</v>
      </c>
      <c r="G77" s="42" t="s">
        <v>1366</v>
      </c>
      <c r="H77" s="42">
        <v>22422.12</v>
      </c>
      <c r="I77" s="42"/>
      <c r="J77" s="42" t="s">
        <v>428</v>
      </c>
      <c r="K77" s="42" t="s">
        <v>1367</v>
      </c>
      <c r="L77" s="42">
        <v>28795.56</v>
      </c>
      <c r="M77" s="42"/>
      <c r="N77" s="42" t="s">
        <v>406</v>
      </c>
      <c r="O77" s="42" t="s">
        <v>1368</v>
      </c>
      <c r="P77" s="42">
        <v>2431.7199999999998</v>
      </c>
      <c r="Q77" s="42"/>
      <c r="R77" s="65"/>
      <c r="S77" s="65"/>
      <c r="T77" s="65"/>
      <c r="U77" s="69"/>
    </row>
    <row r="78" spans="2:21" s="3" customFormat="1">
      <c r="B78" s="34" t="s">
        <v>473</v>
      </c>
      <c r="C78" s="34" t="s">
        <v>1369</v>
      </c>
      <c r="D78" s="42">
        <v>34247.26</v>
      </c>
      <c r="E78" s="42"/>
      <c r="F78" s="42" t="s">
        <v>454</v>
      </c>
      <c r="G78" s="42" t="s">
        <v>1370</v>
      </c>
      <c r="H78" s="42">
        <v>12830.87</v>
      </c>
      <c r="I78" s="42"/>
      <c r="J78" s="42" t="s">
        <v>431</v>
      </c>
      <c r="K78" s="42" t="s">
        <v>1371</v>
      </c>
      <c r="L78" s="42">
        <v>1507.28</v>
      </c>
      <c r="M78" s="42"/>
      <c r="N78" s="42" t="s">
        <v>410</v>
      </c>
      <c r="O78" s="42" t="s">
        <v>1372</v>
      </c>
      <c r="P78" s="42">
        <v>10770.56</v>
      </c>
      <c r="Q78" s="42"/>
      <c r="R78" s="65"/>
      <c r="S78" s="65"/>
      <c r="T78" s="65"/>
      <c r="U78" s="69"/>
    </row>
    <row r="79" spans="2:21" s="3" customFormat="1" ht="18" customHeight="1">
      <c r="B79" s="34" t="s">
        <v>477</v>
      </c>
      <c r="C79" s="34" t="s">
        <v>1373</v>
      </c>
      <c r="D79" s="42">
        <v>48197.7</v>
      </c>
      <c r="E79" s="42"/>
      <c r="F79" s="42" t="s">
        <v>78</v>
      </c>
      <c r="G79" s="42" t="s">
        <v>1374</v>
      </c>
      <c r="H79" s="42">
        <v>66260.66</v>
      </c>
      <c r="I79" s="42"/>
      <c r="J79" s="42" t="s">
        <v>435</v>
      </c>
      <c r="K79" s="42" t="s">
        <v>1375</v>
      </c>
      <c r="L79" s="42">
        <v>33257.75</v>
      </c>
      <c r="M79" s="42"/>
      <c r="N79" s="42" t="s">
        <v>414</v>
      </c>
      <c r="O79" s="42" t="s">
        <v>1376</v>
      </c>
      <c r="P79" s="42">
        <v>17702.419999999998</v>
      </c>
      <c r="Q79" s="42"/>
      <c r="R79" s="65"/>
      <c r="S79" s="65"/>
      <c r="T79" s="65"/>
      <c r="U79" s="69"/>
    </row>
    <row r="80" spans="2:21" s="3" customFormat="1">
      <c r="B80" s="34" t="s">
        <v>481</v>
      </c>
      <c r="C80" s="34" t="s">
        <v>1377</v>
      </c>
      <c r="D80" s="42">
        <v>27643.4</v>
      </c>
      <c r="E80" s="42"/>
      <c r="F80" s="42" t="s">
        <v>459</v>
      </c>
      <c r="G80" s="42" t="s">
        <v>1378</v>
      </c>
      <c r="H80" s="42">
        <v>10664.82</v>
      </c>
      <c r="I80" s="42"/>
      <c r="J80" s="42" t="s">
        <v>439</v>
      </c>
      <c r="K80" s="42" t="s">
        <v>1379</v>
      </c>
      <c r="L80" s="42">
        <v>832.29</v>
      </c>
      <c r="M80" s="42"/>
      <c r="N80" s="42" t="s">
        <v>417</v>
      </c>
      <c r="O80" s="42" t="s">
        <v>1380</v>
      </c>
      <c r="P80" s="42">
        <v>53977.41</v>
      </c>
      <c r="Q80" s="42"/>
      <c r="R80" s="65"/>
      <c r="S80" s="65"/>
      <c r="T80" s="65"/>
      <c r="U80" s="69"/>
    </row>
    <row r="81" spans="2:21" s="3" customFormat="1">
      <c r="B81" s="34" t="s">
        <v>485</v>
      </c>
      <c r="C81" s="34" t="s">
        <v>1381</v>
      </c>
      <c r="D81" s="42">
        <v>110232.02</v>
      </c>
      <c r="E81" s="42"/>
      <c r="F81" s="42" t="s">
        <v>463</v>
      </c>
      <c r="G81" s="42" t="s">
        <v>1382</v>
      </c>
      <c r="H81" s="42">
        <v>81493.42</v>
      </c>
      <c r="I81" s="42"/>
      <c r="J81" s="42" t="s">
        <v>443</v>
      </c>
      <c r="K81" s="42" t="s">
        <v>1383</v>
      </c>
      <c r="L81" s="42">
        <v>1000.31</v>
      </c>
      <c r="M81" s="42"/>
      <c r="N81" s="42" t="s">
        <v>421</v>
      </c>
      <c r="O81" s="42" t="s">
        <v>1384</v>
      </c>
      <c r="P81" s="42">
        <v>2054.88</v>
      </c>
      <c r="Q81" s="42"/>
      <c r="R81" s="65"/>
      <c r="S81" s="65"/>
      <c r="T81" s="65"/>
      <c r="U81" s="69"/>
    </row>
    <row r="82" spans="2:21" s="3" customFormat="1">
      <c r="B82" s="34" t="s">
        <v>489</v>
      </c>
      <c r="C82" s="34" t="s">
        <v>1385</v>
      </c>
      <c r="D82" s="42">
        <v>574677.53</v>
      </c>
      <c r="E82" s="42"/>
      <c r="F82" s="42" t="s">
        <v>467</v>
      </c>
      <c r="G82" s="42" t="s">
        <v>1386</v>
      </c>
      <c r="H82" s="42">
        <v>9604.84</v>
      </c>
      <c r="I82" s="42"/>
      <c r="J82" s="42" t="s">
        <v>447</v>
      </c>
      <c r="K82" s="42" t="s">
        <v>1387</v>
      </c>
      <c r="L82" s="42">
        <v>30037.18</v>
      </c>
      <c r="M82" s="42"/>
      <c r="N82" s="42" t="s">
        <v>425</v>
      </c>
      <c r="O82" s="42" t="s">
        <v>1388</v>
      </c>
      <c r="P82" s="42">
        <v>41059.82</v>
      </c>
      <c r="Q82" s="42"/>
      <c r="R82" s="65"/>
      <c r="S82" s="65"/>
      <c r="T82" s="65"/>
      <c r="U82" s="69"/>
    </row>
    <row r="83" spans="2:21" s="3" customFormat="1">
      <c r="B83" s="34" t="s">
        <v>492</v>
      </c>
      <c r="C83" s="34" t="s">
        <v>1389</v>
      </c>
      <c r="D83" s="42">
        <v>22763.71</v>
      </c>
      <c r="E83" s="42"/>
      <c r="F83" s="42" t="s">
        <v>470</v>
      </c>
      <c r="G83" s="42" t="s">
        <v>1390</v>
      </c>
      <c r="H83" s="42">
        <v>1116371.1499999999</v>
      </c>
      <c r="I83" s="42"/>
      <c r="J83" s="42" t="s">
        <v>451</v>
      </c>
      <c r="K83" s="42" t="s">
        <v>1391</v>
      </c>
      <c r="L83" s="42">
        <v>63606.68</v>
      </c>
      <c r="M83" s="42"/>
      <c r="N83" s="42" t="s">
        <v>352</v>
      </c>
      <c r="O83" s="42" t="s">
        <v>1392</v>
      </c>
      <c r="P83" s="42">
        <v>17846.09</v>
      </c>
      <c r="Q83" s="42"/>
      <c r="R83" s="65"/>
      <c r="S83" s="65"/>
      <c r="T83" s="65"/>
      <c r="U83" s="69"/>
    </row>
    <row r="84" spans="2:21" s="3" customFormat="1" ht="6" customHeight="1">
      <c r="B84" s="34"/>
      <c r="C84" s="34"/>
      <c r="D84" s="42"/>
      <c r="E84" s="42"/>
      <c r="F84" s="34"/>
      <c r="G84" s="34"/>
      <c r="H84" s="42"/>
      <c r="I84" s="42"/>
      <c r="J84" s="34"/>
      <c r="K84" s="34"/>
      <c r="L84" s="42"/>
      <c r="M84" s="42"/>
      <c r="N84" s="34"/>
      <c r="O84" s="34"/>
      <c r="P84" s="42"/>
      <c r="Q84" s="42"/>
      <c r="R84" s="48"/>
      <c r="S84" s="48"/>
      <c r="T84" s="49"/>
      <c r="U84" s="68"/>
    </row>
    <row r="85" spans="2:21" s="3" customFormat="1" ht="11" customHeight="1">
      <c r="B85" s="50" t="s">
        <v>24</v>
      </c>
      <c r="C85" s="50"/>
      <c r="D85" s="51"/>
      <c r="E85" s="51"/>
      <c r="F85" s="52"/>
      <c r="G85" s="52"/>
      <c r="H85" s="51"/>
      <c r="I85" s="51"/>
      <c r="J85" s="52"/>
      <c r="K85" s="52"/>
      <c r="L85" s="51"/>
      <c r="M85" s="51"/>
      <c r="N85" s="52"/>
      <c r="O85" s="52"/>
      <c r="P85" s="51"/>
      <c r="Q85" s="53"/>
      <c r="R85" s="50"/>
      <c r="S85" s="50"/>
      <c r="T85" s="50"/>
      <c r="U85" s="70"/>
    </row>
    <row r="86" spans="2:21" s="3" customFormat="1" ht="23" customHeight="1">
      <c r="B86" s="851" t="s">
        <v>515</v>
      </c>
      <c r="C86" s="851"/>
      <c r="D86" s="851"/>
      <c r="E86" s="851"/>
      <c r="F86" s="851"/>
      <c r="G86" s="851"/>
      <c r="H86" s="851"/>
      <c r="I86" s="851"/>
      <c r="J86" s="851"/>
      <c r="K86" s="851"/>
      <c r="L86" s="851"/>
      <c r="M86" s="851"/>
      <c r="N86" s="851"/>
      <c r="O86" s="851"/>
      <c r="P86" s="851"/>
      <c r="Q86" s="851"/>
      <c r="R86" s="851"/>
      <c r="S86" s="851"/>
      <c r="T86" s="851"/>
      <c r="U86" s="70"/>
    </row>
    <row r="87" spans="2:21" s="3" customFormat="1" ht="23" customHeight="1">
      <c r="B87" s="851" t="s">
        <v>516</v>
      </c>
      <c r="C87" s="851"/>
      <c r="D87" s="851"/>
      <c r="E87" s="851"/>
      <c r="F87" s="851"/>
      <c r="G87" s="851"/>
      <c r="H87" s="851"/>
      <c r="I87" s="851"/>
      <c r="J87" s="851"/>
      <c r="K87" s="851"/>
      <c r="L87" s="851"/>
      <c r="M87" s="851"/>
      <c r="N87" s="851"/>
      <c r="O87" s="851"/>
      <c r="P87" s="851"/>
      <c r="Q87" s="851"/>
      <c r="R87" s="851"/>
      <c r="S87" s="851"/>
      <c r="T87" s="851"/>
      <c r="U87" s="70"/>
    </row>
    <row r="88" spans="2:21" s="3" customFormat="1" ht="11" customHeight="1">
      <c r="B88" s="54" t="s">
        <v>1393</v>
      </c>
      <c r="C88" s="54"/>
      <c r="D88" s="50"/>
      <c r="E88" s="50"/>
      <c r="F88" s="50"/>
      <c r="G88" s="50"/>
      <c r="H88" s="50"/>
      <c r="I88" s="50"/>
      <c r="J88" s="50"/>
      <c r="K88" s="50"/>
      <c r="L88" s="50"/>
      <c r="M88" s="50"/>
      <c r="N88" s="50"/>
      <c r="O88" s="50"/>
      <c r="P88" s="50"/>
      <c r="Q88" s="50"/>
      <c r="R88" s="50"/>
      <c r="S88" s="50"/>
      <c r="T88" s="50"/>
      <c r="U88" s="70"/>
    </row>
    <row r="90" spans="2:21">
      <c r="B90" s="7" t="s">
        <v>250</v>
      </c>
    </row>
    <row r="91" spans="2:21">
      <c r="B91" s="7"/>
    </row>
  </sheetData>
  <mergeCells count="2">
    <mergeCell ref="B86:T86"/>
    <mergeCell ref="B87:T87"/>
  </mergeCells>
  <hyperlinks>
    <hyperlink ref="A1" location="TOC!A1" display="Back" xr:uid="{EDA912A5-F03F-4E37-9C27-21706E5CCCA6}"/>
  </hyperlinks>
  <pageMargins left="0.5" right="0.5" top="0.4" bottom="0.8" header="0.25" footer="0.35"/>
  <pageSetup scale="85" fitToHeight="2" orientation="landscape" cellComments="asDisplayed" r:id="rId1"/>
  <headerFooter scaleWithDoc="0">
    <oddHeader>&amp;R&amp;P</oddHeader>
    <oddFooter>&amp;R&amp;G&amp;L© 2025 Virginia Department of Taxation, All Rights Reserved</oddFooter>
  </headerFooter>
  <rowBreaks count="1" manualBreakCount="1">
    <brk id="44" min="1" max="19" man="1"/>
  </rowBreaks>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0D5E-61CE-47CC-9B52-7577974ADB89}">
  <sheetPr codeName="Sheet25">
    <pageSetUpPr fitToPage="1"/>
  </sheetPr>
  <dimension ref="A1:N40"/>
  <sheetViews>
    <sheetView zoomScaleNormal="100" workbookViewId="0"/>
  </sheetViews>
  <sheetFormatPr defaultRowHeight="13"/>
  <cols>
    <col min="1" max="1" width="4.19921875" customWidth="1"/>
    <col min="2" max="2" width="23.69921875" customWidth="1"/>
    <col min="3" max="3" width="10.69921875" customWidth="1"/>
    <col min="4" max="4" width="16.69921875" customWidth="1"/>
    <col min="5" max="5" width="12.69921875" customWidth="1"/>
    <col min="6" max="6" width="10.69921875" customWidth="1"/>
    <col min="7" max="7" width="1.69921875" customWidth="1"/>
    <col min="8" max="8" width="10.69921875" customWidth="1"/>
    <col min="9" max="9" width="16.69921875" customWidth="1"/>
    <col min="10" max="10" width="12.69921875" customWidth="1"/>
    <col min="11" max="11" width="10.69921875" customWidth="1"/>
    <col min="12" max="13" width="1.69921875" customWidth="1"/>
    <col min="14" max="14" width="5.19921875" customWidth="1"/>
  </cols>
  <sheetData>
    <row r="1" spans="1:14" ht="15.5">
      <c r="A1" s="813" t="s">
        <v>42</v>
      </c>
      <c r="B1" s="372" t="s">
        <v>917</v>
      </c>
      <c r="C1" s="374"/>
      <c r="D1" s="374"/>
      <c r="E1" s="374"/>
      <c r="F1" s="375"/>
      <c r="G1" s="375"/>
      <c r="H1" s="371"/>
      <c r="I1" s="371"/>
      <c r="J1" s="371"/>
      <c r="K1" s="371"/>
      <c r="L1" s="371"/>
      <c r="N1" s="8"/>
    </row>
    <row r="2" spans="1:14">
      <c r="B2" s="453" t="s">
        <v>945</v>
      </c>
      <c r="C2" s="374"/>
      <c r="D2" s="374"/>
      <c r="E2" s="374"/>
      <c r="F2" s="375"/>
      <c r="G2" s="375"/>
      <c r="H2" s="371"/>
      <c r="I2" s="371"/>
      <c r="J2" s="371"/>
      <c r="K2" s="371"/>
      <c r="L2" s="371"/>
    </row>
    <row r="3" spans="1:14">
      <c r="B3" s="373" t="s">
        <v>1437</v>
      </c>
      <c r="C3" s="374"/>
      <c r="D3" s="374"/>
      <c r="E3" s="374"/>
      <c r="F3" s="375"/>
      <c r="G3" s="375"/>
      <c r="H3" s="371"/>
      <c r="I3" s="371"/>
      <c r="J3" s="371"/>
      <c r="K3" s="371"/>
      <c r="L3" s="371"/>
    </row>
    <row r="4" spans="1:14" ht="6" customHeight="1" thickBot="1">
      <c r="B4" s="376"/>
      <c r="C4" s="374"/>
      <c r="D4" s="374"/>
      <c r="E4" s="374"/>
      <c r="F4" s="375"/>
      <c r="G4" s="375"/>
      <c r="H4" s="371"/>
      <c r="I4" s="371"/>
      <c r="J4" s="371"/>
      <c r="K4" s="371"/>
      <c r="L4" s="371"/>
    </row>
    <row r="5" spans="1:14" ht="14.5">
      <c r="B5" s="457"/>
      <c r="C5" s="458" t="s">
        <v>946</v>
      </c>
      <c r="D5" s="458"/>
      <c r="E5" s="458"/>
      <c r="F5" s="459"/>
      <c r="G5" s="460"/>
      <c r="H5" s="461" t="s">
        <v>947</v>
      </c>
      <c r="I5" s="458"/>
      <c r="J5" s="458"/>
      <c r="K5" s="462"/>
      <c r="L5" s="463"/>
    </row>
    <row r="6" spans="1:14" ht="5" customHeight="1">
      <c r="B6" s="377"/>
      <c r="C6" s="378"/>
      <c r="D6" s="378"/>
      <c r="E6" s="378"/>
      <c r="F6" s="379"/>
      <c r="G6" s="380"/>
      <c r="H6" s="381"/>
      <c r="I6" s="378"/>
      <c r="J6" s="378"/>
      <c r="K6" s="382"/>
      <c r="L6" s="371"/>
    </row>
    <row r="7" spans="1:14" ht="26">
      <c r="B7" s="383" t="s">
        <v>918</v>
      </c>
      <c r="C7" s="384" t="s">
        <v>919</v>
      </c>
      <c r="D7" s="385" t="s">
        <v>920</v>
      </c>
      <c r="E7" s="385" t="s">
        <v>921</v>
      </c>
      <c r="F7" s="386" t="s">
        <v>922</v>
      </c>
      <c r="G7" s="387"/>
      <c r="H7" s="388" t="s">
        <v>919</v>
      </c>
      <c r="I7" s="385" t="s">
        <v>920</v>
      </c>
      <c r="J7" s="385" t="s">
        <v>921</v>
      </c>
      <c r="K7" s="389" t="s">
        <v>922</v>
      </c>
      <c r="L7" s="371"/>
    </row>
    <row r="8" spans="1:14" ht="21" customHeight="1">
      <c r="B8" s="390" t="s">
        <v>923</v>
      </c>
      <c r="C8" s="391">
        <v>552</v>
      </c>
      <c r="D8" s="392">
        <v>837286</v>
      </c>
      <c r="E8" s="392">
        <v>1250022</v>
      </c>
      <c r="F8" s="393">
        <f t="shared" ref="F8:F15" si="0">E8/$E$18</f>
        <v>1.7745227931978552E-3</v>
      </c>
      <c r="G8" s="387"/>
      <c r="H8" s="394">
        <v>1945</v>
      </c>
      <c r="I8" s="392">
        <v>1152659.57</v>
      </c>
      <c r="J8" s="392">
        <v>25500.36</v>
      </c>
      <c r="K8" s="395">
        <f>J8/$J$18</f>
        <v>6.2839077338622544E-4</v>
      </c>
      <c r="L8" s="371"/>
    </row>
    <row r="9" spans="1:14">
      <c r="B9" s="396" t="s">
        <v>924</v>
      </c>
      <c r="C9" s="397">
        <v>42</v>
      </c>
      <c r="D9" s="398">
        <v>1565911</v>
      </c>
      <c r="E9" s="397">
        <v>34503</v>
      </c>
      <c r="F9" s="399">
        <f t="shared" si="0"/>
        <v>4.8980225894988725E-5</v>
      </c>
      <c r="G9" s="400"/>
      <c r="H9" s="401">
        <v>50</v>
      </c>
      <c r="I9" s="398">
        <v>1855386.72</v>
      </c>
      <c r="J9" s="397">
        <v>41746.269999999997</v>
      </c>
      <c r="K9" s="402">
        <f t="shared" ref="K9:K15" si="1">J9/$J$18</f>
        <v>1.0287294332821254E-3</v>
      </c>
      <c r="L9" s="403"/>
    </row>
    <row r="10" spans="1:14">
      <c r="B10" s="396" t="s">
        <v>925</v>
      </c>
      <c r="C10" s="397">
        <v>54</v>
      </c>
      <c r="D10" s="398">
        <v>3900135</v>
      </c>
      <c r="E10" s="397">
        <v>87720</v>
      </c>
      <c r="F10" s="399">
        <f t="shared" si="0"/>
        <v>1.2452671986518305E-4</v>
      </c>
      <c r="G10" s="400"/>
      <c r="H10" s="401">
        <v>55</v>
      </c>
      <c r="I10" s="398">
        <v>3963641.07</v>
      </c>
      <c r="J10" s="397">
        <v>89181.48</v>
      </c>
      <c r="K10" s="402">
        <f t="shared" si="1"/>
        <v>2.1976481582584792E-3</v>
      </c>
      <c r="L10" s="403"/>
    </row>
    <row r="11" spans="1:14">
      <c r="B11" s="396" t="s">
        <v>926</v>
      </c>
      <c r="C11" s="397">
        <v>150</v>
      </c>
      <c r="D11" s="398">
        <v>40426947</v>
      </c>
      <c r="E11" s="397">
        <v>901062</v>
      </c>
      <c r="F11" s="399">
        <f t="shared" si="0"/>
        <v>1.2791415327765797E-3</v>
      </c>
      <c r="G11" s="400"/>
      <c r="H11" s="401">
        <v>160</v>
      </c>
      <c r="I11" s="398">
        <v>38948449.140000001</v>
      </c>
      <c r="J11" s="397">
        <v>876339.76</v>
      </c>
      <c r="K11" s="402">
        <f t="shared" si="1"/>
        <v>2.1595139030801888E-2</v>
      </c>
      <c r="L11" s="403"/>
    </row>
    <row r="12" spans="1:14">
      <c r="B12" s="396" t="s">
        <v>927</v>
      </c>
      <c r="C12" s="397">
        <v>96</v>
      </c>
      <c r="D12" s="398">
        <v>70155020</v>
      </c>
      <c r="E12" s="397">
        <v>1578266</v>
      </c>
      <c r="F12" s="399">
        <f t="shared" si="0"/>
        <v>2.2404957598579915E-3</v>
      </c>
      <c r="G12" s="400"/>
      <c r="H12" s="401">
        <v>51</v>
      </c>
      <c r="I12" s="398">
        <v>37293414</v>
      </c>
      <c r="J12" s="397">
        <v>839101.5</v>
      </c>
      <c r="K12" s="402">
        <f t="shared" si="1"/>
        <v>2.067749790726648E-2</v>
      </c>
      <c r="L12" s="403"/>
    </row>
    <row r="13" spans="1:14">
      <c r="B13" s="396" t="s">
        <v>928</v>
      </c>
      <c r="C13" s="397">
        <v>102</v>
      </c>
      <c r="D13" s="398">
        <v>148935417</v>
      </c>
      <c r="E13" s="397">
        <v>3351045</v>
      </c>
      <c r="F13" s="399">
        <f t="shared" si="0"/>
        <v>4.7571208614982027E-3</v>
      </c>
      <c r="G13" s="400"/>
      <c r="H13" s="401">
        <v>56</v>
      </c>
      <c r="I13" s="398">
        <v>79932089.640000001</v>
      </c>
      <c r="J13" s="397">
        <v>1798472.44</v>
      </c>
      <c r="K13" s="402">
        <f t="shared" si="1"/>
        <v>4.4318726774265613E-2</v>
      </c>
      <c r="L13" s="403"/>
    </row>
    <row r="14" spans="1:14">
      <c r="B14" s="396" t="s">
        <v>929</v>
      </c>
      <c r="C14" s="397">
        <v>275</v>
      </c>
      <c r="D14" s="398">
        <v>1449369381</v>
      </c>
      <c r="E14" s="397">
        <v>32387605</v>
      </c>
      <c r="F14" s="399">
        <f t="shared" si="0"/>
        <v>4.5977225432503446E-2</v>
      </c>
      <c r="G14" s="400"/>
      <c r="H14" s="401">
        <v>45</v>
      </c>
      <c r="I14" s="398">
        <v>207908854.55000001</v>
      </c>
      <c r="J14" s="397">
        <v>4677949.17</v>
      </c>
      <c r="K14" s="402">
        <f t="shared" si="1"/>
        <v>0.11527602342860067</v>
      </c>
      <c r="L14" s="403"/>
    </row>
    <row r="15" spans="1:14" ht="21" customHeight="1">
      <c r="B15" s="404" t="s">
        <v>930</v>
      </c>
      <c r="C15" s="405">
        <v>373</v>
      </c>
      <c r="D15" s="406">
        <v>30075688378</v>
      </c>
      <c r="E15" s="405">
        <v>666668597</v>
      </c>
      <c r="F15" s="407">
        <f t="shared" si="0"/>
        <v>0.94639824009956253</v>
      </c>
      <c r="G15" s="408"/>
      <c r="H15" s="409">
        <v>38</v>
      </c>
      <c r="I15" s="406">
        <v>4272050814.7800002</v>
      </c>
      <c r="J15" s="405">
        <v>95693775.530000001</v>
      </c>
      <c r="K15" s="410">
        <f t="shared" si="1"/>
        <v>2.3581269289352997</v>
      </c>
      <c r="L15" s="371"/>
    </row>
    <row r="16" spans="1:14">
      <c r="B16" s="411" t="s">
        <v>931</v>
      </c>
      <c r="C16" s="412">
        <f>SUM(C8:C15)</f>
        <v>1644</v>
      </c>
      <c r="D16" s="413">
        <f>SUM(D8:D15)</f>
        <v>31790878475</v>
      </c>
      <c r="E16" s="413">
        <f>SUM(E8:E15)</f>
        <v>706258820</v>
      </c>
      <c r="F16" s="414">
        <f>SUM(F8:F15)</f>
        <v>1.0026002534251568</v>
      </c>
      <c r="G16" s="400"/>
      <c r="H16" s="415">
        <f>SUM(H8:H15)</f>
        <v>2400</v>
      </c>
      <c r="I16" s="416">
        <f>SUM(I8:I15)</f>
        <v>4643105309.4700003</v>
      </c>
      <c r="J16" s="416">
        <f>SUM(J8:J15)</f>
        <v>104042066.51000001</v>
      </c>
      <c r="K16" s="417">
        <f>SUM(K8:K15)</f>
        <v>2.563849084441161</v>
      </c>
      <c r="L16" s="403"/>
    </row>
    <row r="17" spans="2:12" ht="21" customHeight="1">
      <c r="B17" s="418" t="s">
        <v>932</v>
      </c>
      <c r="C17" s="419">
        <v>-25</v>
      </c>
      <c r="D17" s="420">
        <v>-368913356.79000098</v>
      </c>
      <c r="E17" s="420">
        <v>-1831689.0600000599</v>
      </c>
      <c r="F17" s="399">
        <f>E17/$E$18</f>
        <v>-2.6002534251567252E-3</v>
      </c>
      <c r="G17" s="408"/>
      <c r="H17" s="421">
        <v>-16</v>
      </c>
      <c r="I17" s="420">
        <v>-2839521230.21</v>
      </c>
      <c r="J17" s="420">
        <v>-63461648.909999996</v>
      </c>
      <c r="K17" s="402">
        <f>J17/$J$18</f>
        <v>-1.5638490844411612</v>
      </c>
      <c r="L17" s="403"/>
    </row>
    <row r="18" spans="2:12" ht="13.5" thickBot="1">
      <c r="B18" s="422" t="s">
        <v>933</v>
      </c>
      <c r="C18" s="423">
        <f>SUM(C16,C17)</f>
        <v>1619</v>
      </c>
      <c r="D18" s="424">
        <f>SUM(D16,D17)</f>
        <v>31421965118.209999</v>
      </c>
      <c r="E18" s="424">
        <f>SUM(E16,E17)</f>
        <v>704427130.93999994</v>
      </c>
      <c r="F18" s="425">
        <f>SUM(F16,F17)</f>
        <v>1</v>
      </c>
      <c r="G18" s="426"/>
      <c r="H18" s="427">
        <f>SUM(H16,H17)</f>
        <v>2384</v>
      </c>
      <c r="I18" s="424">
        <f>SUM(I16,I17)</f>
        <v>1803584079.2600002</v>
      </c>
      <c r="J18" s="424">
        <f>SUM(J16,J17)</f>
        <v>40580417.600000009</v>
      </c>
      <c r="K18" s="428">
        <f>SUM(K16,K17)</f>
        <v>0.99999999999999978</v>
      </c>
      <c r="L18" s="403"/>
    </row>
    <row r="19" spans="2:12" ht="10" customHeight="1" thickTop="1">
      <c r="B19" s="454"/>
      <c r="C19" s="431"/>
      <c r="D19" s="431"/>
      <c r="E19" s="431"/>
      <c r="F19" s="455"/>
      <c r="G19" s="455"/>
      <c r="H19" s="371"/>
      <c r="I19" s="371"/>
      <c r="J19" s="371"/>
      <c r="K19" s="371"/>
      <c r="L19" s="371"/>
    </row>
    <row r="20" spans="2:12" ht="10" customHeight="1">
      <c r="B20" s="454"/>
      <c r="C20" s="431"/>
      <c r="D20" s="431"/>
      <c r="E20" s="431"/>
      <c r="F20" s="455"/>
      <c r="G20" s="455"/>
      <c r="H20" s="371"/>
      <c r="I20" s="371"/>
      <c r="J20" s="371"/>
      <c r="K20" s="371"/>
      <c r="L20" s="371"/>
    </row>
    <row r="21" spans="2:12" s="3" customFormat="1" ht="15.5">
      <c r="B21" s="429" t="s">
        <v>1435</v>
      </c>
      <c r="C21" s="431"/>
      <c r="D21" s="431"/>
      <c r="E21" s="431"/>
      <c r="F21" s="432"/>
      <c r="G21" s="371"/>
      <c r="H21" s="371"/>
      <c r="I21" s="371"/>
      <c r="J21" s="371"/>
      <c r="K21" s="371"/>
      <c r="L21" s="371"/>
    </row>
    <row r="22" spans="2:12" s="3" customFormat="1" ht="5" customHeight="1" thickBot="1">
      <c r="B22" s="430"/>
      <c r="C22" s="431"/>
      <c r="D22" s="431"/>
      <c r="E22" s="431"/>
      <c r="F22" s="432"/>
      <c r="G22" s="371"/>
      <c r="H22" s="371"/>
      <c r="I22" s="371"/>
      <c r="J22" s="371"/>
      <c r="K22" s="371"/>
      <c r="L22" s="371"/>
    </row>
    <row r="23" spans="2:12" s="3" customFormat="1">
      <c r="B23" s="433" t="s">
        <v>934</v>
      </c>
      <c r="C23" s="434"/>
      <c r="D23" s="434" t="s">
        <v>919</v>
      </c>
      <c r="E23" s="435" t="s">
        <v>935</v>
      </c>
      <c r="F23" s="436"/>
      <c r="G23" s="371"/>
      <c r="H23" s="371"/>
      <c r="I23" s="371"/>
      <c r="J23" s="371"/>
      <c r="K23" s="371"/>
      <c r="L23" s="371"/>
    </row>
    <row r="24" spans="2:12" s="3" customFormat="1">
      <c r="B24" s="73" t="s">
        <v>565</v>
      </c>
      <c r="C24" s="431"/>
      <c r="D24" s="437">
        <v>15</v>
      </c>
      <c r="E24" s="438">
        <v>35884779</v>
      </c>
      <c r="F24" s="439"/>
      <c r="G24" s="455"/>
      <c r="H24" s="371"/>
      <c r="I24" s="371"/>
      <c r="J24" s="371"/>
      <c r="K24" s="371"/>
      <c r="L24" s="371"/>
    </row>
    <row r="25" spans="2:12" s="3" customFormat="1">
      <c r="B25" s="73" t="s">
        <v>936</v>
      </c>
      <c r="C25" s="431"/>
      <c r="D25" s="437">
        <v>348</v>
      </c>
      <c r="E25" s="440">
        <v>9378183.1600000001</v>
      </c>
      <c r="F25" s="432"/>
      <c r="G25" s="455"/>
      <c r="H25" s="371"/>
      <c r="I25" s="371"/>
      <c r="J25" s="371"/>
      <c r="K25" s="371"/>
      <c r="L25" s="371"/>
    </row>
    <row r="26" spans="2:12" s="3" customFormat="1">
      <c r="B26" s="73" t="s">
        <v>937</v>
      </c>
      <c r="C26" s="431"/>
      <c r="D26" s="437">
        <v>6</v>
      </c>
      <c r="E26" s="440">
        <v>1891674</v>
      </c>
      <c r="F26" s="432"/>
      <c r="G26" s="455"/>
      <c r="H26" s="371"/>
      <c r="I26" s="371"/>
      <c r="J26" s="371"/>
      <c r="K26" s="371"/>
      <c r="L26" s="371"/>
    </row>
    <row r="27" spans="2:12" s="3" customFormat="1">
      <c r="B27" s="73" t="s">
        <v>938</v>
      </c>
      <c r="C27" s="431"/>
      <c r="D27" s="437">
        <v>2</v>
      </c>
      <c r="E27" s="440">
        <v>130000</v>
      </c>
      <c r="F27" s="432"/>
      <c r="G27" s="455"/>
      <c r="H27" s="371"/>
      <c r="I27" s="371"/>
      <c r="J27" s="371"/>
      <c r="K27" s="371"/>
      <c r="L27" s="371"/>
    </row>
    <row r="28" spans="2:12" s="3" customFormat="1">
      <c r="B28" s="73"/>
      <c r="C28" s="431"/>
      <c r="D28" s="437"/>
      <c r="E28" s="440"/>
      <c r="F28" s="432"/>
      <c r="G28" s="455"/>
      <c r="H28" s="371"/>
      <c r="I28" s="371"/>
      <c r="J28" s="371"/>
      <c r="K28" s="371"/>
      <c r="L28" s="371"/>
    </row>
    <row r="29" spans="2:12" s="3" customFormat="1" ht="8" customHeight="1">
      <c r="B29" s="441"/>
      <c r="C29" s="431"/>
      <c r="D29" s="442"/>
      <c r="E29" s="440"/>
      <c r="F29" s="456"/>
      <c r="G29" s="455"/>
      <c r="H29" s="371"/>
      <c r="I29" s="371"/>
      <c r="J29" s="371"/>
      <c r="K29" s="371"/>
      <c r="L29" s="371"/>
    </row>
    <row r="30" spans="2:12" s="3" customFormat="1" ht="12">
      <c r="B30" s="443" t="s">
        <v>24</v>
      </c>
      <c r="C30" s="444"/>
      <c r="D30" s="445"/>
      <c r="E30" s="445"/>
      <c r="F30" s="446"/>
      <c r="G30" s="446"/>
      <c r="H30" s="447"/>
      <c r="I30" s="447"/>
      <c r="J30" s="447"/>
      <c r="K30" s="447"/>
      <c r="L30" s="447"/>
    </row>
    <row r="31" spans="2:12" s="3" customFormat="1" ht="24.5" customHeight="1">
      <c r="B31" s="852" t="s">
        <v>939</v>
      </c>
      <c r="C31" s="825"/>
      <c r="D31" s="825"/>
      <c r="E31" s="825"/>
      <c r="F31" s="825"/>
      <c r="G31" s="825"/>
      <c r="H31" s="825"/>
      <c r="I31" s="825"/>
      <c r="J31" s="825"/>
      <c r="K31" s="825"/>
      <c r="L31" s="853"/>
    </row>
    <row r="32" spans="2:12" s="3" customFormat="1" ht="36.5" customHeight="1">
      <c r="B32" s="852" t="s">
        <v>940</v>
      </c>
      <c r="C32" s="825"/>
      <c r="D32" s="825"/>
      <c r="E32" s="825"/>
      <c r="F32" s="825"/>
      <c r="G32" s="825"/>
      <c r="H32" s="825"/>
      <c r="I32" s="825"/>
      <c r="J32" s="825"/>
      <c r="K32" s="825"/>
      <c r="L32" s="853"/>
    </row>
    <row r="33" spans="2:12" s="3" customFormat="1" ht="37" customHeight="1">
      <c r="B33" s="852" t="s">
        <v>941</v>
      </c>
      <c r="C33" s="825"/>
      <c r="D33" s="825"/>
      <c r="E33" s="825"/>
      <c r="F33" s="825"/>
      <c r="G33" s="825"/>
      <c r="H33" s="825"/>
      <c r="I33" s="825"/>
      <c r="J33" s="825"/>
      <c r="K33" s="825"/>
      <c r="L33" s="853"/>
    </row>
    <row r="34" spans="2:12" s="3" customFormat="1" ht="12">
      <c r="B34" s="448" t="s">
        <v>942</v>
      </c>
      <c r="C34" s="449"/>
      <c r="D34" s="449"/>
      <c r="E34" s="449"/>
      <c r="F34" s="450"/>
      <c r="G34" s="450"/>
      <c r="H34" s="449"/>
      <c r="I34" s="449"/>
      <c r="J34" s="450"/>
      <c r="K34" s="451"/>
      <c r="L34" s="447"/>
    </row>
    <row r="35" spans="2:12" s="3" customFormat="1" ht="12">
      <c r="B35" s="452" t="s">
        <v>943</v>
      </c>
      <c r="C35" s="449"/>
      <c r="D35" s="449"/>
      <c r="E35" s="449"/>
      <c r="F35" s="450"/>
      <c r="G35" s="450"/>
      <c r="H35" s="449"/>
      <c r="I35" s="449"/>
      <c r="J35" s="450"/>
      <c r="K35" s="451"/>
      <c r="L35" s="447"/>
    </row>
    <row r="36" spans="2:12" s="3" customFormat="1" ht="12">
      <c r="B36" s="452" t="s">
        <v>944</v>
      </c>
      <c r="C36" s="449"/>
      <c r="D36" s="449"/>
      <c r="E36" s="449"/>
      <c r="F36" s="450"/>
      <c r="G36" s="450"/>
      <c r="H36" s="449"/>
      <c r="I36" s="449"/>
      <c r="J36" s="450"/>
      <c r="K36" s="449"/>
      <c r="L36" s="447"/>
    </row>
    <row r="37" spans="2:12" ht="25" customHeight="1">
      <c r="B37" s="854" t="s">
        <v>1436</v>
      </c>
      <c r="C37" s="830"/>
      <c r="D37" s="830"/>
      <c r="E37" s="830"/>
      <c r="F37" s="830"/>
      <c r="G37" s="830"/>
      <c r="H37" s="830"/>
      <c r="I37" s="830"/>
      <c r="J37" s="830"/>
      <c r="K37" s="830"/>
      <c r="L37" s="830"/>
    </row>
    <row r="39" spans="2:12">
      <c r="B39" s="7" t="s">
        <v>1051</v>
      </c>
    </row>
    <row r="40" spans="2:12">
      <c r="B40" s="7"/>
    </row>
  </sheetData>
  <mergeCells count="4">
    <mergeCell ref="B31:L31"/>
    <mergeCell ref="B32:L32"/>
    <mergeCell ref="B33:L33"/>
    <mergeCell ref="B37:L37"/>
  </mergeCells>
  <hyperlinks>
    <hyperlink ref="A1" location="TOC!A1" display="Back" xr:uid="{96C1D399-6C05-41A6-974F-254AF27C1BA2}"/>
  </hyperlinks>
  <pageMargins left="0.5" right="0.5" top="0.4" bottom="0.8" header="0.25" footer="0.35"/>
  <pageSetup scale="93" orientation="landscape" cellComments="asDisplayed" r:id="rId1"/>
  <headerFooter scaleWithDoc="0">
    <oddHeader>&amp;R&amp;P</oddHeader>
    <oddFooter>&amp;R&amp;G&amp;L© 2025 Virginia Department of Taxation, All Rights Reserved</oddFooter>
  </headerFooter>
  <rowBreaks count="1" manualBreakCount="1">
    <brk id="30" min="1" max="9" man="1"/>
  </rowBreaks>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EAB42-9FCD-4822-B4D5-629BBB242B76}">
  <sheetPr codeName="Sheet11">
    <pageSetUpPr fitToPage="1"/>
  </sheetPr>
  <dimension ref="A1:H34"/>
  <sheetViews>
    <sheetView zoomScale="110" zoomScaleNormal="110" workbookViewId="0"/>
  </sheetViews>
  <sheetFormatPr defaultRowHeight="13"/>
  <cols>
    <col min="1" max="1" width="4.19921875" customWidth="1"/>
    <col min="2" max="2" width="9.69921875" customWidth="1"/>
    <col min="3" max="3" width="20.69921875" customWidth="1"/>
    <col min="4" max="5" width="17.69921875" customWidth="1"/>
    <col min="6" max="6" width="16.69921875" customWidth="1"/>
    <col min="7" max="7" width="17.69921875" customWidth="1"/>
    <col min="8" max="8" width="20.69921875" customWidth="1"/>
    <col min="9" max="9" width="1.69921875" customWidth="1"/>
  </cols>
  <sheetData>
    <row r="1" spans="1:8" ht="15.5">
      <c r="A1" s="813" t="s">
        <v>42</v>
      </c>
      <c r="B1" s="63" t="s">
        <v>235</v>
      </c>
      <c r="C1" s="66"/>
      <c r="D1" s="66"/>
      <c r="E1" s="66"/>
      <c r="F1" s="66"/>
      <c r="G1" s="66"/>
      <c r="H1" s="66"/>
    </row>
    <row r="2" spans="1:8">
      <c r="B2" s="64" t="s">
        <v>236</v>
      </c>
      <c r="C2" s="66"/>
      <c r="D2" s="66"/>
      <c r="E2" s="66"/>
      <c r="F2" s="66"/>
      <c r="G2" s="66"/>
      <c r="H2" s="66"/>
    </row>
    <row r="3" spans="1:8" ht="6" customHeight="1" thickBot="1">
      <c r="B3" s="66"/>
      <c r="C3" s="66"/>
      <c r="D3" s="66"/>
      <c r="E3" s="66"/>
      <c r="F3" s="66"/>
      <c r="G3" s="66"/>
      <c r="H3" s="66"/>
    </row>
    <row r="4" spans="1:8" ht="26">
      <c r="B4" s="205" t="s">
        <v>237</v>
      </c>
      <c r="C4" s="205" t="s">
        <v>238</v>
      </c>
      <c r="D4" s="205" t="s">
        <v>239</v>
      </c>
      <c r="E4" s="205" t="s">
        <v>240</v>
      </c>
      <c r="F4" s="205" t="s">
        <v>241</v>
      </c>
      <c r="G4" s="205" t="s">
        <v>196</v>
      </c>
      <c r="H4" s="205" t="s">
        <v>249</v>
      </c>
    </row>
    <row r="5" spans="1:8">
      <c r="B5" s="206"/>
      <c r="C5" s="172"/>
      <c r="D5" s="172"/>
      <c r="E5" s="172"/>
      <c r="F5" s="172"/>
      <c r="G5" s="172"/>
      <c r="H5" s="172"/>
    </row>
    <row r="6" spans="1:8">
      <c r="B6" s="207" t="s">
        <v>242</v>
      </c>
      <c r="C6" s="208"/>
      <c r="D6" s="208"/>
      <c r="E6" s="208"/>
      <c r="F6" s="208"/>
      <c r="G6" s="208"/>
      <c r="H6" s="208"/>
    </row>
    <row r="7" spans="1:8" ht="18" customHeight="1">
      <c r="B7" s="209">
        <v>2019</v>
      </c>
      <c r="C7" s="210">
        <v>1172449791555</v>
      </c>
      <c r="D7" s="210">
        <v>98726651736.200012</v>
      </c>
      <c r="E7" s="210">
        <v>11567370427.889999</v>
      </c>
      <c r="F7" s="210">
        <v>1344289010.71</v>
      </c>
      <c r="G7" s="210">
        <v>49209543842.540001</v>
      </c>
      <c r="H7" s="210">
        <f t="shared" ref="H7:H8" si="0">SUM(C7:G7)</f>
        <v>1333297646572.3398</v>
      </c>
    </row>
    <row r="8" spans="1:8">
      <c r="B8" s="209">
        <v>2020</v>
      </c>
      <c r="C8" s="211">
        <v>1218079093524.8401</v>
      </c>
      <c r="D8" s="211">
        <v>100052236312.58</v>
      </c>
      <c r="E8" s="211">
        <v>11991123882.620001</v>
      </c>
      <c r="F8" s="211">
        <v>1433318097.3</v>
      </c>
      <c r="G8" s="211">
        <v>51149852246.5</v>
      </c>
      <c r="H8" s="211">
        <f t="shared" si="0"/>
        <v>1382705624063.8403</v>
      </c>
    </row>
    <row r="9" spans="1:8">
      <c r="B9" s="209" t="s">
        <v>243</v>
      </c>
      <c r="C9" s="211">
        <v>1272652328700.3198</v>
      </c>
      <c r="D9" s="211">
        <v>117434111164.92511</v>
      </c>
      <c r="E9" s="211">
        <v>12080942915.7248</v>
      </c>
      <c r="F9" s="211">
        <v>1314173629.97</v>
      </c>
      <c r="G9" s="211">
        <v>51229623564.349998</v>
      </c>
      <c r="H9" s="211">
        <f t="shared" ref="H9:H12" si="1">SUM(C9:G9)</f>
        <v>1454711179975.2898</v>
      </c>
    </row>
    <row r="10" spans="1:8">
      <c r="B10" s="209">
        <v>2022</v>
      </c>
      <c r="C10" s="211">
        <v>1391780142395.6001</v>
      </c>
      <c r="D10" s="211">
        <v>139776943386.00378</v>
      </c>
      <c r="E10" s="211">
        <v>12397515349.807098</v>
      </c>
      <c r="F10" s="211">
        <v>1450773868.4400001</v>
      </c>
      <c r="G10" s="211">
        <v>52339281584.18</v>
      </c>
      <c r="H10" s="211">
        <f t="shared" si="1"/>
        <v>1597744656584.031</v>
      </c>
    </row>
    <row r="11" spans="1:8">
      <c r="B11" s="209">
        <v>2023</v>
      </c>
      <c r="C11" s="211">
        <v>1516847427994.6899</v>
      </c>
      <c r="D11" s="211">
        <v>142697891712.2157</v>
      </c>
      <c r="E11" s="211">
        <v>13161869852.7024</v>
      </c>
      <c r="F11" s="211">
        <v>1520569240.1300001</v>
      </c>
      <c r="G11" s="211">
        <v>53731893721.236191</v>
      </c>
      <c r="H11" s="211">
        <f t="shared" si="1"/>
        <v>1727959652520.9741</v>
      </c>
    </row>
    <row r="12" spans="1:8">
      <c r="B12" s="209">
        <v>2024</v>
      </c>
      <c r="C12" s="211">
        <v>1628541599197.1899</v>
      </c>
      <c r="D12" s="211">
        <v>142197155911.76001</v>
      </c>
      <c r="E12" s="211">
        <v>13235821910.42</v>
      </c>
      <c r="F12" s="211">
        <v>1616631420.6500001</v>
      </c>
      <c r="G12" s="211">
        <v>58711996949.559998</v>
      </c>
      <c r="H12" s="211">
        <f t="shared" si="1"/>
        <v>1844303205389.5798</v>
      </c>
    </row>
    <row r="13" spans="1:8">
      <c r="B13" s="212"/>
      <c r="C13" s="211"/>
      <c r="D13" s="211"/>
      <c r="E13" s="211"/>
      <c r="F13" s="211"/>
      <c r="G13" s="211"/>
      <c r="H13" s="211"/>
    </row>
    <row r="14" spans="1:8">
      <c r="B14" s="207" t="s">
        <v>244</v>
      </c>
      <c r="C14" s="213"/>
      <c r="D14" s="213"/>
      <c r="E14" s="213"/>
      <c r="F14" s="213"/>
      <c r="G14" s="213"/>
      <c r="H14" s="213"/>
    </row>
    <row r="15" spans="1:8" s="3" customFormat="1" ht="18" customHeight="1">
      <c r="B15" s="209">
        <f>B7</f>
        <v>2019</v>
      </c>
      <c r="C15" s="210">
        <v>11654584398.700165</v>
      </c>
      <c r="D15" s="210">
        <v>3600959729.1374731</v>
      </c>
      <c r="E15" s="210">
        <v>227752597.23180002</v>
      </c>
      <c r="F15" s="210">
        <v>14010085.905490002</v>
      </c>
      <c r="G15" s="210">
        <v>409329416.85523003</v>
      </c>
      <c r="H15" s="210">
        <f t="shared" ref="H15:H18" si="2">SUM(C15:G15)</f>
        <v>15906636227.83016</v>
      </c>
    </row>
    <row r="16" spans="1:8" s="3" customFormat="1">
      <c r="B16" s="209">
        <f t="shared" ref="B16:B20" si="3">B8</f>
        <v>2020</v>
      </c>
      <c r="C16" s="211">
        <v>12096950258.460699</v>
      </c>
      <c r="D16" s="211">
        <v>3641278531.4918017</v>
      </c>
      <c r="E16" s="211">
        <v>250441104.58230007</v>
      </c>
      <c r="F16" s="211">
        <v>15272308.508099999</v>
      </c>
      <c r="G16" s="211">
        <v>426389897.02819979</v>
      </c>
      <c r="H16" s="211">
        <f t="shared" si="2"/>
        <v>16430332100.071102</v>
      </c>
    </row>
    <row r="17" spans="2:8" s="3" customFormat="1">
      <c r="B17" s="209" t="str">
        <f t="shared" si="3"/>
        <v>2021*</v>
      </c>
      <c r="C17" s="211">
        <v>12502959082.987404</v>
      </c>
      <c r="D17" s="211">
        <v>4458318399.693799</v>
      </c>
      <c r="E17" s="211">
        <v>252339042.05669993</v>
      </c>
      <c r="F17" s="211">
        <v>13718743.4846</v>
      </c>
      <c r="G17" s="211">
        <v>444349944.30589986</v>
      </c>
      <c r="H17" s="211">
        <f t="shared" si="2"/>
        <v>17671685212.528404</v>
      </c>
    </row>
    <row r="18" spans="2:8" s="3" customFormat="1">
      <c r="B18" s="209">
        <f t="shared" si="3"/>
        <v>2022</v>
      </c>
      <c r="C18" s="211">
        <v>13342923799.456697</v>
      </c>
      <c r="D18" s="211">
        <v>4980954021.3755007</v>
      </c>
      <c r="E18" s="211">
        <v>257101832.12200007</v>
      </c>
      <c r="F18" s="211">
        <v>15108938.832000004</v>
      </c>
      <c r="G18" s="211">
        <v>470935657.06320006</v>
      </c>
      <c r="H18" s="211">
        <f t="shared" si="2"/>
        <v>19067024248.849403</v>
      </c>
    </row>
    <row r="19" spans="2:8" s="3" customFormat="1">
      <c r="B19" s="209">
        <f t="shared" si="3"/>
        <v>2023</v>
      </c>
      <c r="C19" s="211">
        <v>14255367691.39649</v>
      </c>
      <c r="D19" s="211">
        <v>4950787049.7043982</v>
      </c>
      <c r="E19" s="211">
        <v>274003018.18600005</v>
      </c>
      <c r="F19" s="211">
        <v>14743997.708000001</v>
      </c>
      <c r="G19" s="211">
        <v>442344617.91320002</v>
      </c>
      <c r="H19" s="211">
        <f t="shared" ref="H19:H20" si="4">SUM(C19:G19)</f>
        <v>19937246374.908089</v>
      </c>
    </row>
    <row r="20" spans="2:8" s="3" customFormat="1">
      <c r="B20" s="209">
        <f t="shared" si="3"/>
        <v>2024</v>
      </c>
      <c r="C20" s="211">
        <v>15169918421.069201</v>
      </c>
      <c r="D20" s="211">
        <v>5322877424.0593023</v>
      </c>
      <c r="E20" s="211">
        <v>282210450.7445001</v>
      </c>
      <c r="F20" s="211">
        <v>15174135.199999999</v>
      </c>
      <c r="G20" s="211">
        <v>471521172.60270023</v>
      </c>
      <c r="H20" s="211">
        <f t="shared" si="4"/>
        <v>21261701603.675701</v>
      </c>
    </row>
    <row r="21" spans="2:8" s="3" customFormat="1">
      <c r="B21" s="212"/>
      <c r="C21" s="211"/>
      <c r="D21" s="211"/>
      <c r="E21" s="211"/>
      <c r="F21" s="211"/>
      <c r="G21" s="211"/>
      <c r="H21" s="211"/>
    </row>
    <row r="22" spans="2:8" s="3" customFormat="1">
      <c r="B22" s="207" t="s">
        <v>245</v>
      </c>
      <c r="C22" s="208"/>
      <c r="D22" s="208"/>
      <c r="E22" s="208"/>
      <c r="F22" s="208"/>
      <c r="G22" s="208"/>
      <c r="H22" s="208"/>
    </row>
    <row r="23" spans="2:8" s="3" customFormat="1" ht="18" customHeight="1">
      <c r="B23" s="209">
        <f>B7</f>
        <v>2019</v>
      </c>
      <c r="C23" s="214">
        <v>0.99403697136087077</v>
      </c>
      <c r="D23" s="214">
        <v>3.6474038831574318</v>
      </c>
      <c r="E23" s="214">
        <v>1.9689228304011728</v>
      </c>
      <c r="F23" s="214">
        <v>1.042192995246642</v>
      </c>
      <c r="G23" s="214">
        <v>0.83180900470241403</v>
      </c>
      <c r="H23" s="214">
        <v>1.1930296486102081</v>
      </c>
    </row>
    <row r="24" spans="2:8" s="3" customFormat="1">
      <c r="B24" s="209">
        <f t="shared" ref="B24:B28" si="5">B8</f>
        <v>2020</v>
      </c>
      <c r="C24" s="215">
        <v>0.99311697596376225</v>
      </c>
      <c r="D24" s="215">
        <v>3.6393774549084901</v>
      </c>
      <c r="E24" s="215">
        <v>2.0885540591010883</v>
      </c>
      <c r="F24" s="215">
        <v>1.0655212221815293</v>
      </c>
      <c r="G24" s="215">
        <v>0.83360924479967802</v>
      </c>
      <c r="H24" s="215">
        <v>1.1882740486569761</v>
      </c>
    </row>
    <row r="25" spans="2:8" s="3" customFormat="1">
      <c r="B25" s="209" t="str">
        <f t="shared" si="5"/>
        <v>2021*</v>
      </c>
      <c r="C25" s="215">
        <v>0.9824332066995779</v>
      </c>
      <c r="D25" s="215">
        <v>3.7964424096781491</v>
      </c>
      <c r="E25" s="215">
        <v>2.0887363165026658</v>
      </c>
      <c r="F25" s="215">
        <v>1.043906465001369</v>
      </c>
      <c r="G25" s="215">
        <v>0.8673691379905375</v>
      </c>
      <c r="H25" s="215">
        <v>1.2147899497705503</v>
      </c>
    </row>
    <row r="26" spans="2:8" s="3" customFormat="1">
      <c r="B26" s="209">
        <f t="shared" si="5"/>
        <v>2022</v>
      </c>
      <c r="C26" s="215">
        <v>0.95869479618312448</v>
      </c>
      <c r="D26" s="215">
        <v>3.5635018914530479</v>
      </c>
      <c r="E26" s="215">
        <v>2.0738174131480345</v>
      </c>
      <c r="F26" s="215">
        <v>1.0414399625385085</v>
      </c>
      <c r="G26" s="215">
        <v>0.89977478255174292</v>
      </c>
      <c r="H26" s="215">
        <v>1.1933711791979698</v>
      </c>
    </row>
    <row r="27" spans="2:8" s="3" customFormat="1">
      <c r="B27" s="209">
        <f t="shared" si="5"/>
        <v>2023</v>
      </c>
      <c r="C27" s="215">
        <v>0.93980234454050793</v>
      </c>
      <c r="D27" s="215">
        <v>3.4694184968680828</v>
      </c>
      <c r="E27" s="215">
        <v>2.0817940099122136</v>
      </c>
      <c r="F27" s="215">
        <v>0.96963672017589086</v>
      </c>
      <c r="G27" s="215">
        <v>0.8232440498153788</v>
      </c>
      <c r="H27" s="215">
        <v>1.1538027722939608</v>
      </c>
    </row>
    <row r="28" spans="2:8" s="3" customFormat="1">
      <c r="B28" s="209">
        <f t="shared" si="5"/>
        <v>2024</v>
      </c>
      <c r="C28" s="215">
        <v>0.93150328051475029</v>
      </c>
      <c r="D28" s="215">
        <v>3.743307937440322</v>
      </c>
      <c r="E28" s="215">
        <v>2.1321717129053228</v>
      </c>
      <c r="F28" s="215">
        <v>0.93862676465232397</v>
      </c>
      <c r="G28" s="215">
        <v>0.80310872922239096</v>
      </c>
      <c r="H28" s="215">
        <v>1.1528311365258677</v>
      </c>
    </row>
    <row r="29" spans="2:8" s="3" customFormat="1">
      <c r="B29" s="66"/>
      <c r="C29" s="66"/>
      <c r="D29" s="66"/>
      <c r="E29" s="66"/>
      <c r="F29" s="66"/>
      <c r="G29" s="66"/>
      <c r="H29" s="66"/>
    </row>
    <row r="30" spans="2:8" s="3" customFormat="1">
      <c r="B30" s="65" t="s">
        <v>246</v>
      </c>
      <c r="C30" s="66"/>
      <c r="D30" s="66"/>
      <c r="E30" s="66"/>
      <c r="F30" s="66"/>
      <c r="G30" s="66"/>
      <c r="H30" s="66"/>
    </row>
    <row r="31" spans="2:8" s="3" customFormat="1">
      <c r="B31" s="65" t="s">
        <v>247</v>
      </c>
      <c r="C31" s="66"/>
      <c r="D31" s="66"/>
      <c r="E31" s="66"/>
      <c r="F31" s="66"/>
      <c r="G31" s="66"/>
      <c r="H31" s="66"/>
    </row>
    <row r="32" spans="2:8">
      <c r="B32" s="65" t="s">
        <v>248</v>
      </c>
      <c r="C32" s="66"/>
      <c r="D32" s="66"/>
      <c r="E32" s="66"/>
      <c r="F32" s="66"/>
      <c r="G32" s="66"/>
      <c r="H32" s="66"/>
    </row>
    <row r="34" spans="2:2">
      <c r="B34" s="7" t="s">
        <v>192</v>
      </c>
    </row>
  </sheetData>
  <hyperlinks>
    <hyperlink ref="A1" location="TOC!A1" display="Back" xr:uid="{61338EE9-A833-4940-8E5C-79DDF4F0000A}"/>
  </hyperlinks>
  <pageMargins left="0.5" right="0.5" top="0.4" bottom="0.8" header="0.25" footer="0.35"/>
  <pageSetup orientation="landscape" cellComments="asDisplayed" r:id="rId1"/>
  <headerFooter scaleWithDoc="0">
    <oddHeader>&amp;R&amp;P</oddHeader>
    <oddFooter>&amp;R&amp;G&amp;L© 2025 Virginia Department of Taxation, All Rights Reserved</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F2E11-DF9B-4086-87C2-72DD19DCB204}">
  <sheetPr codeName="Sheet5"/>
  <dimension ref="A1:K182"/>
  <sheetViews>
    <sheetView zoomScale="105" zoomScaleNormal="105" workbookViewId="0"/>
  </sheetViews>
  <sheetFormatPr defaultRowHeight="13"/>
  <cols>
    <col min="1" max="1" width="4.19921875" style="814" customWidth="1"/>
    <col min="2" max="2" width="14.69921875" customWidth="1"/>
    <col min="3" max="3" width="15.69921875" style="4" bestFit="1" customWidth="1"/>
    <col min="4" max="4" width="17.8984375" style="4" bestFit="1" customWidth="1"/>
    <col min="5" max="6" width="17.3984375" style="4" bestFit="1" customWidth="1"/>
    <col min="7" max="7" width="18.19921875" style="4" bestFit="1" customWidth="1"/>
    <col min="8" max="8" width="14.796875" style="4" bestFit="1" customWidth="1"/>
    <col min="9" max="9" width="10.69921875" style="9" customWidth="1"/>
    <col min="10" max="10" width="1.69921875" customWidth="1"/>
    <col min="11" max="11" width="5.19921875" customWidth="1"/>
  </cols>
  <sheetData>
    <row r="1" spans="1:11" ht="15.5">
      <c r="A1" s="813" t="s">
        <v>42</v>
      </c>
      <c r="B1" s="63" t="s">
        <v>155</v>
      </c>
      <c r="C1" s="100"/>
      <c r="D1" s="100"/>
      <c r="E1" s="100"/>
      <c r="F1" s="100"/>
      <c r="G1" s="100"/>
      <c r="H1" s="100"/>
      <c r="I1" s="174"/>
      <c r="K1" s="8"/>
    </row>
    <row r="2" spans="1:11">
      <c r="B2" s="64" t="s">
        <v>1441</v>
      </c>
      <c r="C2" s="100"/>
      <c r="D2" s="100"/>
      <c r="E2" s="100"/>
      <c r="F2" s="100"/>
      <c r="G2" s="100"/>
      <c r="H2" s="100"/>
      <c r="I2" s="174"/>
    </row>
    <row r="3" spans="1:11" ht="3" customHeight="1">
      <c r="B3" s="64"/>
      <c r="C3" s="100"/>
      <c r="D3" s="100"/>
      <c r="E3" s="100"/>
      <c r="F3" s="100"/>
      <c r="G3" s="100"/>
      <c r="H3" s="100"/>
      <c r="I3" s="174"/>
    </row>
    <row r="4" spans="1:11" ht="3" customHeight="1" thickBot="1">
      <c r="B4" s="101"/>
      <c r="C4" s="102"/>
      <c r="D4" s="102"/>
      <c r="E4" s="102"/>
      <c r="F4" s="103"/>
      <c r="G4" s="103"/>
      <c r="H4" s="103"/>
      <c r="I4" s="202"/>
    </row>
    <row r="5" spans="1:11" ht="26">
      <c r="B5" s="104" t="s">
        <v>125</v>
      </c>
      <c r="C5" s="105" t="s">
        <v>156</v>
      </c>
      <c r="D5" s="105" t="s">
        <v>157</v>
      </c>
      <c r="E5" s="105" t="s">
        <v>158</v>
      </c>
      <c r="F5" s="105" t="s">
        <v>159</v>
      </c>
      <c r="G5" s="105" t="s">
        <v>160</v>
      </c>
      <c r="H5" s="105" t="s">
        <v>161</v>
      </c>
      <c r="I5" s="105" t="s">
        <v>162</v>
      </c>
    </row>
    <row r="6" spans="1:11" ht="21" customHeight="1">
      <c r="B6" s="66" t="s">
        <v>179</v>
      </c>
      <c r="C6" s="82">
        <v>20262649222</v>
      </c>
      <c r="D6" s="82">
        <v>20262649222</v>
      </c>
      <c r="E6" s="82">
        <v>27526594258</v>
      </c>
      <c r="F6" s="82">
        <f t="shared" ref="F6:F48" si="0">IF(SUM(C6,E6)=0,"",SUM(C6,E6))</f>
        <v>47789243480</v>
      </c>
      <c r="G6" s="82">
        <f t="shared" ref="G6:G48" si="1">IF(SUM(D6:E6)=0,"",SUM(D6:E6))</f>
        <v>47789243480</v>
      </c>
      <c r="H6" s="82">
        <v>542407913.49800003</v>
      </c>
      <c r="I6" s="187" t="s">
        <v>1442</v>
      </c>
    </row>
    <row r="7" spans="1:11">
      <c r="B7" s="66" t="s">
        <v>180</v>
      </c>
      <c r="C7" s="82">
        <v>309559000</v>
      </c>
      <c r="D7" s="82">
        <v>309559000</v>
      </c>
      <c r="E7" s="82">
        <v>1066820588</v>
      </c>
      <c r="F7" s="82">
        <f t="shared" si="0"/>
        <v>1376379588</v>
      </c>
      <c r="G7" s="82">
        <f t="shared" si="1"/>
        <v>1376379588</v>
      </c>
      <c r="H7" s="82">
        <v>16103641.1796</v>
      </c>
      <c r="I7" s="187" t="s">
        <v>1442</v>
      </c>
    </row>
    <row r="8" spans="1:11">
      <c r="B8" s="66" t="s">
        <v>126</v>
      </c>
      <c r="C8" s="82">
        <v>71498110</v>
      </c>
      <c r="D8" s="82">
        <v>71453510</v>
      </c>
      <c r="E8" s="82">
        <v>276830300</v>
      </c>
      <c r="F8" s="82">
        <f t="shared" si="0"/>
        <v>348328410</v>
      </c>
      <c r="G8" s="82">
        <f t="shared" si="1"/>
        <v>348283810</v>
      </c>
      <c r="H8" s="82">
        <v>4423204.3870000001</v>
      </c>
      <c r="I8" s="187" t="s">
        <v>1442</v>
      </c>
    </row>
    <row r="9" spans="1:11">
      <c r="B9" s="66" t="s">
        <v>127</v>
      </c>
      <c r="C9" s="82">
        <v>3229532400</v>
      </c>
      <c r="D9" s="82">
        <v>3229532400</v>
      </c>
      <c r="E9" s="82">
        <v>7671503000</v>
      </c>
      <c r="F9" s="82">
        <f t="shared" si="0"/>
        <v>10901035400</v>
      </c>
      <c r="G9" s="82">
        <f t="shared" si="1"/>
        <v>10901035400</v>
      </c>
      <c r="H9" s="82">
        <v>106830146.92</v>
      </c>
      <c r="I9" s="187" t="s">
        <v>1442</v>
      </c>
    </row>
    <row r="10" spans="1:11">
      <c r="B10" s="66" t="s">
        <v>181</v>
      </c>
      <c r="C10" s="82">
        <v>12972709900</v>
      </c>
      <c r="D10" s="82">
        <v>12685700800</v>
      </c>
      <c r="E10" s="82">
        <v>24996767200</v>
      </c>
      <c r="F10" s="82">
        <f t="shared" si="0"/>
        <v>37969477100</v>
      </c>
      <c r="G10" s="82">
        <f t="shared" si="1"/>
        <v>37682468000</v>
      </c>
      <c r="H10" s="82">
        <v>380592926.80000001</v>
      </c>
      <c r="I10" s="187" t="s">
        <v>1442</v>
      </c>
    </row>
    <row r="11" spans="1:11" ht="24" customHeight="1">
      <c r="B11" s="66" t="s">
        <v>128</v>
      </c>
      <c r="C11" s="82">
        <v>720312800</v>
      </c>
      <c r="D11" s="82">
        <v>720312800</v>
      </c>
      <c r="E11" s="82">
        <v>1567746120</v>
      </c>
      <c r="F11" s="82">
        <f t="shared" si="0"/>
        <v>2288058920</v>
      </c>
      <c r="G11" s="82">
        <f t="shared" si="1"/>
        <v>2288058920</v>
      </c>
      <c r="H11" s="82">
        <v>27456707.039999999</v>
      </c>
      <c r="I11" s="187" t="s">
        <v>1442</v>
      </c>
    </row>
    <row r="12" spans="1:11">
      <c r="B12" s="66" t="s">
        <v>129</v>
      </c>
      <c r="C12" s="82">
        <v>57330900</v>
      </c>
      <c r="D12" s="82">
        <v>57330900</v>
      </c>
      <c r="E12" s="82">
        <v>298584800</v>
      </c>
      <c r="F12" s="82">
        <f t="shared" si="0"/>
        <v>355915700</v>
      </c>
      <c r="G12" s="82">
        <f t="shared" si="1"/>
        <v>355915700</v>
      </c>
      <c r="H12" s="82">
        <v>3025283.45</v>
      </c>
      <c r="I12" s="187" t="s">
        <v>1442</v>
      </c>
    </row>
    <row r="13" spans="1:11">
      <c r="B13" s="66" t="s">
        <v>130</v>
      </c>
      <c r="C13" s="82">
        <v>314477000</v>
      </c>
      <c r="D13" s="82">
        <v>313266400</v>
      </c>
      <c r="E13" s="82">
        <v>2125690900</v>
      </c>
      <c r="F13" s="82">
        <f t="shared" si="0"/>
        <v>2440167900</v>
      </c>
      <c r="G13" s="82">
        <f t="shared" si="1"/>
        <v>2438957300</v>
      </c>
      <c r="H13" s="82">
        <v>20487241.32</v>
      </c>
      <c r="I13" s="187" t="s">
        <v>1442</v>
      </c>
    </row>
    <row r="14" spans="1:11">
      <c r="B14" s="66" t="s">
        <v>131</v>
      </c>
      <c r="C14" s="82">
        <v>70981200</v>
      </c>
      <c r="D14" s="82">
        <v>70981200</v>
      </c>
      <c r="E14" s="82">
        <v>350053700</v>
      </c>
      <c r="F14" s="82">
        <f t="shared" si="0"/>
        <v>421034900</v>
      </c>
      <c r="G14" s="82">
        <f t="shared" si="1"/>
        <v>421034900</v>
      </c>
      <c r="H14" s="82">
        <v>3873521.08</v>
      </c>
      <c r="I14" s="187" t="s">
        <v>1442</v>
      </c>
    </row>
    <row r="15" spans="1:11">
      <c r="B15" s="66" t="s">
        <v>132</v>
      </c>
      <c r="C15" s="82">
        <v>2907023200</v>
      </c>
      <c r="D15" s="82">
        <v>2907023200</v>
      </c>
      <c r="E15" s="82">
        <v>5040143500</v>
      </c>
      <c r="F15" s="82">
        <f t="shared" si="0"/>
        <v>7947166700</v>
      </c>
      <c r="G15" s="82">
        <f t="shared" si="1"/>
        <v>7947166700</v>
      </c>
      <c r="H15" s="82">
        <v>81855817.010000005</v>
      </c>
      <c r="I15" s="187" t="s">
        <v>1442</v>
      </c>
    </row>
    <row r="16" spans="1:11" ht="24" customHeight="1">
      <c r="B16" s="66" t="s">
        <v>133</v>
      </c>
      <c r="C16" s="82">
        <v>2633048200</v>
      </c>
      <c r="D16" s="82">
        <v>2633048200</v>
      </c>
      <c r="E16" s="82">
        <v>3267077600</v>
      </c>
      <c r="F16" s="82">
        <f t="shared" si="0"/>
        <v>5900125800</v>
      </c>
      <c r="G16" s="82">
        <f t="shared" si="1"/>
        <v>5900125800</v>
      </c>
      <c r="H16" s="82">
        <v>71391522.180000007</v>
      </c>
      <c r="I16" s="187" t="s">
        <v>1442</v>
      </c>
    </row>
    <row r="17" spans="1:9">
      <c r="B17" s="66" t="s">
        <v>71</v>
      </c>
      <c r="C17" s="82">
        <v>192448200</v>
      </c>
      <c r="D17" s="82">
        <v>185848352</v>
      </c>
      <c r="E17" s="82">
        <v>613117700</v>
      </c>
      <c r="F17" s="82">
        <f t="shared" si="0"/>
        <v>805565900</v>
      </c>
      <c r="G17" s="82">
        <f t="shared" si="1"/>
        <v>798966052</v>
      </c>
      <c r="H17" s="82">
        <v>8229350.3355999999</v>
      </c>
      <c r="I17" s="187" t="s">
        <v>1442</v>
      </c>
    </row>
    <row r="18" spans="1:9">
      <c r="B18" s="66" t="s">
        <v>134</v>
      </c>
      <c r="C18" s="82">
        <v>1576779800</v>
      </c>
      <c r="D18" s="82">
        <v>1545498900</v>
      </c>
      <c r="E18" s="82">
        <v>3215457400</v>
      </c>
      <c r="F18" s="82">
        <f t="shared" si="0"/>
        <v>4792237200</v>
      </c>
      <c r="G18" s="82">
        <f t="shared" si="1"/>
        <v>4760956300</v>
      </c>
      <c r="H18" s="82">
        <v>42372511.07</v>
      </c>
      <c r="I18" s="187" t="s">
        <v>1442</v>
      </c>
    </row>
    <row r="19" spans="1:9">
      <c r="B19" s="66" t="s">
        <v>135</v>
      </c>
      <c r="C19" s="82">
        <v>116433000</v>
      </c>
      <c r="D19" s="82">
        <v>116433000</v>
      </c>
      <c r="E19" s="82">
        <v>497587100</v>
      </c>
      <c r="F19" s="82">
        <f t="shared" si="0"/>
        <v>614020100</v>
      </c>
      <c r="G19" s="82">
        <f t="shared" si="1"/>
        <v>614020100</v>
      </c>
      <c r="H19" s="82">
        <v>5648984.9199999999</v>
      </c>
      <c r="I19" s="187" t="s">
        <v>1442</v>
      </c>
    </row>
    <row r="20" spans="1:9">
      <c r="B20" s="66" t="s">
        <v>136</v>
      </c>
      <c r="C20" s="82">
        <v>4116264600</v>
      </c>
      <c r="D20" s="82">
        <v>4101121400</v>
      </c>
      <c r="E20" s="82">
        <v>11514983100</v>
      </c>
      <c r="F20" s="82">
        <f t="shared" si="0"/>
        <v>15631247700</v>
      </c>
      <c r="G20" s="82">
        <f t="shared" si="1"/>
        <v>15616104500</v>
      </c>
      <c r="H20" s="82">
        <v>181146812.19999999</v>
      </c>
      <c r="I20" s="187" t="s">
        <v>1442</v>
      </c>
    </row>
    <row r="21" spans="1:9" s="3" customFormat="1" ht="24" customHeight="1">
      <c r="A21" s="815"/>
      <c r="B21" s="66" t="s">
        <v>182</v>
      </c>
      <c r="C21" s="82">
        <v>1482712100</v>
      </c>
      <c r="D21" s="82">
        <v>1435988900</v>
      </c>
      <c r="E21" s="82">
        <v>4442245900</v>
      </c>
      <c r="F21" s="82">
        <f t="shared" si="0"/>
        <v>5924958000</v>
      </c>
      <c r="G21" s="82">
        <f t="shared" si="1"/>
        <v>5878234800</v>
      </c>
      <c r="H21" s="82">
        <v>59370171.479999997</v>
      </c>
      <c r="I21" s="187" t="s">
        <v>1442</v>
      </c>
    </row>
    <row r="22" spans="1:9" s="3" customFormat="1">
      <c r="A22" s="815"/>
      <c r="B22" s="66" t="s">
        <v>137</v>
      </c>
      <c r="C22" s="82">
        <v>373053200</v>
      </c>
      <c r="D22" s="82">
        <v>373053200</v>
      </c>
      <c r="E22" s="82">
        <v>1583116900</v>
      </c>
      <c r="F22" s="82">
        <f t="shared" si="0"/>
        <v>1956170100</v>
      </c>
      <c r="G22" s="82">
        <f t="shared" si="1"/>
        <v>1956170100</v>
      </c>
      <c r="H22" s="82">
        <v>22887190.170000002</v>
      </c>
      <c r="I22" s="187" t="s">
        <v>1442</v>
      </c>
    </row>
    <row r="23" spans="1:9" s="3" customFormat="1">
      <c r="A23" s="815"/>
      <c r="B23" s="66" t="s">
        <v>138</v>
      </c>
      <c r="C23" s="82">
        <v>192412800</v>
      </c>
      <c r="D23" s="82">
        <v>192412800</v>
      </c>
      <c r="E23" s="82">
        <v>487333200</v>
      </c>
      <c r="F23" s="82">
        <f t="shared" si="0"/>
        <v>679746000</v>
      </c>
      <c r="G23" s="82">
        <f t="shared" si="1"/>
        <v>679746000</v>
      </c>
      <c r="H23" s="82">
        <v>6253663.2000000002</v>
      </c>
      <c r="I23" s="187" t="s">
        <v>1442</v>
      </c>
    </row>
    <row r="24" spans="1:9" s="3" customFormat="1">
      <c r="A24" s="815"/>
      <c r="B24" s="66" t="s">
        <v>139</v>
      </c>
      <c r="C24" s="82">
        <v>1566789600</v>
      </c>
      <c r="D24" s="82">
        <v>1551562200</v>
      </c>
      <c r="E24" s="82">
        <v>6121501200</v>
      </c>
      <c r="F24" s="82">
        <f t="shared" si="0"/>
        <v>7688290800</v>
      </c>
      <c r="G24" s="82">
        <f t="shared" si="1"/>
        <v>7673063400</v>
      </c>
      <c r="H24" s="82">
        <v>68290264.260000005</v>
      </c>
      <c r="I24" s="187" t="s">
        <v>1442</v>
      </c>
    </row>
    <row r="25" spans="1:9" s="3" customFormat="1">
      <c r="A25" s="815"/>
      <c r="B25" s="66" t="s">
        <v>183</v>
      </c>
      <c r="C25" s="82">
        <v>2289371600</v>
      </c>
      <c r="D25" s="82">
        <v>2289371600</v>
      </c>
      <c r="E25" s="82">
        <v>4612340200</v>
      </c>
      <c r="F25" s="82">
        <f t="shared" si="0"/>
        <v>6901711800</v>
      </c>
      <c r="G25" s="82">
        <f t="shared" si="1"/>
        <v>6901711800</v>
      </c>
      <c r="H25" s="82">
        <v>73848316.260000005</v>
      </c>
      <c r="I25" s="187" t="s">
        <v>1442</v>
      </c>
    </row>
    <row r="26" spans="1:9" s="3" customFormat="1" ht="24" customHeight="1">
      <c r="A26" s="815"/>
      <c r="B26" s="66" t="s">
        <v>184</v>
      </c>
      <c r="C26" s="82">
        <v>674611400</v>
      </c>
      <c r="D26" s="82">
        <v>664018200</v>
      </c>
      <c r="E26" s="82">
        <v>1624112000</v>
      </c>
      <c r="F26" s="82">
        <f t="shared" si="0"/>
        <v>2298723400</v>
      </c>
      <c r="G26" s="82">
        <f t="shared" si="1"/>
        <v>2288130200</v>
      </c>
      <c r="H26" s="82">
        <v>32720261.859999999</v>
      </c>
      <c r="I26" s="187" t="s">
        <v>1442</v>
      </c>
    </row>
    <row r="27" spans="1:9" s="3" customFormat="1">
      <c r="A27" s="815"/>
      <c r="B27" s="66" t="s">
        <v>185</v>
      </c>
      <c r="C27" s="82">
        <v>126425700</v>
      </c>
      <c r="D27" s="82">
        <v>126425700</v>
      </c>
      <c r="E27" s="82">
        <v>658435200</v>
      </c>
      <c r="F27" s="82">
        <f t="shared" si="0"/>
        <v>784860900</v>
      </c>
      <c r="G27" s="82">
        <f t="shared" si="1"/>
        <v>784860900</v>
      </c>
      <c r="H27" s="82">
        <v>7770122.9100000001</v>
      </c>
      <c r="I27" s="187" t="s">
        <v>1442</v>
      </c>
    </row>
    <row r="28" spans="1:9" s="3" customFormat="1">
      <c r="A28" s="815"/>
      <c r="B28" s="66" t="s">
        <v>140</v>
      </c>
      <c r="C28" s="82">
        <v>5353174900</v>
      </c>
      <c r="D28" s="82">
        <v>5353174900</v>
      </c>
      <c r="E28" s="82">
        <v>16981800900</v>
      </c>
      <c r="F28" s="82">
        <f t="shared" si="0"/>
        <v>22334975800</v>
      </c>
      <c r="G28" s="82">
        <f t="shared" si="1"/>
        <v>22334975800</v>
      </c>
      <c r="H28" s="82">
        <v>263552714.44</v>
      </c>
      <c r="I28" s="187" t="s">
        <v>1442</v>
      </c>
    </row>
    <row r="29" spans="1:9" s="3" customFormat="1">
      <c r="A29" s="815"/>
      <c r="B29" s="66" t="s">
        <v>141</v>
      </c>
      <c r="C29" s="82">
        <v>8005776600</v>
      </c>
      <c r="D29" s="82">
        <v>8005766600</v>
      </c>
      <c r="E29" s="82">
        <v>18102652300</v>
      </c>
      <c r="F29" s="82">
        <f t="shared" si="0"/>
        <v>26108428900</v>
      </c>
      <c r="G29" s="82">
        <f t="shared" si="1"/>
        <v>26108418900</v>
      </c>
      <c r="H29" s="82">
        <v>321133552.47000003</v>
      </c>
      <c r="I29" s="187" t="s">
        <v>1442</v>
      </c>
    </row>
    <row r="30" spans="1:9" s="3" customFormat="1">
      <c r="A30" s="815"/>
      <c r="B30" s="66" t="s">
        <v>142</v>
      </c>
      <c r="C30" s="82">
        <v>55814600</v>
      </c>
      <c r="D30" s="82">
        <v>55814600</v>
      </c>
      <c r="E30" s="82">
        <v>191833600</v>
      </c>
      <c r="F30" s="82">
        <f t="shared" si="0"/>
        <v>247648200</v>
      </c>
      <c r="G30" s="82">
        <f t="shared" si="1"/>
        <v>247648200</v>
      </c>
      <c r="H30" s="82">
        <v>2228833.7999999998</v>
      </c>
      <c r="I30" s="187" t="s">
        <v>1442</v>
      </c>
    </row>
    <row r="31" spans="1:9" s="3" customFormat="1" ht="24" customHeight="1">
      <c r="A31" s="815"/>
      <c r="B31" s="66" t="s">
        <v>143</v>
      </c>
      <c r="C31" s="82">
        <v>510595600</v>
      </c>
      <c r="D31" s="82">
        <v>501650300</v>
      </c>
      <c r="E31" s="82">
        <v>2108437000</v>
      </c>
      <c r="F31" s="82">
        <f t="shared" si="0"/>
        <v>2619032600</v>
      </c>
      <c r="G31" s="82">
        <f t="shared" si="1"/>
        <v>2610087300</v>
      </c>
      <c r="H31" s="82">
        <v>33148108.710000001</v>
      </c>
      <c r="I31" s="187" t="s">
        <v>1442</v>
      </c>
    </row>
    <row r="32" spans="1:9" s="3" customFormat="1">
      <c r="A32" s="815"/>
      <c r="B32" s="66" t="s">
        <v>186</v>
      </c>
      <c r="C32" s="82">
        <v>728466300</v>
      </c>
      <c r="D32" s="82">
        <v>728466300</v>
      </c>
      <c r="E32" s="82">
        <v>1409921700</v>
      </c>
      <c r="F32" s="82">
        <f t="shared" si="0"/>
        <v>2138388000</v>
      </c>
      <c r="G32" s="82">
        <f t="shared" si="1"/>
        <v>2138388000</v>
      </c>
      <c r="H32" s="82">
        <v>24377623.199999999</v>
      </c>
      <c r="I32" s="187" t="s">
        <v>1442</v>
      </c>
    </row>
    <row r="33" spans="1:9" s="3" customFormat="1">
      <c r="A33" s="815"/>
      <c r="B33" s="66" t="s">
        <v>144</v>
      </c>
      <c r="C33" s="82">
        <v>3147075250</v>
      </c>
      <c r="D33" s="82">
        <v>3146794650</v>
      </c>
      <c r="E33" s="82">
        <v>6795416588</v>
      </c>
      <c r="F33" s="82">
        <f t="shared" si="0"/>
        <v>9942491838</v>
      </c>
      <c r="G33" s="82">
        <f t="shared" si="1"/>
        <v>9942211238</v>
      </c>
      <c r="H33" s="82">
        <v>124277640.47499999</v>
      </c>
      <c r="I33" s="187" t="s">
        <v>1442</v>
      </c>
    </row>
    <row r="34" spans="1:9" s="3" customFormat="1">
      <c r="A34" s="815"/>
      <c r="B34" s="66" t="s">
        <v>145</v>
      </c>
      <c r="C34" s="82">
        <v>211421400</v>
      </c>
      <c r="D34" s="82">
        <v>208437550</v>
      </c>
      <c r="E34" s="82">
        <v>988264000</v>
      </c>
      <c r="F34" s="82">
        <f t="shared" si="0"/>
        <v>1199685400</v>
      </c>
      <c r="G34" s="82">
        <f t="shared" si="1"/>
        <v>1196701550</v>
      </c>
      <c r="H34" s="82">
        <v>8257240.6950000003</v>
      </c>
      <c r="I34" s="187" t="s">
        <v>1442</v>
      </c>
    </row>
    <row r="35" spans="1:9" s="3" customFormat="1">
      <c r="A35" s="815"/>
      <c r="B35" s="66" t="s">
        <v>146</v>
      </c>
      <c r="C35" s="82">
        <v>10903189000</v>
      </c>
      <c r="D35" s="82">
        <v>10903189000</v>
      </c>
      <c r="E35" s="82">
        <v>27766375000</v>
      </c>
      <c r="F35" s="82">
        <f t="shared" si="0"/>
        <v>38669564000</v>
      </c>
      <c r="G35" s="82">
        <f t="shared" si="1"/>
        <v>38669564000</v>
      </c>
      <c r="H35" s="82">
        <v>464034768</v>
      </c>
      <c r="I35" s="187" t="s">
        <v>1442</v>
      </c>
    </row>
    <row r="36" spans="1:9" s="3" customFormat="1" ht="15.5">
      <c r="A36" s="815"/>
      <c r="B36" s="63" t="str">
        <f>B1&amp;", continued"</f>
        <v>Table 6.2, continued</v>
      </c>
      <c r="C36" s="100"/>
      <c r="D36" s="100"/>
      <c r="E36" s="100"/>
      <c r="F36" s="100"/>
      <c r="G36" s="100"/>
      <c r="H36" s="100"/>
      <c r="I36" s="174"/>
    </row>
    <row r="37" spans="1:9" s="3" customFormat="1">
      <c r="A37" s="815"/>
      <c r="B37" s="64" t="str">
        <f>$B$2</f>
        <v>Real Estate Fair Market Value (FMV), Fair Market Value (Taxable), and Local Levy by Locality - Tax Year 2024</v>
      </c>
      <c r="C37" s="100"/>
      <c r="D37" s="100"/>
      <c r="E37" s="100"/>
      <c r="F37" s="100"/>
      <c r="G37" s="100"/>
      <c r="H37" s="100"/>
      <c r="I37" s="174"/>
    </row>
    <row r="38" spans="1:9" s="3" customFormat="1" ht="3" customHeight="1">
      <c r="A38" s="815"/>
      <c r="B38" s="64"/>
      <c r="C38" s="100"/>
      <c r="D38" s="100"/>
      <c r="E38" s="100"/>
      <c r="F38" s="100"/>
      <c r="G38" s="100"/>
      <c r="H38" s="100"/>
      <c r="I38" s="174"/>
    </row>
    <row r="39" spans="1:9" s="3" customFormat="1" ht="3" customHeight="1" thickBot="1">
      <c r="A39" s="815"/>
      <c r="B39" s="101"/>
      <c r="C39" s="102"/>
      <c r="D39" s="102"/>
      <c r="E39" s="102"/>
      <c r="F39" s="103"/>
      <c r="G39" s="103"/>
      <c r="H39" s="103"/>
      <c r="I39" s="202"/>
    </row>
    <row r="40" spans="1:9" s="3" customFormat="1" ht="26">
      <c r="A40" s="815"/>
      <c r="B40" s="104" t="s">
        <v>125</v>
      </c>
      <c r="C40" s="105" t="str">
        <f t="shared" ref="C40:I40" si="2">C$5</f>
        <v>FMV Land</v>
      </c>
      <c r="D40" s="105" t="str">
        <f t="shared" si="2"/>
        <v>FMV Taxable Land</v>
      </c>
      <c r="E40" s="105" t="str">
        <f t="shared" si="2"/>
        <v>FMV Structures</v>
      </c>
      <c r="F40" s="105" t="str">
        <f t="shared" si="2"/>
        <v>Total FMV</v>
      </c>
      <c r="G40" s="105" t="str">
        <f t="shared" si="2"/>
        <v>Total Taxable FMV</v>
      </c>
      <c r="H40" s="105" t="str">
        <f t="shared" si="2"/>
        <v>Local Levy</v>
      </c>
      <c r="I40" s="105" t="str">
        <f t="shared" si="2"/>
        <v>Reporting Year</v>
      </c>
    </row>
    <row r="41" spans="1:9" s="3" customFormat="1" ht="21" customHeight="1">
      <c r="A41" s="815"/>
      <c r="B41" s="66" t="s">
        <v>177</v>
      </c>
      <c r="C41" s="82">
        <v>2171097200</v>
      </c>
      <c r="D41" s="82">
        <v>2167555900</v>
      </c>
      <c r="E41" s="82">
        <v>8507541500</v>
      </c>
      <c r="F41" s="82">
        <f t="shared" si="0"/>
        <v>10678638700</v>
      </c>
      <c r="G41" s="82">
        <f t="shared" si="1"/>
        <v>10675097400</v>
      </c>
      <c r="H41" s="82">
        <v>130236188.28</v>
      </c>
      <c r="I41" s="187" t="s">
        <v>1442</v>
      </c>
    </row>
    <row r="42" spans="1:9" s="3" customFormat="1">
      <c r="A42" s="815"/>
      <c r="B42" s="66" t="s">
        <v>147</v>
      </c>
      <c r="C42" s="82">
        <v>704992600</v>
      </c>
      <c r="D42" s="82">
        <v>704992600</v>
      </c>
      <c r="E42" s="82">
        <v>2342947900</v>
      </c>
      <c r="F42" s="82">
        <f t="shared" si="0"/>
        <v>3047940500</v>
      </c>
      <c r="G42" s="82">
        <f t="shared" si="1"/>
        <v>3047940500</v>
      </c>
      <c r="H42" s="82">
        <v>36575286</v>
      </c>
      <c r="I42" s="187" t="s">
        <v>1442</v>
      </c>
    </row>
    <row r="43" spans="1:9" s="3" customFormat="1">
      <c r="A43" s="815"/>
      <c r="B43" s="66" t="s">
        <v>187</v>
      </c>
      <c r="C43" s="82">
        <v>609718454</v>
      </c>
      <c r="D43" s="82">
        <v>587383371</v>
      </c>
      <c r="E43" s="82">
        <v>2320792646</v>
      </c>
      <c r="F43" s="82">
        <f t="shared" si="0"/>
        <v>2930511100</v>
      </c>
      <c r="G43" s="82">
        <f t="shared" si="1"/>
        <v>2908176017</v>
      </c>
      <c r="H43" s="82">
        <v>25882766.5513</v>
      </c>
      <c r="I43" s="187" t="s">
        <v>1442</v>
      </c>
    </row>
    <row r="44" spans="1:9" s="3" customFormat="1">
      <c r="A44" s="815"/>
      <c r="B44" s="66" t="s">
        <v>188</v>
      </c>
      <c r="C44" s="82">
        <v>4198766700</v>
      </c>
      <c r="D44" s="82">
        <v>3754219100</v>
      </c>
      <c r="E44" s="82">
        <v>11976545200</v>
      </c>
      <c r="F44" s="82">
        <f t="shared" si="0"/>
        <v>16175311900</v>
      </c>
      <c r="G44" s="82">
        <f t="shared" si="1"/>
        <v>15730764300</v>
      </c>
      <c r="H44" s="82">
        <v>171465330.87</v>
      </c>
      <c r="I44" s="187" t="s">
        <v>1442</v>
      </c>
    </row>
    <row r="45" spans="1:9" s="3" customFormat="1">
      <c r="A45" s="815"/>
      <c r="B45" s="66" t="s">
        <v>148</v>
      </c>
      <c r="C45" s="82">
        <v>31429611800</v>
      </c>
      <c r="D45" s="82">
        <v>31151828500</v>
      </c>
      <c r="E45" s="82">
        <v>45271373900</v>
      </c>
      <c r="F45" s="82">
        <f t="shared" si="0"/>
        <v>76700985700</v>
      </c>
      <c r="G45" s="82">
        <f t="shared" si="1"/>
        <v>76423202400</v>
      </c>
      <c r="H45" s="82">
        <v>756589703.75999999</v>
      </c>
      <c r="I45" s="187" t="s">
        <v>1442</v>
      </c>
    </row>
    <row r="46" spans="1:9" s="3" customFormat="1" ht="21" customHeight="1">
      <c r="A46" s="815"/>
      <c r="B46" s="66" t="s">
        <v>149</v>
      </c>
      <c r="C46" s="82">
        <v>688743200</v>
      </c>
      <c r="D46" s="82">
        <v>677896500</v>
      </c>
      <c r="E46" s="82">
        <v>2082520300</v>
      </c>
      <c r="F46" s="82">
        <f t="shared" si="0"/>
        <v>2771263500</v>
      </c>
      <c r="G46" s="82">
        <f t="shared" si="1"/>
        <v>2760416800</v>
      </c>
      <c r="H46" s="82">
        <v>21255209.359999999</v>
      </c>
      <c r="I46" s="187" t="s">
        <v>1442</v>
      </c>
    </row>
    <row r="47" spans="1:9" s="3" customFormat="1">
      <c r="A47" s="815"/>
      <c r="B47" s="66" t="s">
        <v>150</v>
      </c>
      <c r="C47" s="82">
        <v>782703700</v>
      </c>
      <c r="D47" s="82">
        <v>782703700</v>
      </c>
      <c r="E47" s="82">
        <v>2125167000</v>
      </c>
      <c r="F47" s="82">
        <f t="shared" si="0"/>
        <v>2907870700</v>
      </c>
      <c r="G47" s="82">
        <f t="shared" si="1"/>
        <v>2907870700</v>
      </c>
      <c r="H47" s="82">
        <v>18028798.34</v>
      </c>
      <c r="I47" s="187" t="s">
        <v>1442</v>
      </c>
    </row>
    <row r="48" spans="1:9" s="3" customFormat="1">
      <c r="A48" s="815"/>
      <c r="B48" s="66" t="s">
        <v>151</v>
      </c>
      <c r="C48" s="82">
        <v>1061243325</v>
      </c>
      <c r="D48" s="82">
        <v>1059543027</v>
      </c>
      <c r="E48" s="82">
        <v>3294988453</v>
      </c>
      <c r="F48" s="82">
        <f t="shared" si="0"/>
        <v>4356231778</v>
      </c>
      <c r="G48" s="82">
        <f t="shared" si="1"/>
        <v>4354531480</v>
      </c>
      <c r="H48" s="82">
        <v>36142611.284000002</v>
      </c>
      <c r="I48" s="187" t="s">
        <v>1442</v>
      </c>
    </row>
    <row r="49" spans="1:9" s="3" customFormat="1">
      <c r="A49" s="815"/>
      <c r="B49" s="66"/>
      <c r="C49" s="82"/>
      <c r="D49" s="82"/>
      <c r="E49" s="82"/>
      <c r="F49" s="82"/>
      <c r="G49" s="82"/>
      <c r="H49" s="82"/>
      <c r="I49" s="187"/>
    </row>
    <row r="50" spans="1:9" s="3" customFormat="1">
      <c r="A50" s="815"/>
      <c r="B50" s="106" t="s">
        <v>152</v>
      </c>
      <c r="C50" s="107">
        <f t="shared" ref="C50:H50" si="3">SUM(C6:C35,C41:C48)</f>
        <v>126818814561</v>
      </c>
      <c r="D50" s="107">
        <f t="shared" si="3"/>
        <v>125632008482</v>
      </c>
      <c r="E50" s="107">
        <f t="shared" si="3"/>
        <v>261824619853</v>
      </c>
      <c r="F50" s="107">
        <f t="shared" si="3"/>
        <v>388643434414</v>
      </c>
      <c r="G50" s="107">
        <f t="shared" si="3"/>
        <v>387456628335</v>
      </c>
      <c r="H50" s="107">
        <f t="shared" si="3"/>
        <v>4204171949.7655001</v>
      </c>
      <c r="I50" s="203"/>
    </row>
    <row r="51" spans="1:9">
      <c r="B51" s="66"/>
      <c r="C51" s="100"/>
      <c r="D51" s="100"/>
      <c r="E51" s="100"/>
      <c r="F51" s="100"/>
      <c r="G51" s="100"/>
      <c r="H51" s="100"/>
      <c r="I51" s="174"/>
    </row>
    <row r="52" spans="1:9">
      <c r="B52" s="66"/>
      <c r="C52" s="100"/>
      <c r="D52" s="100"/>
      <c r="E52" s="100"/>
      <c r="F52" s="100"/>
      <c r="G52" s="100"/>
      <c r="H52" s="100"/>
      <c r="I52" s="174"/>
    </row>
    <row r="53" spans="1:9" s="3" customFormat="1" ht="15.5">
      <c r="A53" s="815"/>
      <c r="B53" s="63" t="str">
        <f>$B$36</f>
        <v>Table 6.2, continued</v>
      </c>
      <c r="C53" s="100"/>
      <c r="D53" s="100"/>
      <c r="E53" s="100"/>
      <c r="F53" s="100"/>
      <c r="G53" s="100"/>
      <c r="H53" s="100"/>
      <c r="I53" s="174"/>
    </row>
    <row r="54" spans="1:9" s="3" customFormat="1">
      <c r="A54" s="815"/>
      <c r="B54" s="64" t="str">
        <f>$B$2</f>
        <v>Real Estate Fair Market Value (FMV), Fair Market Value (Taxable), and Local Levy by Locality - Tax Year 2024</v>
      </c>
      <c r="C54" s="100"/>
      <c r="D54" s="100"/>
      <c r="E54" s="100"/>
      <c r="F54" s="100"/>
      <c r="G54" s="100"/>
      <c r="H54" s="100"/>
      <c r="I54" s="174"/>
    </row>
    <row r="55" spans="1:9" s="3" customFormat="1" ht="3" customHeight="1">
      <c r="A55" s="815"/>
      <c r="B55" s="64"/>
      <c r="C55" s="100"/>
      <c r="D55" s="100"/>
      <c r="E55" s="100"/>
      <c r="F55" s="100"/>
      <c r="G55" s="100"/>
      <c r="H55" s="100"/>
      <c r="I55" s="174"/>
    </row>
    <row r="56" spans="1:9" s="3" customFormat="1" ht="3" customHeight="1" thickBot="1">
      <c r="A56" s="815"/>
      <c r="B56" s="101"/>
      <c r="C56" s="102"/>
      <c r="D56" s="102"/>
      <c r="E56" s="102"/>
      <c r="F56" s="103"/>
      <c r="G56" s="103"/>
      <c r="H56" s="103"/>
      <c r="I56" s="202"/>
    </row>
    <row r="57" spans="1:9" s="3" customFormat="1" ht="26">
      <c r="A57" s="815"/>
      <c r="B57" s="104" t="s">
        <v>43</v>
      </c>
      <c r="C57" s="105" t="str">
        <f t="shared" ref="C57:I57" si="4">C$5</f>
        <v>FMV Land</v>
      </c>
      <c r="D57" s="105" t="str">
        <f t="shared" si="4"/>
        <v>FMV Taxable Land</v>
      </c>
      <c r="E57" s="105" t="str">
        <f t="shared" si="4"/>
        <v>FMV Structures</v>
      </c>
      <c r="F57" s="105" t="str">
        <f t="shared" si="4"/>
        <v>Total FMV</v>
      </c>
      <c r="G57" s="105" t="str">
        <f t="shared" si="4"/>
        <v>Total Taxable FMV</v>
      </c>
      <c r="H57" s="105" t="str">
        <f t="shared" si="4"/>
        <v>Local Levy</v>
      </c>
      <c r="I57" s="105" t="str">
        <f t="shared" si="4"/>
        <v>Reporting Year</v>
      </c>
    </row>
    <row r="58" spans="1:9" s="3" customFormat="1" ht="21" customHeight="1">
      <c r="A58" s="815"/>
      <c r="B58" s="66" t="s">
        <v>44</v>
      </c>
      <c r="C58" s="82">
        <v>1947144700</v>
      </c>
      <c r="D58" s="82">
        <v>1752631900</v>
      </c>
      <c r="E58" s="82">
        <v>3471632600</v>
      </c>
      <c r="F58" s="82">
        <f>IF(SUM(C58,E58)=0,"",SUM(C58,E58))</f>
        <v>5418777300</v>
      </c>
      <c r="G58" s="82">
        <f>IF(SUM(D58:E58)=0,"",SUM(D58:E58))</f>
        <v>5224264500</v>
      </c>
      <c r="H58" s="82">
        <v>25285440.18</v>
      </c>
      <c r="I58" s="204" t="s">
        <v>1442</v>
      </c>
    </row>
    <row r="59" spans="1:9" s="3" customFormat="1">
      <c r="A59" s="815"/>
      <c r="B59" s="66" t="s">
        <v>45</v>
      </c>
      <c r="C59" s="82">
        <v>9788932600</v>
      </c>
      <c r="D59" s="82">
        <v>8129052100</v>
      </c>
      <c r="E59" s="82">
        <v>19798049800</v>
      </c>
      <c r="F59" s="82">
        <f t="shared" ref="F59:F92" si="5">IF(SUM(C59,E59)=0,"",SUM(C59,E59))</f>
        <v>29586982400</v>
      </c>
      <c r="G59" s="82">
        <f t="shared" ref="G59:G92" si="6">IF(SUM(D59:E59)=0,"",SUM(D59:E59))</f>
        <v>27927101900</v>
      </c>
      <c r="H59" s="82">
        <v>238497450.22600001</v>
      </c>
      <c r="I59" s="204" t="s">
        <v>1442</v>
      </c>
    </row>
    <row r="60" spans="1:9" s="3" customFormat="1">
      <c r="A60" s="815"/>
      <c r="B60" s="66" t="s">
        <v>46</v>
      </c>
      <c r="C60" s="82">
        <v>331737806</v>
      </c>
      <c r="D60" s="82">
        <v>247576506</v>
      </c>
      <c r="E60" s="82">
        <v>825048628</v>
      </c>
      <c r="F60" s="82">
        <f t="shared" si="5"/>
        <v>1156786434</v>
      </c>
      <c r="G60" s="82">
        <f t="shared" si="6"/>
        <v>1072625134</v>
      </c>
      <c r="H60" s="82">
        <v>7830163.4781999998</v>
      </c>
      <c r="I60" s="204" t="s">
        <v>1442</v>
      </c>
    </row>
    <row r="61" spans="1:9" s="3" customFormat="1">
      <c r="A61" s="815"/>
      <c r="B61" s="66" t="s">
        <v>47</v>
      </c>
      <c r="C61" s="82">
        <v>637164050</v>
      </c>
      <c r="D61" s="82">
        <v>569420450</v>
      </c>
      <c r="E61" s="82">
        <v>1219576100</v>
      </c>
      <c r="F61" s="82">
        <f t="shared" si="5"/>
        <v>1856740150</v>
      </c>
      <c r="G61" s="82">
        <f t="shared" si="6"/>
        <v>1788996550</v>
      </c>
      <c r="H61" s="82">
        <v>8229384.1299999999</v>
      </c>
      <c r="I61" s="204" t="s">
        <v>1442</v>
      </c>
    </row>
    <row r="62" spans="1:9" s="3" customFormat="1">
      <c r="A62" s="815"/>
      <c r="B62" s="66" t="s">
        <v>48</v>
      </c>
      <c r="C62" s="82">
        <v>1041309000</v>
      </c>
      <c r="D62" s="82">
        <v>737596400</v>
      </c>
      <c r="E62" s="82">
        <v>1816825300</v>
      </c>
      <c r="F62" s="82">
        <f t="shared" si="5"/>
        <v>2858134300</v>
      </c>
      <c r="G62" s="82">
        <f t="shared" si="6"/>
        <v>2554421700</v>
      </c>
      <c r="H62" s="82">
        <v>15581972.369999999</v>
      </c>
      <c r="I62" s="204" t="s">
        <v>1442</v>
      </c>
    </row>
    <row r="63" spans="1:9" s="3" customFormat="1" ht="21" customHeight="1">
      <c r="A63" s="815"/>
      <c r="B63" s="66" t="s">
        <v>49</v>
      </c>
      <c r="C63" s="82">
        <v>617557700</v>
      </c>
      <c r="D63" s="82">
        <v>569229306</v>
      </c>
      <c r="E63" s="82">
        <v>918808200</v>
      </c>
      <c r="F63" s="82">
        <f t="shared" si="5"/>
        <v>1536365900</v>
      </c>
      <c r="G63" s="82">
        <f t="shared" si="6"/>
        <v>1488037506</v>
      </c>
      <c r="H63" s="82">
        <v>9374636.2877999991</v>
      </c>
      <c r="I63" s="198" t="s">
        <v>1442</v>
      </c>
    </row>
    <row r="64" spans="1:9" s="3" customFormat="1">
      <c r="A64" s="815"/>
      <c r="B64" s="66" t="s">
        <v>164</v>
      </c>
      <c r="C64" s="82">
        <v>38156167600</v>
      </c>
      <c r="D64" s="82">
        <v>38156167600</v>
      </c>
      <c r="E64" s="82">
        <v>53266480500</v>
      </c>
      <c r="F64" s="82">
        <f t="shared" si="5"/>
        <v>91422648100</v>
      </c>
      <c r="G64" s="82">
        <f t="shared" si="6"/>
        <v>91422648100</v>
      </c>
      <c r="H64" s="82">
        <v>944395954.87300003</v>
      </c>
      <c r="I64" s="198" t="s">
        <v>1442</v>
      </c>
    </row>
    <row r="65" spans="1:9" s="3" customFormat="1">
      <c r="A65" s="815"/>
      <c r="B65" s="66" t="s">
        <v>50</v>
      </c>
      <c r="C65" s="82">
        <v>4582439800</v>
      </c>
      <c r="D65" s="82">
        <v>2962752400</v>
      </c>
      <c r="E65" s="82">
        <v>8906480600</v>
      </c>
      <c r="F65" s="82">
        <f t="shared" si="5"/>
        <v>13488920400</v>
      </c>
      <c r="G65" s="82">
        <f t="shared" si="6"/>
        <v>11869233000</v>
      </c>
      <c r="H65" s="82">
        <v>61720011.600000001</v>
      </c>
      <c r="I65" s="198" t="s">
        <v>1442</v>
      </c>
    </row>
    <row r="66" spans="1:9" s="3" customFormat="1">
      <c r="A66" s="815"/>
      <c r="B66" s="66" t="s">
        <v>165</v>
      </c>
      <c r="C66" s="82">
        <v>407318000</v>
      </c>
      <c r="D66" s="82">
        <v>376561800</v>
      </c>
      <c r="E66" s="82">
        <v>601976100</v>
      </c>
      <c r="F66" s="82">
        <f t="shared" si="5"/>
        <v>1009294100</v>
      </c>
      <c r="G66" s="82">
        <f t="shared" si="6"/>
        <v>978537900</v>
      </c>
      <c r="H66" s="82">
        <v>5871227.4000000004</v>
      </c>
      <c r="I66" s="198" t="s">
        <v>1442</v>
      </c>
    </row>
    <row r="67" spans="1:9" s="3" customFormat="1">
      <c r="A67" s="815"/>
      <c r="B67" s="66" t="s">
        <v>51</v>
      </c>
      <c r="C67" s="82">
        <v>5012801400</v>
      </c>
      <c r="D67" s="82">
        <v>3780980900</v>
      </c>
      <c r="E67" s="82">
        <v>8937836300</v>
      </c>
      <c r="F67" s="82">
        <f t="shared" si="5"/>
        <v>13950637700</v>
      </c>
      <c r="G67" s="82">
        <f t="shared" si="6"/>
        <v>12718817200</v>
      </c>
      <c r="H67" s="82">
        <v>52147150.520000003</v>
      </c>
      <c r="I67" s="198" t="s">
        <v>1442</v>
      </c>
    </row>
    <row r="68" spans="1:9" s="3" customFormat="1" ht="24" customHeight="1">
      <c r="A68" s="815"/>
      <c r="B68" s="66" t="s">
        <v>52</v>
      </c>
      <c r="C68" s="82">
        <v>350291600</v>
      </c>
      <c r="D68" s="82">
        <v>200186100</v>
      </c>
      <c r="E68" s="82">
        <v>280659400</v>
      </c>
      <c r="F68" s="82">
        <f t="shared" si="5"/>
        <v>630951000</v>
      </c>
      <c r="G68" s="82">
        <f t="shared" si="6"/>
        <v>480845500</v>
      </c>
      <c r="H68" s="82">
        <v>2885073</v>
      </c>
      <c r="I68" s="198" t="s">
        <v>1442</v>
      </c>
    </row>
    <row r="69" spans="1:9" s="3" customFormat="1">
      <c r="A69" s="815"/>
      <c r="B69" s="66" t="s">
        <v>53</v>
      </c>
      <c r="C69" s="82">
        <v>1572360100</v>
      </c>
      <c r="D69" s="82">
        <v>1213830400</v>
      </c>
      <c r="E69" s="82">
        <v>4279413370</v>
      </c>
      <c r="F69" s="82">
        <f t="shared" si="5"/>
        <v>5851773470</v>
      </c>
      <c r="G69" s="82">
        <f t="shared" si="6"/>
        <v>5493243770</v>
      </c>
      <c r="H69" s="82">
        <v>38452706.390000001</v>
      </c>
      <c r="I69" s="198" t="s">
        <v>1442</v>
      </c>
    </row>
    <row r="70" spans="1:9" s="3" customFormat="1">
      <c r="A70" s="815"/>
      <c r="B70" s="66" t="s">
        <v>54</v>
      </c>
      <c r="C70" s="82">
        <v>909730400</v>
      </c>
      <c r="D70" s="82">
        <v>909730400</v>
      </c>
      <c r="E70" s="82">
        <v>1056657510</v>
      </c>
      <c r="F70" s="82">
        <f t="shared" si="5"/>
        <v>1966387910</v>
      </c>
      <c r="G70" s="82">
        <f t="shared" si="6"/>
        <v>1966387910</v>
      </c>
      <c r="H70" s="82">
        <v>9831939.5500000007</v>
      </c>
      <c r="I70" s="198" t="s">
        <v>1442</v>
      </c>
    </row>
    <row r="71" spans="1:9" s="3" customFormat="1">
      <c r="A71" s="815"/>
      <c r="B71" s="66" t="s">
        <v>55</v>
      </c>
      <c r="C71" s="82">
        <v>616428504</v>
      </c>
      <c r="D71" s="82">
        <v>616428504</v>
      </c>
      <c r="E71" s="82">
        <v>1597302587</v>
      </c>
      <c r="F71" s="82">
        <f t="shared" si="5"/>
        <v>2213731091</v>
      </c>
      <c r="G71" s="82">
        <f t="shared" si="6"/>
        <v>2213731091</v>
      </c>
      <c r="H71" s="82">
        <v>8633551.2548999991</v>
      </c>
      <c r="I71" s="198" t="s">
        <v>1442</v>
      </c>
    </row>
    <row r="72" spans="1:9" s="3" customFormat="1">
      <c r="A72" s="815"/>
      <c r="B72" s="66" t="s">
        <v>56</v>
      </c>
      <c r="C72" s="82">
        <v>784057600</v>
      </c>
      <c r="D72" s="82">
        <v>784057600</v>
      </c>
      <c r="E72" s="82">
        <v>857077499</v>
      </c>
      <c r="F72" s="82">
        <f t="shared" si="5"/>
        <v>1641135099</v>
      </c>
      <c r="G72" s="82">
        <f t="shared" si="6"/>
        <v>1641135099</v>
      </c>
      <c r="H72" s="82">
        <v>9846810.5940000005</v>
      </c>
      <c r="I72" s="198" t="s">
        <v>1442</v>
      </c>
    </row>
    <row r="73" spans="1:9" s="3" customFormat="1" ht="15.5">
      <c r="A73" s="815"/>
      <c r="B73" s="63" t="str">
        <f>$B$36</f>
        <v>Table 6.2, continued</v>
      </c>
      <c r="C73" s="100"/>
      <c r="D73" s="100"/>
      <c r="E73" s="100"/>
      <c r="F73" s="100"/>
      <c r="G73" s="100"/>
      <c r="H73" s="100"/>
      <c r="I73" s="174"/>
    </row>
    <row r="74" spans="1:9" s="3" customFormat="1">
      <c r="A74" s="815"/>
      <c r="B74" s="64" t="str">
        <f>$B$2</f>
        <v>Real Estate Fair Market Value (FMV), Fair Market Value (Taxable), and Local Levy by Locality - Tax Year 2024</v>
      </c>
      <c r="C74" s="100"/>
      <c r="D74" s="100"/>
      <c r="E74" s="100"/>
      <c r="F74" s="100"/>
      <c r="G74" s="100"/>
      <c r="H74" s="100"/>
      <c r="I74" s="174"/>
    </row>
    <row r="75" spans="1:9" s="3" customFormat="1" ht="3" customHeight="1">
      <c r="A75" s="815"/>
      <c r="B75" s="64"/>
      <c r="C75" s="100"/>
      <c r="D75" s="100"/>
      <c r="E75" s="100"/>
      <c r="F75" s="100"/>
      <c r="G75" s="100"/>
      <c r="H75" s="100"/>
      <c r="I75" s="174"/>
    </row>
    <row r="76" spans="1:9" s="3" customFormat="1" ht="3" customHeight="1" thickBot="1">
      <c r="A76" s="815"/>
      <c r="B76" s="101"/>
      <c r="C76" s="102"/>
      <c r="D76" s="102"/>
      <c r="E76" s="102"/>
      <c r="F76" s="103"/>
      <c r="G76" s="103"/>
      <c r="H76" s="103"/>
      <c r="I76" s="202"/>
    </row>
    <row r="77" spans="1:9" s="3" customFormat="1" ht="26">
      <c r="A77" s="815"/>
      <c r="B77" s="104" t="s">
        <v>43</v>
      </c>
      <c r="C77" s="105" t="str">
        <f t="shared" ref="C77:I77" si="7">C$5</f>
        <v>FMV Land</v>
      </c>
      <c r="D77" s="105" t="str">
        <f t="shared" si="7"/>
        <v>FMV Taxable Land</v>
      </c>
      <c r="E77" s="105" t="str">
        <f t="shared" si="7"/>
        <v>FMV Structures</v>
      </c>
      <c r="F77" s="105" t="str">
        <f t="shared" si="7"/>
        <v>Total FMV</v>
      </c>
      <c r="G77" s="105" t="str">
        <f t="shared" si="7"/>
        <v>Total Taxable FMV</v>
      </c>
      <c r="H77" s="105" t="str">
        <f t="shared" si="7"/>
        <v>Local Levy</v>
      </c>
      <c r="I77" s="105" t="str">
        <f t="shared" si="7"/>
        <v>Reporting Year</v>
      </c>
    </row>
    <row r="78" spans="1:9" s="3" customFormat="1" ht="21" customHeight="1">
      <c r="A78" s="815"/>
      <c r="B78" s="66" t="s">
        <v>57</v>
      </c>
      <c r="C78" s="82">
        <v>1717442076</v>
      </c>
      <c r="D78" s="82">
        <v>1358352143</v>
      </c>
      <c r="E78" s="82">
        <v>4576120900</v>
      </c>
      <c r="F78" s="82">
        <f t="shared" si="5"/>
        <v>6293562976</v>
      </c>
      <c r="G78" s="82">
        <f t="shared" si="6"/>
        <v>5934473043</v>
      </c>
      <c r="H78" s="82">
        <v>26705128.693500001</v>
      </c>
      <c r="I78" s="187" t="s">
        <v>1442</v>
      </c>
    </row>
    <row r="79" spans="1:9" s="3" customFormat="1">
      <c r="A79" s="815"/>
      <c r="B79" s="66" t="s">
        <v>58</v>
      </c>
      <c r="C79" s="82">
        <v>1544009378</v>
      </c>
      <c r="D79" s="82">
        <v>1326242161</v>
      </c>
      <c r="E79" s="82">
        <v>2323328300</v>
      </c>
      <c r="F79" s="82">
        <f t="shared" si="5"/>
        <v>3867337678</v>
      </c>
      <c r="G79" s="82">
        <f t="shared" si="6"/>
        <v>3649570461</v>
      </c>
      <c r="H79" s="82">
        <v>28466649.595800001</v>
      </c>
      <c r="I79" s="187" t="s">
        <v>1442</v>
      </c>
    </row>
    <row r="80" spans="1:9" s="3" customFormat="1">
      <c r="A80" s="815"/>
      <c r="B80" s="66" t="s">
        <v>59</v>
      </c>
      <c r="C80" s="82">
        <v>1069940200</v>
      </c>
      <c r="D80" s="82">
        <v>866805879</v>
      </c>
      <c r="E80" s="82">
        <v>1565178400</v>
      </c>
      <c r="F80" s="82">
        <f t="shared" si="5"/>
        <v>2635118600</v>
      </c>
      <c r="G80" s="82">
        <f t="shared" si="6"/>
        <v>2431984279</v>
      </c>
      <c r="H80" s="82">
        <v>14348707.246099999</v>
      </c>
      <c r="I80" s="187" t="s">
        <v>1442</v>
      </c>
    </row>
    <row r="81" spans="1:9" s="3" customFormat="1">
      <c r="A81" s="815"/>
      <c r="B81" s="66" t="s">
        <v>166</v>
      </c>
      <c r="C81" s="82">
        <v>446802525</v>
      </c>
      <c r="D81" s="82">
        <v>440586795</v>
      </c>
      <c r="E81" s="82">
        <v>604713170</v>
      </c>
      <c r="F81" s="82">
        <f t="shared" si="5"/>
        <v>1051515695</v>
      </c>
      <c r="G81" s="82">
        <f t="shared" si="6"/>
        <v>1045299965</v>
      </c>
      <c r="H81" s="82">
        <v>6898979.7690000003</v>
      </c>
      <c r="I81" s="187" t="s">
        <v>1442</v>
      </c>
    </row>
    <row r="82" spans="1:9" s="3" customFormat="1">
      <c r="A82" s="815"/>
      <c r="B82" s="66" t="s">
        <v>60</v>
      </c>
      <c r="C82" s="82">
        <v>534342011</v>
      </c>
      <c r="D82" s="82">
        <v>534342011</v>
      </c>
      <c r="E82" s="82">
        <v>510324120</v>
      </c>
      <c r="F82" s="82">
        <f t="shared" si="5"/>
        <v>1044666131</v>
      </c>
      <c r="G82" s="82">
        <f t="shared" si="6"/>
        <v>1044666131</v>
      </c>
      <c r="H82" s="82">
        <v>6476930.0121999998</v>
      </c>
      <c r="I82" s="187" t="s">
        <v>1442</v>
      </c>
    </row>
    <row r="83" spans="1:9" s="3" customFormat="1" ht="24" customHeight="1">
      <c r="A83" s="815"/>
      <c r="B83" s="66" t="s">
        <v>61</v>
      </c>
      <c r="C83" s="82">
        <v>13088351300</v>
      </c>
      <c r="D83" s="82">
        <v>12917003022</v>
      </c>
      <c r="E83" s="82">
        <v>48202232700</v>
      </c>
      <c r="F83" s="82">
        <f t="shared" si="5"/>
        <v>61290584000</v>
      </c>
      <c r="G83" s="82">
        <f t="shared" si="6"/>
        <v>61119235722</v>
      </c>
      <c r="H83" s="82">
        <v>550073121.49800003</v>
      </c>
      <c r="I83" s="187" t="s">
        <v>1442</v>
      </c>
    </row>
    <row r="84" spans="1:9" s="3" customFormat="1">
      <c r="A84" s="815"/>
      <c r="B84" s="66" t="s">
        <v>62</v>
      </c>
      <c r="C84" s="82">
        <v>1235911100</v>
      </c>
      <c r="D84" s="82">
        <v>1118661270</v>
      </c>
      <c r="E84" s="82">
        <v>1632470000</v>
      </c>
      <c r="F84" s="82">
        <f t="shared" si="5"/>
        <v>2868381100</v>
      </c>
      <c r="G84" s="82">
        <f t="shared" si="6"/>
        <v>2751131270</v>
      </c>
      <c r="H84" s="82">
        <v>16781900.747000001</v>
      </c>
      <c r="I84" s="187" t="s">
        <v>1442</v>
      </c>
    </row>
    <row r="85" spans="1:9" s="3" customFormat="1">
      <c r="A85" s="815"/>
      <c r="B85" s="66" t="s">
        <v>63</v>
      </c>
      <c r="C85" s="82">
        <v>325735200</v>
      </c>
      <c r="D85" s="82">
        <v>325735200</v>
      </c>
      <c r="E85" s="82">
        <v>408997100</v>
      </c>
      <c r="F85" s="82">
        <f t="shared" si="5"/>
        <v>734732300</v>
      </c>
      <c r="G85" s="82">
        <f t="shared" si="6"/>
        <v>734732300</v>
      </c>
      <c r="H85" s="82">
        <v>3820607.96</v>
      </c>
      <c r="I85" s="187" t="s">
        <v>1442</v>
      </c>
    </row>
    <row r="86" spans="1:9" s="3" customFormat="1">
      <c r="A86" s="815"/>
      <c r="B86" s="66" t="s">
        <v>64</v>
      </c>
      <c r="C86" s="82">
        <v>3164469135</v>
      </c>
      <c r="D86" s="82">
        <v>2581681535</v>
      </c>
      <c r="E86" s="82">
        <v>6014391000</v>
      </c>
      <c r="F86" s="82">
        <f t="shared" si="5"/>
        <v>9178860135</v>
      </c>
      <c r="G86" s="82">
        <f t="shared" si="6"/>
        <v>8596072535</v>
      </c>
      <c r="H86" s="82">
        <v>40401540.914499998</v>
      </c>
      <c r="I86" s="187" t="s">
        <v>1442</v>
      </c>
    </row>
    <row r="87" spans="1:9" s="3" customFormat="1">
      <c r="A87" s="815"/>
      <c r="B87" s="66" t="s">
        <v>65</v>
      </c>
      <c r="C87" s="82">
        <v>556989400</v>
      </c>
      <c r="D87" s="82">
        <v>506536737</v>
      </c>
      <c r="E87" s="82">
        <v>724383520</v>
      </c>
      <c r="F87" s="82">
        <f t="shared" si="5"/>
        <v>1281372920</v>
      </c>
      <c r="G87" s="82">
        <f t="shared" si="6"/>
        <v>1230920257</v>
      </c>
      <c r="H87" s="82">
        <v>7385521.5420000004</v>
      </c>
      <c r="I87" s="187" t="s">
        <v>1442</v>
      </c>
    </row>
    <row r="88" spans="1:9" s="3" customFormat="1" ht="24" customHeight="1">
      <c r="A88" s="815"/>
      <c r="B88" s="66" t="s">
        <v>66</v>
      </c>
      <c r="C88" s="82">
        <v>384847300</v>
      </c>
      <c r="D88" s="82">
        <v>384847300</v>
      </c>
      <c r="E88" s="82">
        <v>1094214500</v>
      </c>
      <c r="F88" s="82">
        <f t="shared" si="5"/>
        <v>1479061800</v>
      </c>
      <c r="G88" s="82">
        <f t="shared" si="6"/>
        <v>1479061800</v>
      </c>
      <c r="H88" s="82">
        <v>7691121.3600000003</v>
      </c>
      <c r="I88" s="187" t="s">
        <v>1442</v>
      </c>
    </row>
    <row r="89" spans="1:9" s="3" customFormat="1">
      <c r="A89" s="815"/>
      <c r="B89" s="66" t="s">
        <v>167</v>
      </c>
      <c r="C89" s="82">
        <v>1039483630</v>
      </c>
      <c r="D89" s="82">
        <v>880396130</v>
      </c>
      <c r="E89" s="82">
        <v>1847455631</v>
      </c>
      <c r="F89" s="82">
        <f t="shared" si="5"/>
        <v>2886939261</v>
      </c>
      <c r="G89" s="82">
        <f t="shared" si="6"/>
        <v>2727851761</v>
      </c>
      <c r="H89" s="82">
        <v>22913954.792399999</v>
      </c>
      <c r="I89" s="187" t="s">
        <v>1442</v>
      </c>
    </row>
    <row r="90" spans="1:9" s="3" customFormat="1">
      <c r="A90" s="815"/>
      <c r="B90" s="66" t="s">
        <v>67</v>
      </c>
      <c r="C90" s="82">
        <v>688321208</v>
      </c>
      <c r="D90" s="82">
        <v>609819763</v>
      </c>
      <c r="E90" s="82">
        <v>944137148</v>
      </c>
      <c r="F90" s="82">
        <f t="shared" si="5"/>
        <v>1632458356</v>
      </c>
      <c r="G90" s="82">
        <f t="shared" si="6"/>
        <v>1553956911</v>
      </c>
      <c r="H90" s="82">
        <v>11343885.450300001</v>
      </c>
      <c r="I90" s="187" t="s">
        <v>1442</v>
      </c>
    </row>
    <row r="91" spans="1:9" s="3" customFormat="1">
      <c r="A91" s="815"/>
      <c r="B91" s="66" t="s">
        <v>168</v>
      </c>
      <c r="C91" s="82">
        <v>111964829990</v>
      </c>
      <c r="D91" s="82">
        <v>112162377551</v>
      </c>
      <c r="E91" s="82">
        <v>211923763620</v>
      </c>
      <c r="F91" s="82">
        <f t="shared" si="5"/>
        <v>323888593610</v>
      </c>
      <c r="G91" s="82">
        <f t="shared" si="6"/>
        <v>324086141171</v>
      </c>
      <c r="H91" s="82">
        <v>3645969088.1738</v>
      </c>
      <c r="I91" s="187" t="s">
        <v>1442</v>
      </c>
    </row>
    <row r="92" spans="1:9" s="3" customFormat="1">
      <c r="A92" s="815"/>
      <c r="B92" s="66" t="s">
        <v>68</v>
      </c>
      <c r="C92" s="82">
        <v>5260658900</v>
      </c>
      <c r="D92" s="82">
        <v>5260658900</v>
      </c>
      <c r="E92" s="82">
        <v>10530127300</v>
      </c>
      <c r="F92" s="82">
        <f t="shared" si="5"/>
        <v>15790786200</v>
      </c>
      <c r="G92" s="82">
        <f t="shared" si="6"/>
        <v>15790786200</v>
      </c>
      <c r="H92" s="82">
        <v>148907113.866</v>
      </c>
      <c r="I92" s="187" t="s">
        <v>1442</v>
      </c>
    </row>
    <row r="93" spans="1:9" s="3" customFormat="1" ht="24" customHeight="1">
      <c r="A93" s="815"/>
      <c r="B93" s="66" t="s">
        <v>69</v>
      </c>
      <c r="C93" s="82">
        <v>934849000</v>
      </c>
      <c r="D93" s="82">
        <v>734524000</v>
      </c>
      <c r="E93" s="82">
        <v>1030646400</v>
      </c>
      <c r="F93" s="82">
        <f t="shared" ref="F93:F127" si="8">IF(SUM(C93,E93)=0,"",SUM(C93,E93))</f>
        <v>1965495400</v>
      </c>
      <c r="G93" s="82">
        <f t="shared" ref="G93:G127" si="9">IF(SUM(D93:E93)=0,"",SUM(D93:E93))</f>
        <v>1765170400</v>
      </c>
      <c r="H93" s="82">
        <v>11826641.68</v>
      </c>
      <c r="I93" s="187" t="s">
        <v>1442</v>
      </c>
    </row>
    <row r="94" spans="1:9" s="3" customFormat="1">
      <c r="A94" s="815"/>
      <c r="B94" s="66" t="s">
        <v>70</v>
      </c>
      <c r="C94" s="82">
        <v>1090895900</v>
      </c>
      <c r="D94" s="82">
        <v>789827100</v>
      </c>
      <c r="E94" s="82">
        <v>2676268900</v>
      </c>
      <c r="F94" s="82">
        <f t="shared" si="8"/>
        <v>3767164800</v>
      </c>
      <c r="G94" s="82">
        <f t="shared" si="9"/>
        <v>3466096000</v>
      </c>
      <c r="H94" s="82">
        <v>29253850.239999998</v>
      </c>
      <c r="I94" s="187" t="s">
        <v>1442</v>
      </c>
    </row>
    <row r="95" spans="1:9" s="3" customFormat="1">
      <c r="A95" s="815"/>
      <c r="B95" s="66" t="s">
        <v>71</v>
      </c>
      <c r="C95" s="82">
        <v>3335357000</v>
      </c>
      <c r="D95" s="82">
        <v>2885682442</v>
      </c>
      <c r="E95" s="82">
        <v>8182390800</v>
      </c>
      <c r="F95" s="82">
        <f t="shared" si="8"/>
        <v>11517747800</v>
      </c>
      <c r="G95" s="82">
        <f t="shared" si="9"/>
        <v>11068073242</v>
      </c>
      <c r="H95" s="82">
        <v>47592714.9406</v>
      </c>
      <c r="I95" s="187" t="s">
        <v>1442</v>
      </c>
    </row>
    <row r="96" spans="1:9" s="3" customFormat="1">
      <c r="A96" s="815"/>
      <c r="B96" s="66" t="s">
        <v>169</v>
      </c>
      <c r="C96" s="82">
        <v>4585314200</v>
      </c>
      <c r="D96" s="82">
        <v>4041692400</v>
      </c>
      <c r="E96" s="82">
        <v>11338747200</v>
      </c>
      <c r="F96" s="82">
        <f t="shared" si="8"/>
        <v>15924061400</v>
      </c>
      <c r="G96" s="82">
        <f t="shared" si="9"/>
        <v>15380439600</v>
      </c>
      <c r="H96" s="82">
        <v>78440241.959999993</v>
      </c>
      <c r="I96" s="187" t="s">
        <v>1442</v>
      </c>
    </row>
    <row r="97" spans="1:9" s="3" customFormat="1">
      <c r="A97" s="815"/>
      <c r="B97" s="66" t="s">
        <v>72</v>
      </c>
      <c r="C97" s="82">
        <v>456171600</v>
      </c>
      <c r="D97" s="82">
        <v>335200000</v>
      </c>
      <c r="E97" s="82">
        <v>856846200</v>
      </c>
      <c r="F97" s="82">
        <f t="shared" si="8"/>
        <v>1313017800</v>
      </c>
      <c r="G97" s="82">
        <f t="shared" si="9"/>
        <v>1192046200</v>
      </c>
      <c r="H97" s="82">
        <v>8105914.1600000001</v>
      </c>
      <c r="I97" s="187" t="s">
        <v>1442</v>
      </c>
    </row>
    <row r="98" spans="1:9" s="3" customFormat="1" ht="24" customHeight="1">
      <c r="A98" s="815"/>
      <c r="B98" s="66" t="s">
        <v>73</v>
      </c>
      <c r="C98" s="82">
        <v>2034809728</v>
      </c>
      <c r="D98" s="82">
        <v>1920277273</v>
      </c>
      <c r="E98" s="82">
        <v>4143838427</v>
      </c>
      <c r="F98" s="82">
        <f t="shared" si="8"/>
        <v>6178648155</v>
      </c>
      <c r="G98" s="82">
        <f t="shared" si="9"/>
        <v>6064115700</v>
      </c>
      <c r="H98" s="82">
        <v>35353794.531000003</v>
      </c>
      <c r="I98" s="187" t="s">
        <v>1442</v>
      </c>
    </row>
    <row r="99" spans="1:9" s="3" customFormat="1">
      <c r="A99" s="815"/>
      <c r="B99" s="66" t="s">
        <v>74</v>
      </c>
      <c r="C99" s="82">
        <v>3836537600</v>
      </c>
      <c r="D99" s="82">
        <v>3047467400</v>
      </c>
      <c r="E99" s="82">
        <v>5556325800</v>
      </c>
      <c r="F99" s="82">
        <f t="shared" si="8"/>
        <v>9392863400</v>
      </c>
      <c r="G99" s="82">
        <f t="shared" si="9"/>
        <v>8603793200</v>
      </c>
      <c r="H99" s="82">
        <v>45600103.960000001</v>
      </c>
      <c r="I99" s="187" t="s">
        <v>1442</v>
      </c>
    </row>
    <row r="100" spans="1:9" s="3" customFormat="1">
      <c r="A100" s="815"/>
      <c r="B100" s="66" t="s">
        <v>75</v>
      </c>
      <c r="C100" s="82">
        <v>822924500</v>
      </c>
      <c r="D100" s="82">
        <v>822932600</v>
      </c>
      <c r="E100" s="82">
        <v>1074147900</v>
      </c>
      <c r="F100" s="82">
        <f t="shared" si="8"/>
        <v>1897072400</v>
      </c>
      <c r="G100" s="82">
        <f t="shared" si="9"/>
        <v>1897080500</v>
      </c>
      <c r="H100" s="82">
        <v>10244234.699999999</v>
      </c>
      <c r="I100" s="187" t="s">
        <v>1442</v>
      </c>
    </row>
    <row r="101" spans="1:9" s="3" customFormat="1">
      <c r="A101" s="815"/>
      <c r="B101" s="66" t="s">
        <v>76</v>
      </c>
      <c r="C101" s="82">
        <v>974444102</v>
      </c>
      <c r="D101" s="82">
        <v>745026522</v>
      </c>
      <c r="E101" s="82">
        <v>2219097247</v>
      </c>
      <c r="F101" s="82">
        <f t="shared" si="8"/>
        <v>3193541349</v>
      </c>
      <c r="G101" s="82">
        <f t="shared" si="9"/>
        <v>2964123769</v>
      </c>
      <c r="H101" s="82">
        <v>21045278.7599</v>
      </c>
      <c r="I101" s="187" t="s">
        <v>1442</v>
      </c>
    </row>
    <row r="102" spans="1:9" s="3" customFormat="1">
      <c r="A102" s="815"/>
      <c r="B102" s="66" t="s">
        <v>77</v>
      </c>
      <c r="C102" s="82">
        <v>339706260</v>
      </c>
      <c r="D102" s="82">
        <v>325517360</v>
      </c>
      <c r="E102" s="82">
        <v>324940300</v>
      </c>
      <c r="F102" s="82">
        <f t="shared" si="8"/>
        <v>664646560</v>
      </c>
      <c r="G102" s="82">
        <f t="shared" si="9"/>
        <v>650457660</v>
      </c>
      <c r="H102" s="82">
        <v>4358066.3219999997</v>
      </c>
      <c r="I102" s="187" t="s">
        <v>1442</v>
      </c>
    </row>
    <row r="103" spans="1:9" s="3" customFormat="1" ht="24" customHeight="1">
      <c r="A103" s="815"/>
      <c r="B103" s="66" t="s">
        <v>78</v>
      </c>
      <c r="C103" s="82">
        <v>1211377026</v>
      </c>
      <c r="D103" s="82">
        <v>1203897999</v>
      </c>
      <c r="E103" s="82">
        <v>1935959305</v>
      </c>
      <c r="F103" s="82">
        <f t="shared" si="8"/>
        <v>3147336331</v>
      </c>
      <c r="G103" s="82">
        <f t="shared" si="9"/>
        <v>3139857304</v>
      </c>
      <c r="H103" s="82">
        <v>15699286.52</v>
      </c>
      <c r="I103" s="187" t="s">
        <v>1442</v>
      </c>
    </row>
    <row r="104" spans="1:9" s="3" customFormat="1">
      <c r="A104" s="815"/>
      <c r="B104" s="66" t="s">
        <v>79</v>
      </c>
      <c r="C104" s="82">
        <v>6879742439</v>
      </c>
      <c r="D104" s="82">
        <v>6030608355.1899996</v>
      </c>
      <c r="E104" s="82">
        <v>16179561550</v>
      </c>
      <c r="F104" s="82">
        <f t="shared" si="8"/>
        <v>23059303989</v>
      </c>
      <c r="G104" s="82">
        <f t="shared" si="9"/>
        <v>22210169905.189999</v>
      </c>
      <c r="H104" s="82">
        <v>179902376.23199999</v>
      </c>
      <c r="I104" s="187" t="s">
        <v>1442</v>
      </c>
    </row>
    <row r="105" spans="1:9" s="3" customFormat="1">
      <c r="A105" s="815"/>
      <c r="B105" s="66" t="s">
        <v>80</v>
      </c>
      <c r="C105" s="82">
        <v>13134214800</v>
      </c>
      <c r="D105" s="82">
        <v>12974721300</v>
      </c>
      <c r="E105" s="82">
        <v>46240568200</v>
      </c>
      <c r="F105" s="82">
        <f t="shared" si="8"/>
        <v>59374783000</v>
      </c>
      <c r="G105" s="82">
        <f t="shared" si="9"/>
        <v>59215289500</v>
      </c>
      <c r="H105" s="82">
        <v>503329960.75</v>
      </c>
      <c r="I105" s="187" t="s">
        <v>1442</v>
      </c>
    </row>
    <row r="106" spans="1:9" s="3" customFormat="1">
      <c r="A106" s="815"/>
      <c r="B106" s="66" t="s">
        <v>81</v>
      </c>
      <c r="C106" s="82">
        <v>802848856</v>
      </c>
      <c r="D106" s="82">
        <v>766943035</v>
      </c>
      <c r="E106" s="82">
        <v>2318447627</v>
      </c>
      <c r="F106" s="82">
        <f t="shared" si="8"/>
        <v>3121296483</v>
      </c>
      <c r="G106" s="82">
        <f t="shared" si="9"/>
        <v>3085390662</v>
      </c>
      <c r="H106" s="82">
        <v>17123918.1741</v>
      </c>
      <c r="I106" s="187" t="s">
        <v>1442</v>
      </c>
    </row>
    <row r="107" spans="1:9" s="3" customFormat="1">
      <c r="A107" s="815"/>
      <c r="B107" s="66" t="s">
        <v>170</v>
      </c>
      <c r="C107" s="82">
        <v>503915180</v>
      </c>
      <c r="D107" s="82">
        <v>503915180</v>
      </c>
      <c r="E107" s="82">
        <v>322273500</v>
      </c>
      <c r="F107" s="82">
        <f t="shared" si="8"/>
        <v>826188680</v>
      </c>
      <c r="G107" s="82">
        <f t="shared" si="9"/>
        <v>826188680</v>
      </c>
      <c r="H107" s="82">
        <v>3635230.1919999998</v>
      </c>
      <c r="I107" s="187" t="s">
        <v>1442</v>
      </c>
    </row>
    <row r="108" spans="1:9" s="3" customFormat="1" ht="15.5">
      <c r="A108" s="815"/>
      <c r="B108" s="63" t="str">
        <f>$B$36</f>
        <v>Table 6.2, continued</v>
      </c>
      <c r="C108" s="100"/>
      <c r="D108" s="100"/>
      <c r="E108" s="100"/>
      <c r="F108" s="100"/>
      <c r="G108" s="100"/>
      <c r="H108" s="100"/>
      <c r="I108" s="174"/>
    </row>
    <row r="109" spans="1:9" s="3" customFormat="1">
      <c r="A109" s="815"/>
      <c r="B109" s="64" t="str">
        <f>$B$2</f>
        <v>Real Estate Fair Market Value (FMV), Fair Market Value (Taxable), and Local Levy by Locality - Tax Year 2024</v>
      </c>
      <c r="C109" s="100"/>
      <c r="D109" s="100"/>
      <c r="E109" s="100"/>
      <c r="F109" s="100"/>
      <c r="G109" s="100"/>
      <c r="H109" s="100"/>
      <c r="I109" s="174"/>
    </row>
    <row r="110" spans="1:9" s="3" customFormat="1" ht="3" customHeight="1">
      <c r="A110" s="815"/>
      <c r="B110" s="64"/>
      <c r="C110" s="100"/>
      <c r="D110" s="100"/>
      <c r="E110" s="100"/>
      <c r="F110" s="100"/>
      <c r="G110" s="100"/>
      <c r="H110" s="100"/>
      <c r="I110" s="174"/>
    </row>
    <row r="111" spans="1:9" s="3" customFormat="1" ht="3" customHeight="1" thickBot="1">
      <c r="A111" s="815"/>
      <c r="B111" s="101"/>
      <c r="C111" s="102"/>
      <c r="D111" s="102"/>
      <c r="E111" s="102"/>
      <c r="F111" s="103"/>
      <c r="G111" s="103"/>
      <c r="H111" s="103"/>
      <c r="I111" s="202"/>
    </row>
    <row r="112" spans="1:9" s="3" customFormat="1" ht="26">
      <c r="A112" s="815"/>
      <c r="B112" s="104" t="s">
        <v>43</v>
      </c>
      <c r="C112" s="105" t="str">
        <f t="shared" ref="C112:I112" si="10">C$5</f>
        <v>FMV Land</v>
      </c>
      <c r="D112" s="105" t="str">
        <f t="shared" si="10"/>
        <v>FMV Taxable Land</v>
      </c>
      <c r="E112" s="105" t="str">
        <f t="shared" si="10"/>
        <v>FMV Structures</v>
      </c>
      <c r="F112" s="105" t="str">
        <f t="shared" si="10"/>
        <v>Total FMV</v>
      </c>
      <c r="G112" s="105" t="str">
        <f t="shared" si="10"/>
        <v>Total Taxable FMV</v>
      </c>
      <c r="H112" s="105" t="str">
        <f t="shared" si="10"/>
        <v>Local Levy</v>
      </c>
      <c r="I112" s="105" t="str">
        <f t="shared" si="10"/>
        <v>Reporting Year</v>
      </c>
    </row>
    <row r="113" spans="1:9" s="3" customFormat="1" ht="21" customHeight="1">
      <c r="A113" s="815"/>
      <c r="B113" s="66" t="s">
        <v>82</v>
      </c>
      <c r="C113" s="82">
        <v>1862852400</v>
      </c>
      <c r="D113" s="82">
        <v>1549525500</v>
      </c>
      <c r="E113" s="82">
        <v>4946745300</v>
      </c>
      <c r="F113" s="82">
        <f t="shared" si="8"/>
        <v>6809597700</v>
      </c>
      <c r="G113" s="82">
        <f t="shared" si="9"/>
        <v>6496270800</v>
      </c>
      <c r="H113" s="82">
        <v>46123522.68</v>
      </c>
      <c r="I113" s="187" t="s">
        <v>1442</v>
      </c>
    </row>
    <row r="114" spans="1:9" s="3" customFormat="1">
      <c r="A114" s="815"/>
      <c r="B114" s="66" t="s">
        <v>83</v>
      </c>
      <c r="C114" s="82">
        <v>4070262300</v>
      </c>
      <c r="D114" s="82">
        <v>3960836059</v>
      </c>
      <c r="E114" s="82">
        <v>12901836300</v>
      </c>
      <c r="F114" s="82">
        <f t="shared" si="8"/>
        <v>16972098600</v>
      </c>
      <c r="G114" s="82">
        <f t="shared" si="9"/>
        <v>16862672359</v>
      </c>
      <c r="H114" s="82">
        <v>139960180.57969999</v>
      </c>
      <c r="I114" s="187" t="s">
        <v>1442</v>
      </c>
    </row>
    <row r="115" spans="1:9" s="3" customFormat="1">
      <c r="A115" s="815"/>
      <c r="B115" s="66" t="s">
        <v>84</v>
      </c>
      <c r="C115" s="82">
        <v>576948500</v>
      </c>
      <c r="D115" s="82">
        <v>576948500</v>
      </c>
      <c r="E115" s="82">
        <v>624620540</v>
      </c>
      <c r="F115" s="82">
        <f t="shared" si="8"/>
        <v>1201569040</v>
      </c>
      <c r="G115" s="82">
        <f t="shared" si="9"/>
        <v>1201569040</v>
      </c>
      <c r="H115" s="82">
        <v>6007845.2000000002</v>
      </c>
      <c r="I115" s="187" t="s">
        <v>1442</v>
      </c>
    </row>
    <row r="116" spans="1:9" s="3" customFormat="1">
      <c r="A116" s="815"/>
      <c r="B116" s="66" t="s">
        <v>85</v>
      </c>
      <c r="C116" s="82">
        <v>1443155675</v>
      </c>
      <c r="D116" s="82">
        <v>1217188481</v>
      </c>
      <c r="E116" s="82">
        <v>2909990600</v>
      </c>
      <c r="F116" s="82">
        <f t="shared" si="8"/>
        <v>4353146275</v>
      </c>
      <c r="G116" s="82">
        <f t="shared" si="9"/>
        <v>4127179081</v>
      </c>
      <c r="H116" s="82">
        <v>28064817.750799999</v>
      </c>
      <c r="I116" s="187" t="s">
        <v>1442</v>
      </c>
    </row>
    <row r="117" spans="1:9" s="3" customFormat="1">
      <c r="A117" s="815"/>
      <c r="B117" s="66" t="s">
        <v>86</v>
      </c>
      <c r="C117" s="82">
        <v>973519345</v>
      </c>
      <c r="D117" s="82">
        <v>778249016</v>
      </c>
      <c r="E117" s="82">
        <v>1876386891</v>
      </c>
      <c r="F117" s="82">
        <f t="shared" si="8"/>
        <v>2849906236</v>
      </c>
      <c r="G117" s="82">
        <f t="shared" si="9"/>
        <v>2654635907</v>
      </c>
      <c r="H117" s="82">
        <v>13869703.9</v>
      </c>
      <c r="I117" s="187" t="s">
        <v>1442</v>
      </c>
    </row>
    <row r="118" spans="1:9" s="3" customFormat="1" ht="24" customHeight="1">
      <c r="A118" s="815"/>
      <c r="B118" s="66" t="s">
        <v>171</v>
      </c>
      <c r="C118" s="82">
        <v>1289214500</v>
      </c>
      <c r="D118" s="82">
        <v>1251901200</v>
      </c>
      <c r="E118" s="82">
        <v>2533395100</v>
      </c>
      <c r="F118" s="82">
        <f t="shared" si="8"/>
        <v>3822609600</v>
      </c>
      <c r="G118" s="82">
        <f t="shared" si="9"/>
        <v>3785296300</v>
      </c>
      <c r="H118" s="82">
        <v>20819129.649999999</v>
      </c>
      <c r="I118" s="187" t="s">
        <v>1442</v>
      </c>
    </row>
    <row r="119" spans="1:9" s="3" customFormat="1">
      <c r="A119" s="815"/>
      <c r="B119" s="66" t="s">
        <v>87</v>
      </c>
      <c r="C119" s="82">
        <v>326008500</v>
      </c>
      <c r="D119" s="82">
        <v>326008500</v>
      </c>
      <c r="E119" s="82">
        <v>657220882</v>
      </c>
      <c r="F119" s="82">
        <f t="shared" si="8"/>
        <v>983229382</v>
      </c>
      <c r="G119" s="82">
        <f t="shared" si="9"/>
        <v>983229382</v>
      </c>
      <c r="H119" s="82">
        <v>7275897.4267999995</v>
      </c>
      <c r="I119" s="187" t="s">
        <v>1442</v>
      </c>
    </row>
    <row r="120" spans="1:9" s="3" customFormat="1">
      <c r="A120" s="815"/>
      <c r="B120" s="66" t="s">
        <v>88</v>
      </c>
      <c r="C120" s="82">
        <v>46351056490</v>
      </c>
      <c r="D120" s="82">
        <v>44089354090</v>
      </c>
      <c r="E120" s="82">
        <v>99513566620</v>
      </c>
      <c r="F120" s="82">
        <f t="shared" si="8"/>
        <v>145864623110</v>
      </c>
      <c r="G120" s="82">
        <f t="shared" si="9"/>
        <v>143602920710</v>
      </c>
      <c r="H120" s="82">
        <v>1242165264.1415</v>
      </c>
      <c r="I120" s="187" t="s">
        <v>1442</v>
      </c>
    </row>
    <row r="121" spans="1:9" s="3" customFormat="1">
      <c r="A121" s="815"/>
      <c r="B121" s="66" t="s">
        <v>89</v>
      </c>
      <c r="C121" s="82">
        <v>2842961100</v>
      </c>
      <c r="D121" s="82">
        <v>2315051800</v>
      </c>
      <c r="E121" s="82">
        <v>6111785100</v>
      </c>
      <c r="F121" s="82">
        <f t="shared" si="8"/>
        <v>8954746200</v>
      </c>
      <c r="G121" s="82">
        <f t="shared" si="9"/>
        <v>8426836900</v>
      </c>
      <c r="H121" s="82">
        <v>60673225.68</v>
      </c>
      <c r="I121" s="187" t="s">
        <v>1442</v>
      </c>
    </row>
    <row r="122" spans="1:9" s="3" customFormat="1">
      <c r="A122" s="815"/>
      <c r="B122" s="66" t="s">
        <v>90</v>
      </c>
      <c r="C122" s="82">
        <v>609931000</v>
      </c>
      <c r="D122" s="82">
        <v>609931000</v>
      </c>
      <c r="E122" s="82">
        <v>606370600</v>
      </c>
      <c r="F122" s="82">
        <f t="shared" si="8"/>
        <v>1216301600</v>
      </c>
      <c r="G122" s="82">
        <f t="shared" si="9"/>
        <v>1216301600</v>
      </c>
      <c r="H122" s="82">
        <v>4013795.28</v>
      </c>
      <c r="I122" s="187" t="s">
        <v>1442</v>
      </c>
    </row>
    <row r="123" spans="1:9" s="3" customFormat="1" ht="24" customHeight="1">
      <c r="A123" s="815"/>
      <c r="B123" s="66" t="s">
        <v>91</v>
      </c>
      <c r="C123" s="82">
        <v>1204137200</v>
      </c>
      <c r="D123" s="82">
        <v>686818600</v>
      </c>
      <c r="E123" s="82">
        <v>1174915700</v>
      </c>
      <c r="F123" s="82">
        <f t="shared" si="8"/>
        <v>2379052900</v>
      </c>
      <c r="G123" s="82">
        <f t="shared" si="9"/>
        <v>1861734300</v>
      </c>
      <c r="H123" s="82">
        <v>13776833.82</v>
      </c>
      <c r="I123" s="187" t="s">
        <v>1442</v>
      </c>
    </row>
    <row r="124" spans="1:9" s="3" customFormat="1">
      <c r="A124" s="815"/>
      <c r="B124" s="66" t="s">
        <v>92</v>
      </c>
      <c r="C124" s="82">
        <v>751380100</v>
      </c>
      <c r="D124" s="82">
        <v>751680100</v>
      </c>
      <c r="E124" s="82">
        <v>1350877400</v>
      </c>
      <c r="F124" s="82">
        <f t="shared" si="8"/>
        <v>2102257500</v>
      </c>
      <c r="G124" s="82">
        <f t="shared" si="9"/>
        <v>2102557500</v>
      </c>
      <c r="H124" s="82">
        <v>11774322</v>
      </c>
      <c r="I124" s="187" t="s">
        <v>1442</v>
      </c>
    </row>
    <row r="125" spans="1:9" s="3" customFormat="1">
      <c r="A125" s="815"/>
      <c r="B125" s="66" t="s">
        <v>93</v>
      </c>
      <c r="C125" s="82">
        <v>1687906900</v>
      </c>
      <c r="D125" s="82">
        <v>1687906900</v>
      </c>
      <c r="E125" s="82">
        <v>4872675800</v>
      </c>
      <c r="F125" s="82">
        <f t="shared" si="8"/>
        <v>6560582700</v>
      </c>
      <c r="G125" s="82">
        <f t="shared" si="9"/>
        <v>6560582700</v>
      </c>
      <c r="H125" s="82">
        <v>26242330.800000001</v>
      </c>
      <c r="I125" s="187" t="s">
        <v>1442</v>
      </c>
    </row>
    <row r="126" spans="1:9" s="3" customFormat="1">
      <c r="A126" s="815"/>
      <c r="B126" s="66" t="s">
        <v>94</v>
      </c>
      <c r="C126" s="82">
        <v>1148642800</v>
      </c>
      <c r="D126" s="82">
        <v>1075340600</v>
      </c>
      <c r="E126" s="82">
        <v>1473299600</v>
      </c>
      <c r="F126" s="82">
        <f t="shared" si="8"/>
        <v>2621942400</v>
      </c>
      <c r="G126" s="82">
        <f t="shared" si="9"/>
        <v>2548640200</v>
      </c>
      <c r="H126" s="82">
        <v>15546705.220000001</v>
      </c>
      <c r="I126" s="187" t="s">
        <v>1442</v>
      </c>
    </row>
    <row r="127" spans="1:9" s="3" customFormat="1">
      <c r="A127" s="815"/>
      <c r="B127" s="66" t="s">
        <v>95</v>
      </c>
      <c r="C127" s="82">
        <v>3012470900</v>
      </c>
      <c r="D127" s="82">
        <v>2767403300</v>
      </c>
      <c r="E127" s="82">
        <v>9271757600</v>
      </c>
      <c r="F127" s="82">
        <f t="shared" si="8"/>
        <v>12284228500</v>
      </c>
      <c r="G127" s="82">
        <f t="shared" si="9"/>
        <v>12039160900</v>
      </c>
      <c r="H127" s="82">
        <v>90293706.75</v>
      </c>
      <c r="I127" s="187" t="s">
        <v>1442</v>
      </c>
    </row>
    <row r="128" spans="1:9" s="3" customFormat="1" ht="24" customHeight="1">
      <c r="A128" s="815"/>
      <c r="B128" s="66" t="s">
        <v>96</v>
      </c>
      <c r="C128" s="82">
        <v>1334168700</v>
      </c>
      <c r="D128" s="82">
        <v>845020000</v>
      </c>
      <c r="E128" s="82">
        <v>2359581400</v>
      </c>
      <c r="F128" s="82">
        <f t="shared" ref="F128:F167" si="11">IF(SUM(C128,E128)=0,"",SUM(C128,E128))</f>
        <v>3693750100</v>
      </c>
      <c r="G128" s="82">
        <f t="shared" ref="G128:G167" si="12">IF(SUM(D128:E128)=0,"",SUM(D128:E128))</f>
        <v>3204601400</v>
      </c>
      <c r="H128" s="82">
        <v>20829909.100000001</v>
      </c>
      <c r="I128" s="187" t="s">
        <v>1442</v>
      </c>
    </row>
    <row r="129" spans="1:9" s="3" customFormat="1">
      <c r="A129" s="815"/>
      <c r="B129" s="66" t="s">
        <v>172</v>
      </c>
      <c r="C129" s="82">
        <v>2137319806</v>
      </c>
      <c r="D129" s="82">
        <v>1981986240</v>
      </c>
      <c r="E129" s="82">
        <v>3498906190</v>
      </c>
      <c r="F129" s="82">
        <f t="shared" si="11"/>
        <v>5636225996</v>
      </c>
      <c r="G129" s="82">
        <f t="shared" si="12"/>
        <v>5480892430</v>
      </c>
      <c r="H129" s="82">
        <v>32337265.337000001</v>
      </c>
      <c r="I129" s="187" t="s">
        <v>1442</v>
      </c>
    </row>
    <row r="130" spans="1:9" s="3" customFormat="1">
      <c r="A130" s="815"/>
      <c r="B130" s="66" t="s">
        <v>97</v>
      </c>
      <c r="C130" s="82">
        <v>1416585300</v>
      </c>
      <c r="D130" s="82">
        <v>1295701900</v>
      </c>
      <c r="E130" s="82">
        <v>1887157400</v>
      </c>
      <c r="F130" s="82">
        <f t="shared" si="11"/>
        <v>3303742700</v>
      </c>
      <c r="G130" s="82">
        <f t="shared" si="12"/>
        <v>3182859300</v>
      </c>
      <c r="H130" s="82">
        <v>21802586.204999998</v>
      </c>
      <c r="I130" s="187" t="s">
        <v>1442</v>
      </c>
    </row>
    <row r="131" spans="1:9" s="3" customFormat="1">
      <c r="A131" s="815"/>
      <c r="B131" s="66" t="s">
        <v>173</v>
      </c>
      <c r="C131" s="82">
        <v>1248794300</v>
      </c>
      <c r="D131" s="82">
        <v>1085333465</v>
      </c>
      <c r="E131" s="82">
        <v>1778640900</v>
      </c>
      <c r="F131" s="82">
        <f t="shared" si="11"/>
        <v>3027435200</v>
      </c>
      <c r="G131" s="82">
        <f t="shared" si="12"/>
        <v>2863974365</v>
      </c>
      <c r="H131" s="82">
        <v>18902230.809</v>
      </c>
      <c r="I131" s="187" t="s">
        <v>1442</v>
      </c>
    </row>
    <row r="132" spans="1:9" s="3" customFormat="1">
      <c r="A132" s="815"/>
      <c r="B132" s="66" t="s">
        <v>98</v>
      </c>
      <c r="C132" s="82">
        <v>459356711</v>
      </c>
      <c r="D132" s="82">
        <v>426840381</v>
      </c>
      <c r="E132" s="82">
        <v>847355697</v>
      </c>
      <c r="F132" s="82">
        <f t="shared" si="11"/>
        <v>1306712408</v>
      </c>
      <c r="G132" s="82">
        <f t="shared" si="12"/>
        <v>1274196078</v>
      </c>
      <c r="H132" s="82">
        <v>5733882.3509999998</v>
      </c>
      <c r="I132" s="187" t="s">
        <v>1442</v>
      </c>
    </row>
    <row r="133" spans="1:9" s="3" customFormat="1" ht="24" customHeight="1">
      <c r="A133" s="815"/>
      <c r="B133" s="66" t="s">
        <v>99</v>
      </c>
      <c r="C133" s="82">
        <v>1823912700</v>
      </c>
      <c r="D133" s="82">
        <v>1354534400</v>
      </c>
      <c r="E133" s="82">
        <v>3458474200</v>
      </c>
      <c r="F133" s="82">
        <f t="shared" si="11"/>
        <v>5282386900</v>
      </c>
      <c r="G133" s="82">
        <f t="shared" si="12"/>
        <v>4813008600</v>
      </c>
      <c r="H133" s="82">
        <v>36097564.5</v>
      </c>
      <c r="I133" s="187" t="s">
        <v>1442</v>
      </c>
    </row>
    <row r="134" spans="1:9" s="3" customFormat="1">
      <c r="A134" s="815"/>
      <c r="B134" s="66" t="s">
        <v>100</v>
      </c>
      <c r="C134" s="82">
        <v>1111631400</v>
      </c>
      <c r="D134" s="82">
        <v>639133300</v>
      </c>
      <c r="E134" s="82">
        <v>1747030600</v>
      </c>
      <c r="F134" s="82">
        <f t="shared" si="11"/>
        <v>2858662000</v>
      </c>
      <c r="G134" s="82">
        <f t="shared" si="12"/>
        <v>2386163900</v>
      </c>
      <c r="H134" s="82">
        <v>17418996.469999999</v>
      </c>
      <c r="I134" s="187" t="s">
        <v>1442</v>
      </c>
    </row>
    <row r="135" spans="1:9" s="3" customFormat="1">
      <c r="A135" s="815"/>
      <c r="B135" s="66" t="s">
        <v>101</v>
      </c>
      <c r="C135" s="82">
        <v>748652100</v>
      </c>
      <c r="D135" s="82">
        <v>748652100</v>
      </c>
      <c r="E135" s="82">
        <v>895448500</v>
      </c>
      <c r="F135" s="82">
        <f t="shared" si="11"/>
        <v>1644100600</v>
      </c>
      <c r="G135" s="82">
        <f t="shared" si="12"/>
        <v>1644100600</v>
      </c>
      <c r="H135" s="82">
        <v>12001934.380000001</v>
      </c>
      <c r="I135" s="187" t="s">
        <v>1442</v>
      </c>
    </row>
    <row r="136" spans="1:9" s="3" customFormat="1">
      <c r="A136" s="815"/>
      <c r="B136" s="66" t="s">
        <v>102</v>
      </c>
      <c r="C136" s="82">
        <v>1992812474</v>
      </c>
      <c r="D136" s="82">
        <v>1472998774</v>
      </c>
      <c r="E136" s="82">
        <v>4780237659</v>
      </c>
      <c r="F136" s="82">
        <f t="shared" si="11"/>
        <v>6773050133</v>
      </c>
      <c r="G136" s="82">
        <f t="shared" si="12"/>
        <v>6253236433</v>
      </c>
      <c r="H136" s="82">
        <v>35018124.024800003</v>
      </c>
      <c r="I136" s="187" t="s">
        <v>1442</v>
      </c>
    </row>
    <row r="137" spans="1:9" s="3" customFormat="1">
      <c r="A137" s="815"/>
      <c r="B137" s="66" t="s">
        <v>174</v>
      </c>
      <c r="C137" s="82">
        <v>1954371900</v>
      </c>
      <c r="D137" s="82">
        <v>1648605199</v>
      </c>
      <c r="E137" s="82">
        <v>4027585273</v>
      </c>
      <c r="F137" s="82">
        <f t="shared" si="11"/>
        <v>5981957173</v>
      </c>
      <c r="G137" s="82">
        <f t="shared" si="12"/>
        <v>5676190472</v>
      </c>
      <c r="H137" s="82">
        <v>39165714.256800003</v>
      </c>
      <c r="I137" s="187" t="s">
        <v>1442</v>
      </c>
    </row>
    <row r="138" spans="1:9" s="3" customFormat="1" ht="24" customHeight="1">
      <c r="A138" s="815"/>
      <c r="B138" s="66" t="s">
        <v>103</v>
      </c>
      <c r="C138" s="82">
        <v>611984664</v>
      </c>
      <c r="D138" s="82">
        <v>597318764</v>
      </c>
      <c r="E138" s="82">
        <v>1251474600</v>
      </c>
      <c r="F138" s="82">
        <f t="shared" si="11"/>
        <v>1863459264</v>
      </c>
      <c r="G138" s="82">
        <f t="shared" si="12"/>
        <v>1848793364</v>
      </c>
      <c r="H138" s="82">
        <v>9428846.1564000007</v>
      </c>
      <c r="I138" s="187" t="s">
        <v>1442</v>
      </c>
    </row>
    <row r="139" spans="1:9" s="3" customFormat="1">
      <c r="A139" s="815"/>
      <c r="B139" s="66" t="s">
        <v>175</v>
      </c>
      <c r="C139" s="82">
        <v>1217948702</v>
      </c>
      <c r="D139" s="82">
        <v>1013950402</v>
      </c>
      <c r="E139" s="82">
        <v>2997994400</v>
      </c>
      <c r="F139" s="82">
        <f t="shared" si="11"/>
        <v>4215943102</v>
      </c>
      <c r="G139" s="82">
        <f t="shared" si="12"/>
        <v>4011944802</v>
      </c>
      <c r="H139" s="82">
        <v>32897947.376400001</v>
      </c>
      <c r="I139" s="187" t="s">
        <v>1442</v>
      </c>
    </row>
    <row r="140" spans="1:9" s="3" customFormat="1">
      <c r="A140" s="815"/>
      <c r="B140" s="66" t="s">
        <v>104</v>
      </c>
      <c r="C140" s="82">
        <v>33708236700</v>
      </c>
      <c r="D140" s="82">
        <v>33249480500</v>
      </c>
      <c r="E140" s="82">
        <v>69200501500</v>
      </c>
      <c r="F140" s="82">
        <f t="shared" si="11"/>
        <v>102908738200</v>
      </c>
      <c r="G140" s="82">
        <f t="shared" si="12"/>
        <v>102449982000</v>
      </c>
      <c r="H140" s="82">
        <v>942539834.39999998</v>
      </c>
      <c r="I140" s="187" t="s">
        <v>1442</v>
      </c>
    </row>
    <row r="141" spans="1:9" s="3" customFormat="1">
      <c r="A141" s="815"/>
      <c r="B141" s="66" t="s">
        <v>105</v>
      </c>
      <c r="C141" s="82">
        <v>984987200</v>
      </c>
      <c r="D141" s="82">
        <v>818234900</v>
      </c>
      <c r="E141" s="82">
        <v>2319824000</v>
      </c>
      <c r="F141" s="82">
        <f t="shared" si="11"/>
        <v>3304811200</v>
      </c>
      <c r="G141" s="82">
        <f t="shared" si="12"/>
        <v>3138058900</v>
      </c>
      <c r="H141" s="82">
        <v>23221635.859999999</v>
      </c>
      <c r="I141" s="187" t="s">
        <v>1442</v>
      </c>
    </row>
    <row r="142" spans="1:9" s="3" customFormat="1">
      <c r="A142" s="815"/>
      <c r="B142" s="66" t="s">
        <v>106</v>
      </c>
      <c r="C142" s="82">
        <v>1264383600</v>
      </c>
      <c r="D142" s="82">
        <v>696539100</v>
      </c>
      <c r="E142" s="82">
        <v>1297536100</v>
      </c>
      <c r="F142" s="82">
        <f t="shared" si="11"/>
        <v>2561919700</v>
      </c>
      <c r="G142" s="82">
        <f t="shared" si="12"/>
        <v>1994075200</v>
      </c>
      <c r="H142" s="82">
        <v>12163858.720000001</v>
      </c>
      <c r="I142" s="187" t="s">
        <v>1442</v>
      </c>
    </row>
    <row r="143" spans="1:9" s="3" customFormat="1" ht="15.5">
      <c r="A143" s="815"/>
      <c r="B143" s="63" t="str">
        <f>$B$36</f>
        <v>Table 6.2, continued</v>
      </c>
      <c r="C143" s="100"/>
      <c r="D143" s="100"/>
      <c r="E143" s="100"/>
      <c r="F143" s="100"/>
      <c r="G143" s="100"/>
      <c r="H143" s="100"/>
      <c r="I143" s="174"/>
    </row>
    <row r="144" spans="1:9" s="3" customFormat="1">
      <c r="A144" s="815"/>
      <c r="B144" s="64" t="str">
        <f>$B$2</f>
        <v>Real Estate Fair Market Value (FMV), Fair Market Value (Taxable), and Local Levy by Locality - Tax Year 2024</v>
      </c>
      <c r="C144" s="100"/>
      <c r="D144" s="100"/>
      <c r="E144" s="100"/>
      <c r="F144" s="100"/>
      <c r="G144" s="100"/>
      <c r="H144" s="100"/>
      <c r="I144" s="174"/>
    </row>
    <row r="145" spans="1:9" s="3" customFormat="1" ht="3" customHeight="1">
      <c r="A145" s="815"/>
      <c r="B145" s="64"/>
      <c r="C145" s="100"/>
      <c r="D145" s="100"/>
      <c r="E145" s="100"/>
      <c r="F145" s="100"/>
      <c r="G145" s="100"/>
      <c r="H145" s="100"/>
      <c r="I145" s="174"/>
    </row>
    <row r="146" spans="1:9" s="3" customFormat="1" ht="3" customHeight="1" thickBot="1">
      <c r="A146" s="815"/>
      <c r="B146" s="101"/>
      <c r="C146" s="102"/>
      <c r="D146" s="102"/>
      <c r="E146" s="102"/>
      <c r="F146" s="103"/>
      <c r="G146" s="103"/>
      <c r="H146" s="103"/>
      <c r="I146" s="202"/>
    </row>
    <row r="147" spans="1:9" s="3" customFormat="1" ht="26">
      <c r="A147" s="815"/>
      <c r="B147" s="104" t="s">
        <v>43</v>
      </c>
      <c r="C147" s="105" t="str">
        <f t="shared" ref="C147:I147" si="13">C$5</f>
        <v>FMV Land</v>
      </c>
      <c r="D147" s="105" t="str">
        <f t="shared" si="13"/>
        <v>FMV Taxable Land</v>
      </c>
      <c r="E147" s="105" t="str">
        <f t="shared" si="13"/>
        <v>FMV Structures</v>
      </c>
      <c r="F147" s="105" t="str">
        <f t="shared" si="13"/>
        <v>Total FMV</v>
      </c>
      <c r="G147" s="105" t="str">
        <f t="shared" si="13"/>
        <v>Total Taxable FMV</v>
      </c>
      <c r="H147" s="105" t="str">
        <f t="shared" si="13"/>
        <v>Local Levy</v>
      </c>
      <c r="I147" s="105" t="str">
        <f t="shared" si="13"/>
        <v>Reporting Year</v>
      </c>
    </row>
    <row r="148" spans="1:9" s="3" customFormat="1" ht="21" customHeight="1">
      <c r="A148" s="815"/>
      <c r="B148" s="66" t="s">
        <v>176</v>
      </c>
      <c r="C148" s="82">
        <v>499425879</v>
      </c>
      <c r="D148" s="82">
        <v>424746128</v>
      </c>
      <c r="E148" s="82">
        <v>776666131</v>
      </c>
      <c r="F148" s="82">
        <f t="shared" si="11"/>
        <v>1276092010</v>
      </c>
      <c r="G148" s="82">
        <f t="shared" si="12"/>
        <v>1201412259</v>
      </c>
      <c r="H148" s="82">
        <v>7208473.5539999995</v>
      </c>
      <c r="I148" s="187" t="s">
        <v>1442</v>
      </c>
    </row>
    <row r="149" spans="1:9" s="3" customFormat="1">
      <c r="A149" s="815"/>
      <c r="B149" s="66" t="s">
        <v>177</v>
      </c>
      <c r="C149" s="82">
        <v>2677144100</v>
      </c>
      <c r="D149" s="82">
        <v>2517572600</v>
      </c>
      <c r="E149" s="82">
        <v>9590102950</v>
      </c>
      <c r="F149" s="82">
        <f t="shared" si="11"/>
        <v>12267247050</v>
      </c>
      <c r="G149" s="82">
        <f t="shared" si="12"/>
        <v>12107675550</v>
      </c>
      <c r="H149" s="82">
        <v>125919825.72</v>
      </c>
      <c r="I149" s="187" t="s">
        <v>1442</v>
      </c>
    </row>
    <row r="150" spans="1:9" s="3" customFormat="1">
      <c r="A150" s="815"/>
      <c r="B150" s="66" t="s">
        <v>107</v>
      </c>
      <c r="C150" s="82">
        <v>1487805800</v>
      </c>
      <c r="D150" s="82">
        <v>1018558900</v>
      </c>
      <c r="E150" s="82">
        <v>2316722400</v>
      </c>
      <c r="F150" s="82">
        <f t="shared" si="11"/>
        <v>3804528200</v>
      </c>
      <c r="G150" s="82">
        <f t="shared" si="12"/>
        <v>3335281300</v>
      </c>
      <c r="H150" s="82">
        <v>20345215.93</v>
      </c>
      <c r="I150" s="187" t="s">
        <v>1442</v>
      </c>
    </row>
    <row r="151" spans="1:9" s="3" customFormat="1">
      <c r="A151" s="815"/>
      <c r="B151" s="66" t="s">
        <v>108</v>
      </c>
      <c r="C151" s="82">
        <v>3439568359</v>
      </c>
      <c r="D151" s="82">
        <v>2424445988</v>
      </c>
      <c r="E151" s="82">
        <v>9252183490</v>
      </c>
      <c r="F151" s="82">
        <f t="shared" si="11"/>
        <v>12691751849</v>
      </c>
      <c r="G151" s="82">
        <f t="shared" si="12"/>
        <v>11676629478</v>
      </c>
      <c r="H151" s="82">
        <v>79401080.450399995</v>
      </c>
      <c r="I151" s="187" t="s">
        <v>1442</v>
      </c>
    </row>
    <row r="152" spans="1:9" s="3" customFormat="1">
      <c r="A152" s="815"/>
      <c r="B152" s="66" t="s">
        <v>109</v>
      </c>
      <c r="C152" s="82">
        <v>595929051</v>
      </c>
      <c r="D152" s="82">
        <v>431822357</v>
      </c>
      <c r="E152" s="82">
        <v>997968449</v>
      </c>
      <c r="F152" s="82">
        <f t="shared" si="11"/>
        <v>1593897500</v>
      </c>
      <c r="G152" s="82">
        <f t="shared" si="12"/>
        <v>1429790806</v>
      </c>
      <c r="H152" s="82">
        <v>9007682.0778000001</v>
      </c>
      <c r="I152" s="187" t="s">
        <v>1442</v>
      </c>
    </row>
    <row r="153" spans="1:9" s="3" customFormat="1" ht="24" customHeight="1">
      <c r="A153" s="815"/>
      <c r="B153" s="66" t="s">
        <v>110</v>
      </c>
      <c r="C153" s="82">
        <v>630116523</v>
      </c>
      <c r="D153" s="82">
        <v>630116523</v>
      </c>
      <c r="E153" s="82">
        <v>981428100</v>
      </c>
      <c r="F153" s="82">
        <f t="shared" si="11"/>
        <v>1611544623</v>
      </c>
      <c r="G153" s="82">
        <f t="shared" si="12"/>
        <v>1611544623</v>
      </c>
      <c r="H153" s="82">
        <v>12408893.597100001</v>
      </c>
      <c r="I153" s="187" t="s">
        <v>1442</v>
      </c>
    </row>
    <row r="154" spans="1:9" s="3" customFormat="1">
      <c r="A154" s="815"/>
      <c r="B154" s="66" t="s">
        <v>111</v>
      </c>
      <c r="C154" s="82">
        <v>2300943000</v>
      </c>
      <c r="D154" s="82">
        <v>1724273900</v>
      </c>
      <c r="E154" s="82">
        <v>4410209600</v>
      </c>
      <c r="F154" s="82">
        <f t="shared" si="11"/>
        <v>6711152600</v>
      </c>
      <c r="G154" s="82">
        <f t="shared" si="12"/>
        <v>6134483500</v>
      </c>
      <c r="H154" s="82">
        <v>39260694.399999999</v>
      </c>
      <c r="I154" s="187" t="s">
        <v>1442</v>
      </c>
    </row>
    <row r="155" spans="1:9" s="3" customFormat="1">
      <c r="A155" s="815"/>
      <c r="B155" s="66" t="s">
        <v>112</v>
      </c>
      <c r="C155" s="82">
        <v>628628450</v>
      </c>
      <c r="D155" s="82">
        <v>459599721</v>
      </c>
      <c r="E155" s="82">
        <v>1696360200</v>
      </c>
      <c r="F155" s="82">
        <f t="shared" si="11"/>
        <v>2324988650</v>
      </c>
      <c r="G155" s="82">
        <f t="shared" si="12"/>
        <v>2155959921</v>
      </c>
      <c r="H155" s="82">
        <v>12720163.5339</v>
      </c>
      <c r="I155" s="187" t="s">
        <v>1442</v>
      </c>
    </row>
    <row r="156" spans="1:9" s="3" customFormat="1">
      <c r="A156" s="815"/>
      <c r="B156" s="66" t="s">
        <v>113</v>
      </c>
      <c r="C156" s="82">
        <v>1111941600</v>
      </c>
      <c r="D156" s="82">
        <v>687448900</v>
      </c>
      <c r="E156" s="82">
        <v>1514188700</v>
      </c>
      <c r="F156" s="82">
        <f t="shared" si="11"/>
        <v>2626130300</v>
      </c>
      <c r="G156" s="82">
        <f t="shared" si="12"/>
        <v>2201637600</v>
      </c>
      <c r="H156" s="82">
        <v>15631626.960000001</v>
      </c>
      <c r="I156" s="187" t="s">
        <v>1442</v>
      </c>
    </row>
    <row r="157" spans="1:9" s="3" customFormat="1">
      <c r="A157" s="815"/>
      <c r="B157" s="66" t="s">
        <v>114</v>
      </c>
      <c r="C157" s="82">
        <v>8676532400</v>
      </c>
      <c r="D157" s="82">
        <v>8215902437</v>
      </c>
      <c r="E157" s="82">
        <v>16195978100</v>
      </c>
      <c r="F157" s="82">
        <f t="shared" si="11"/>
        <v>24872510500</v>
      </c>
      <c r="G157" s="82">
        <f t="shared" si="12"/>
        <v>24411880537</v>
      </c>
      <c r="H157" s="82">
        <v>179256438.7832</v>
      </c>
      <c r="I157" s="187" t="s">
        <v>1442</v>
      </c>
    </row>
    <row r="158" spans="1:9" s="3" customFormat="1" ht="24" customHeight="1">
      <c r="A158" s="815"/>
      <c r="B158" s="66" t="s">
        <v>115</v>
      </c>
      <c r="C158" s="82">
        <v>9459777900</v>
      </c>
      <c r="D158" s="82">
        <v>9160052858</v>
      </c>
      <c r="E158" s="82">
        <v>18735422500</v>
      </c>
      <c r="F158" s="82">
        <f t="shared" si="11"/>
        <v>28195200400</v>
      </c>
      <c r="G158" s="82">
        <f t="shared" si="12"/>
        <v>27895475358</v>
      </c>
      <c r="H158" s="82">
        <v>249273967.79910001</v>
      </c>
      <c r="I158" s="187" t="s">
        <v>1442</v>
      </c>
    </row>
    <row r="159" spans="1:9" s="3" customFormat="1">
      <c r="A159" s="815"/>
      <c r="B159" s="66" t="s">
        <v>116</v>
      </c>
      <c r="C159" s="82">
        <v>581881800</v>
      </c>
      <c r="D159" s="82">
        <v>581881800</v>
      </c>
      <c r="E159" s="82">
        <v>681383000</v>
      </c>
      <c r="F159" s="82">
        <f t="shared" si="11"/>
        <v>1263264800</v>
      </c>
      <c r="G159" s="82">
        <f t="shared" si="12"/>
        <v>1263264800</v>
      </c>
      <c r="H159" s="82">
        <v>8969180.0800000001</v>
      </c>
      <c r="I159" s="187" t="s">
        <v>1442</v>
      </c>
    </row>
    <row r="160" spans="1:9" s="3" customFormat="1">
      <c r="A160" s="815"/>
      <c r="B160" s="66" t="s">
        <v>117</v>
      </c>
      <c r="C160" s="82">
        <v>684427900</v>
      </c>
      <c r="D160" s="82">
        <v>684427900</v>
      </c>
      <c r="E160" s="82">
        <v>511563922</v>
      </c>
      <c r="F160" s="82">
        <f t="shared" si="11"/>
        <v>1195991822</v>
      </c>
      <c r="G160" s="82">
        <f t="shared" si="12"/>
        <v>1195991822</v>
      </c>
      <c r="H160" s="82">
        <v>6338756.6566000003</v>
      </c>
      <c r="I160" s="187" t="s">
        <v>1442</v>
      </c>
    </row>
    <row r="161" spans="1:9" s="3" customFormat="1">
      <c r="A161" s="815"/>
      <c r="B161" s="66" t="s">
        <v>118</v>
      </c>
      <c r="C161" s="82">
        <v>1010867700</v>
      </c>
      <c r="D161" s="82">
        <v>822255200</v>
      </c>
      <c r="E161" s="82">
        <v>2360748475</v>
      </c>
      <c r="F161" s="82">
        <f t="shared" si="11"/>
        <v>3371616175</v>
      </c>
      <c r="G161" s="82">
        <f t="shared" si="12"/>
        <v>3183003675</v>
      </c>
      <c r="H161" s="82">
        <v>18461421.315000001</v>
      </c>
      <c r="I161" s="187" t="s">
        <v>1442</v>
      </c>
    </row>
    <row r="162" spans="1:9" s="3" customFormat="1">
      <c r="A162" s="815"/>
      <c r="B162" s="66" t="s">
        <v>119</v>
      </c>
      <c r="C162" s="82">
        <v>1855839400</v>
      </c>
      <c r="D162" s="82">
        <v>1538863800</v>
      </c>
      <c r="E162" s="82">
        <v>5101917000</v>
      </c>
      <c r="F162" s="82">
        <f t="shared" si="11"/>
        <v>6957756400</v>
      </c>
      <c r="G162" s="82">
        <f t="shared" si="12"/>
        <v>6640780800</v>
      </c>
      <c r="H162" s="82">
        <v>35196138.240000002</v>
      </c>
      <c r="I162" s="187" t="s">
        <v>1442</v>
      </c>
    </row>
    <row r="163" spans="1:9" s="3" customFormat="1" ht="24" customHeight="1">
      <c r="A163" s="815"/>
      <c r="B163" s="66" t="s">
        <v>120</v>
      </c>
      <c r="C163" s="82">
        <v>1988941000</v>
      </c>
      <c r="D163" s="82">
        <v>1270234117</v>
      </c>
      <c r="E163" s="82">
        <v>3396256100</v>
      </c>
      <c r="F163" s="82">
        <f t="shared" si="11"/>
        <v>5385197100</v>
      </c>
      <c r="G163" s="82">
        <f t="shared" si="12"/>
        <v>4666490217</v>
      </c>
      <c r="H163" s="82">
        <v>27998941.302000001</v>
      </c>
      <c r="I163" s="187" t="s">
        <v>1442</v>
      </c>
    </row>
    <row r="164" spans="1:9" s="3" customFormat="1">
      <c r="A164" s="815"/>
      <c r="B164" s="66" t="s">
        <v>178</v>
      </c>
      <c r="C164" s="82">
        <v>1245000400</v>
      </c>
      <c r="D164" s="82">
        <v>1094994600</v>
      </c>
      <c r="E164" s="82">
        <v>2107013000</v>
      </c>
      <c r="F164" s="82">
        <f t="shared" si="11"/>
        <v>3352013400</v>
      </c>
      <c r="G164" s="82">
        <f t="shared" si="12"/>
        <v>3202007600</v>
      </c>
      <c r="H164" s="82">
        <v>21773651.68</v>
      </c>
      <c r="I164" s="187" t="s">
        <v>1442</v>
      </c>
    </row>
    <row r="165" spans="1:9" s="3" customFormat="1">
      <c r="A165" s="815"/>
      <c r="B165" s="66" t="s">
        <v>121</v>
      </c>
      <c r="C165" s="82">
        <v>488322660</v>
      </c>
      <c r="D165" s="82">
        <v>484537036</v>
      </c>
      <c r="E165" s="82">
        <v>1431729035</v>
      </c>
      <c r="F165" s="82">
        <f t="shared" si="11"/>
        <v>1920051695</v>
      </c>
      <c r="G165" s="82">
        <f t="shared" si="12"/>
        <v>1916266071</v>
      </c>
      <c r="H165" s="82">
        <v>13222235.889900001</v>
      </c>
      <c r="I165" s="187" t="s">
        <v>1442</v>
      </c>
    </row>
    <row r="166" spans="1:9" s="3" customFormat="1">
      <c r="A166" s="815"/>
      <c r="B166" s="66" t="s">
        <v>122</v>
      </c>
      <c r="C166" s="82">
        <v>1020222796</v>
      </c>
      <c r="D166" s="82">
        <v>822737060</v>
      </c>
      <c r="E166" s="82">
        <v>2081332374</v>
      </c>
      <c r="F166" s="82">
        <f t="shared" si="11"/>
        <v>3101555170</v>
      </c>
      <c r="G166" s="82">
        <f t="shared" si="12"/>
        <v>2904069434</v>
      </c>
      <c r="H166" s="82">
        <v>14810754.113399999</v>
      </c>
      <c r="I166" s="187" t="s">
        <v>1442</v>
      </c>
    </row>
    <row r="167" spans="1:9" s="3" customFormat="1">
      <c r="A167" s="815"/>
      <c r="B167" s="66" t="s">
        <v>123</v>
      </c>
      <c r="C167" s="82">
        <v>3807792800</v>
      </c>
      <c r="D167" s="82">
        <v>3803237900</v>
      </c>
      <c r="E167" s="82">
        <v>8912219100</v>
      </c>
      <c r="F167" s="82">
        <f t="shared" si="11"/>
        <v>12720011900</v>
      </c>
      <c r="G167" s="82">
        <f t="shared" si="12"/>
        <v>12715457000</v>
      </c>
      <c r="H167" s="82">
        <v>94094381.799999997</v>
      </c>
      <c r="I167" s="187" t="s">
        <v>1442</v>
      </c>
    </row>
    <row r="168" spans="1:9" s="3" customFormat="1">
      <c r="A168" s="815"/>
      <c r="B168" s="66"/>
      <c r="C168" s="82"/>
      <c r="D168" s="82"/>
      <c r="E168" s="82"/>
      <c r="F168" s="82"/>
      <c r="G168" s="82"/>
      <c r="H168" s="82"/>
      <c r="I168" s="187"/>
    </row>
    <row r="169" spans="1:9" s="3" customFormat="1">
      <c r="A169" s="815"/>
      <c r="B169" s="106" t="s">
        <v>124</v>
      </c>
      <c r="C169" s="107">
        <f t="shared" ref="C169:H169" si="14">SUM(C58:C167)</f>
        <v>415077385889</v>
      </c>
      <c r="D169" s="107">
        <f t="shared" si="14"/>
        <v>389724664525.19</v>
      </c>
      <c r="E169" s="107">
        <f t="shared" si="14"/>
        <v>851360306337</v>
      </c>
      <c r="F169" s="107">
        <f t="shared" si="14"/>
        <v>1266437692226</v>
      </c>
      <c r="G169" s="107">
        <f t="shared" si="14"/>
        <v>1241084970862.1899</v>
      </c>
      <c r="H169" s="107">
        <f t="shared" si="14"/>
        <v>10965746471.303698</v>
      </c>
      <c r="I169" s="203"/>
    </row>
    <row r="170" spans="1:9" s="3" customFormat="1" ht="6" customHeight="1">
      <c r="A170" s="815"/>
      <c r="B170" s="66"/>
      <c r="C170" s="82"/>
      <c r="D170" s="82"/>
      <c r="E170" s="82"/>
      <c r="F170" s="82"/>
      <c r="G170" s="82"/>
      <c r="H170" s="82"/>
      <c r="I170" s="187"/>
    </row>
    <row r="171" spans="1:9" s="3" customFormat="1">
      <c r="A171" s="815"/>
      <c r="B171" s="106" t="s">
        <v>152</v>
      </c>
      <c r="C171" s="107">
        <f>C50</f>
        <v>126818814561</v>
      </c>
      <c r="D171" s="107">
        <f t="shared" ref="D171:H171" si="15">D50</f>
        <v>125632008482</v>
      </c>
      <c r="E171" s="107">
        <f t="shared" si="15"/>
        <v>261824619853</v>
      </c>
      <c r="F171" s="107">
        <f t="shared" si="15"/>
        <v>388643434414</v>
      </c>
      <c r="G171" s="107">
        <f t="shared" si="15"/>
        <v>387456628335</v>
      </c>
      <c r="H171" s="107">
        <f t="shared" si="15"/>
        <v>4204171949.7655001</v>
      </c>
      <c r="I171" s="203"/>
    </row>
    <row r="172" spans="1:9" s="3" customFormat="1" ht="6" customHeight="1">
      <c r="A172" s="815"/>
      <c r="B172" s="66"/>
      <c r="C172" s="82"/>
      <c r="D172" s="82"/>
      <c r="E172" s="82"/>
      <c r="F172" s="82"/>
      <c r="G172" s="82"/>
      <c r="H172" s="82"/>
      <c r="I172" s="187"/>
    </row>
    <row r="173" spans="1:9" s="3" customFormat="1">
      <c r="A173" s="815"/>
      <c r="B173" s="106" t="s">
        <v>153</v>
      </c>
      <c r="C173" s="107">
        <f>C169+C171</f>
        <v>541896200450</v>
      </c>
      <c r="D173" s="107">
        <f t="shared" ref="D173:H173" si="16">D169+D171</f>
        <v>515356673007.19</v>
      </c>
      <c r="E173" s="107">
        <f t="shared" si="16"/>
        <v>1113184926190</v>
      </c>
      <c r="F173" s="107">
        <f t="shared" si="16"/>
        <v>1655081126640</v>
      </c>
      <c r="G173" s="107">
        <f t="shared" si="16"/>
        <v>1628541599197.1899</v>
      </c>
      <c r="H173" s="107">
        <f t="shared" si="16"/>
        <v>15169918421.069199</v>
      </c>
      <c r="I173" s="203"/>
    </row>
    <row r="174" spans="1:9" s="3" customFormat="1" ht="6" customHeight="1">
      <c r="A174" s="815"/>
      <c r="B174" s="66"/>
      <c r="C174" s="82"/>
      <c r="D174" s="82"/>
      <c r="E174" s="82"/>
      <c r="F174" s="82"/>
      <c r="G174" s="82"/>
      <c r="H174" s="82"/>
      <c r="I174" s="187"/>
    </row>
    <row r="175" spans="1:9">
      <c r="B175" s="65" t="s">
        <v>24</v>
      </c>
      <c r="C175" s="108"/>
      <c r="D175" s="108"/>
      <c r="E175" s="108"/>
      <c r="F175" s="108"/>
      <c r="G175" s="108"/>
      <c r="H175" s="108"/>
      <c r="I175" s="188"/>
    </row>
    <row r="176" spans="1:9">
      <c r="B176" s="65" t="s">
        <v>154</v>
      </c>
      <c r="C176" s="108"/>
      <c r="D176" s="108"/>
      <c r="E176" s="108"/>
      <c r="F176" s="108"/>
      <c r="G176" s="108"/>
      <c r="H176" s="108"/>
      <c r="I176" s="188"/>
    </row>
    <row r="177" spans="2:9">
      <c r="B177" s="65" t="s">
        <v>189</v>
      </c>
      <c r="C177" s="108"/>
      <c r="D177" s="108"/>
      <c r="E177" s="108"/>
      <c r="F177" s="108"/>
      <c r="G177" s="108"/>
      <c r="H177" s="108"/>
      <c r="I177" s="188"/>
    </row>
    <row r="178" spans="2:9">
      <c r="B178" s="65" t="s">
        <v>190</v>
      </c>
      <c r="C178" s="108"/>
      <c r="D178" s="108"/>
      <c r="E178" s="108"/>
      <c r="F178" s="108"/>
      <c r="G178" s="108"/>
      <c r="H178" s="108"/>
      <c r="I178" s="188"/>
    </row>
    <row r="179" spans="2:9">
      <c r="B179" s="65" t="s">
        <v>191</v>
      </c>
      <c r="C179" s="108"/>
      <c r="D179" s="108"/>
      <c r="E179" s="108"/>
      <c r="F179" s="108"/>
      <c r="G179" s="108"/>
      <c r="H179" s="108"/>
      <c r="I179" s="188"/>
    </row>
    <row r="181" spans="2:9">
      <c r="B181" s="7" t="s">
        <v>192</v>
      </c>
    </row>
    <row r="182" spans="2:9">
      <c r="B182" s="7"/>
    </row>
  </sheetData>
  <hyperlinks>
    <hyperlink ref="A1" location="TOC!A1" display="Back" xr:uid="{E3640F6F-F741-4127-B8FB-557DAB9628B1}"/>
  </hyperlinks>
  <pageMargins left="0.5" right="0.5" top="0.4" bottom="0.8" header="0.25" footer="0.35"/>
  <pageSetup fitToHeight="5" orientation="landscape" cellComments="asDisplayed" r:id="rId1"/>
  <headerFooter scaleWithDoc="0">
    <oddHeader>&amp;R&amp;P</oddHeader>
    <oddFooter>&amp;R&amp;G&amp;L© 2025 Virginia Department of Taxation, All Rights Reserved</oddFooter>
  </headerFooter>
  <rowBreaks count="3" manualBreakCount="3">
    <brk id="35" min="1" max="8" man="1"/>
    <brk id="107" min="1" max="8" man="1"/>
    <brk id="142" min="1" max="8" man="1"/>
  </rowBreaks>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3D024-B225-4053-B3BC-8F244A653362}">
  <sheetPr codeName="Sheet6"/>
  <dimension ref="A1:K182"/>
  <sheetViews>
    <sheetView zoomScale="105" zoomScaleNormal="105" workbookViewId="0"/>
  </sheetViews>
  <sheetFormatPr defaultRowHeight="13"/>
  <cols>
    <col min="1" max="1" width="4.19921875" customWidth="1"/>
    <col min="2" max="2" width="14.69921875" customWidth="1"/>
    <col min="3" max="3" width="17.69921875" style="4" customWidth="1"/>
    <col min="4" max="4" width="16.69921875" style="4" customWidth="1"/>
    <col min="5" max="5" width="15.69921875" style="4" customWidth="1"/>
    <col min="6" max="6" width="16.69921875" style="4" customWidth="1"/>
    <col min="7" max="7" width="23.69921875" style="4" customWidth="1"/>
    <col min="8" max="8" width="13.69921875" style="14" customWidth="1"/>
    <col min="9" max="9" width="17.69921875" style="11" customWidth="1"/>
    <col min="10" max="10" width="1.69921875" customWidth="1"/>
    <col min="11" max="11" width="5.19921875" customWidth="1"/>
  </cols>
  <sheetData>
    <row r="1" spans="1:11" ht="15.5">
      <c r="A1" s="813" t="s">
        <v>42</v>
      </c>
      <c r="B1" s="63" t="s">
        <v>206</v>
      </c>
      <c r="C1" s="100"/>
      <c r="D1" s="100"/>
      <c r="E1" s="100"/>
      <c r="F1" s="100"/>
      <c r="G1" s="100"/>
      <c r="H1" s="189"/>
      <c r="I1" s="103"/>
      <c r="K1" s="8"/>
    </row>
    <row r="2" spans="1:11">
      <c r="B2" s="64" t="s">
        <v>1443</v>
      </c>
      <c r="C2" s="100"/>
      <c r="D2" s="100"/>
      <c r="E2" s="100"/>
      <c r="F2" s="100"/>
      <c r="G2" s="100"/>
      <c r="H2" s="189"/>
      <c r="I2" s="103"/>
    </row>
    <row r="3" spans="1:11" ht="3" customHeight="1" thickBot="1">
      <c r="B3" s="64"/>
      <c r="C3" s="100"/>
      <c r="D3" s="100"/>
      <c r="E3" s="100"/>
      <c r="F3" s="100"/>
      <c r="G3" s="100"/>
      <c r="H3" s="189"/>
      <c r="I3" s="103"/>
    </row>
    <row r="4" spans="1:11">
      <c r="B4" s="190"/>
      <c r="C4" s="190"/>
      <c r="D4" s="191" t="s">
        <v>207</v>
      </c>
      <c r="E4" s="192"/>
      <c r="F4" s="192"/>
      <c r="G4" s="190"/>
      <c r="H4" s="193"/>
      <c r="I4" s="190"/>
    </row>
    <row r="5" spans="1:11" ht="24" customHeight="1">
      <c r="B5" s="179" t="s">
        <v>125</v>
      </c>
      <c r="C5" s="194" t="s">
        <v>208</v>
      </c>
      <c r="D5" s="179" t="s">
        <v>209</v>
      </c>
      <c r="E5" s="179" t="s">
        <v>210</v>
      </c>
      <c r="F5" s="179" t="s">
        <v>211</v>
      </c>
      <c r="G5" s="194" t="s">
        <v>212</v>
      </c>
      <c r="H5" s="195" t="s">
        <v>213</v>
      </c>
      <c r="I5" s="194" t="s">
        <v>214</v>
      </c>
    </row>
    <row r="6" spans="1:11" ht="21" customHeight="1">
      <c r="B6" s="66" t="s">
        <v>179</v>
      </c>
      <c r="C6" s="182">
        <f>IF('6.2'!F6=0,"",'6.2'!F6)</f>
        <v>47789243480</v>
      </c>
      <c r="D6" s="182">
        <v>4035098767</v>
      </c>
      <c r="E6" s="182">
        <v>1741481545</v>
      </c>
      <c r="F6" s="182">
        <f>IF(SUM(D6:E6)=0,"",SUM(D6:E6))</f>
        <v>5776580312</v>
      </c>
      <c r="G6" s="182">
        <f>IFERROR(C6+F6,"")</f>
        <v>53565823792</v>
      </c>
      <c r="H6" s="196">
        <f>IFERROR(F6/G6,"")</f>
        <v>0.10784078173484053</v>
      </c>
      <c r="I6" s="182">
        <v>65564186.541199997</v>
      </c>
    </row>
    <row r="7" spans="1:11">
      <c r="B7" s="66" t="s">
        <v>180</v>
      </c>
      <c r="C7" s="182">
        <f>IF('6.2'!F7=0,"",'6.2'!F7)</f>
        <v>1376379588</v>
      </c>
      <c r="D7" s="182">
        <v>126318800</v>
      </c>
      <c r="E7" s="182">
        <v>87693100</v>
      </c>
      <c r="F7" s="182">
        <f t="shared" ref="F7:F35" si="0">IF(SUM(D7:E7)=0,"",SUM(D7:E7))</f>
        <v>214011900</v>
      </c>
      <c r="G7" s="182">
        <f t="shared" ref="G7:G35" si="1">IFERROR(C7+F7,"")</f>
        <v>1590391488</v>
      </c>
      <c r="H7" s="196">
        <f t="shared" ref="H7:H35" si="2">IFERROR(F7/G7,"")</f>
        <v>0.13456554666872061</v>
      </c>
      <c r="I7" s="182">
        <v>2503939.23</v>
      </c>
    </row>
    <row r="8" spans="1:11">
      <c r="B8" s="66" t="s">
        <v>126</v>
      </c>
      <c r="C8" s="182">
        <f>IF('6.2'!F8=0,"",'6.2'!F8)</f>
        <v>348328410</v>
      </c>
      <c r="D8" s="182">
        <v>37103455</v>
      </c>
      <c r="E8" s="182">
        <v>84675200</v>
      </c>
      <c r="F8" s="182">
        <f t="shared" si="0"/>
        <v>121778655</v>
      </c>
      <c r="G8" s="182">
        <f t="shared" si="1"/>
        <v>470107065</v>
      </c>
      <c r="H8" s="196">
        <f t="shared" si="2"/>
        <v>0.25904451148803731</v>
      </c>
      <c r="I8" s="182">
        <v>1546588.9184999999</v>
      </c>
    </row>
    <row r="9" spans="1:11">
      <c r="B9" s="66" t="s">
        <v>127</v>
      </c>
      <c r="C9" s="182">
        <f>IF('6.2'!F9=0,"",'6.2'!F9)</f>
        <v>10901035400</v>
      </c>
      <c r="D9" s="182">
        <v>1654526000</v>
      </c>
      <c r="E9" s="182">
        <v>1669440600</v>
      </c>
      <c r="F9" s="182">
        <f t="shared" si="0"/>
        <v>3323966600</v>
      </c>
      <c r="G9" s="182">
        <f t="shared" si="1"/>
        <v>14225002000</v>
      </c>
      <c r="H9" s="196">
        <f t="shared" si="2"/>
        <v>0.23367072988812235</v>
      </c>
      <c r="I9" s="182">
        <v>32574872.68</v>
      </c>
    </row>
    <row r="10" spans="1:11">
      <c r="B10" s="66" t="s">
        <v>181</v>
      </c>
      <c r="C10" s="182">
        <f>IF('6.2'!F10=0,"",'6.2'!F10)</f>
        <v>37969477100</v>
      </c>
      <c r="D10" s="182">
        <v>2805414900</v>
      </c>
      <c r="E10" s="182">
        <v>2326694700</v>
      </c>
      <c r="F10" s="182">
        <f t="shared" si="0"/>
        <v>5132109600</v>
      </c>
      <c r="G10" s="182">
        <f t="shared" si="1"/>
        <v>43101586700</v>
      </c>
      <c r="H10" s="196">
        <f t="shared" si="2"/>
        <v>0.11907008518551825</v>
      </c>
      <c r="I10" s="182">
        <v>51834306.960000001</v>
      </c>
    </row>
    <row r="11" spans="1:11" ht="24" customHeight="1">
      <c r="B11" s="66" t="s">
        <v>128</v>
      </c>
      <c r="C11" s="182">
        <f>IF('6.2'!F11=0,"",'6.2'!F11)</f>
        <v>2288058920</v>
      </c>
      <c r="D11" s="182">
        <v>147833800</v>
      </c>
      <c r="E11" s="182">
        <v>0</v>
      </c>
      <c r="F11" s="182">
        <f t="shared" si="0"/>
        <v>147833800</v>
      </c>
      <c r="G11" s="182">
        <f t="shared" si="1"/>
        <v>2435892720</v>
      </c>
      <c r="H11" s="196">
        <f t="shared" si="2"/>
        <v>6.0689782758577317E-2</v>
      </c>
      <c r="I11" s="182">
        <v>1774005.6</v>
      </c>
    </row>
    <row r="12" spans="1:11">
      <c r="B12" s="66" t="s">
        <v>129</v>
      </c>
      <c r="C12" s="182">
        <f>IF('6.2'!F12=0,"",'6.2'!F12)</f>
        <v>355915700</v>
      </c>
      <c r="D12" s="182">
        <v>61542100</v>
      </c>
      <c r="E12" s="182">
        <v>64905100</v>
      </c>
      <c r="F12" s="182">
        <f t="shared" si="0"/>
        <v>126447200</v>
      </c>
      <c r="G12" s="182">
        <f t="shared" si="1"/>
        <v>482362900</v>
      </c>
      <c r="H12" s="196">
        <f t="shared" si="2"/>
        <v>0.26214122188916272</v>
      </c>
      <c r="I12" s="182">
        <v>1074801.2</v>
      </c>
    </row>
    <row r="13" spans="1:11">
      <c r="B13" s="66" t="s">
        <v>130</v>
      </c>
      <c r="C13" s="182">
        <f>IF('6.2'!F13=0,"",'6.2'!F13)</f>
        <v>2440167900</v>
      </c>
      <c r="D13" s="182">
        <v>325016600</v>
      </c>
      <c r="E13" s="182">
        <v>200878700</v>
      </c>
      <c r="F13" s="182">
        <f t="shared" si="0"/>
        <v>525895300</v>
      </c>
      <c r="G13" s="182">
        <f t="shared" si="1"/>
        <v>2966063200</v>
      </c>
      <c r="H13" s="196">
        <f t="shared" si="2"/>
        <v>0.17730414510385348</v>
      </c>
      <c r="I13" s="182">
        <v>4417520.5199999996</v>
      </c>
    </row>
    <row r="14" spans="1:11">
      <c r="B14" s="66" t="s">
        <v>131</v>
      </c>
      <c r="C14" s="182">
        <f>IF('6.2'!F14=0,"",'6.2'!F14)</f>
        <v>421034900</v>
      </c>
      <c r="D14" s="182">
        <v>66400200</v>
      </c>
      <c r="E14" s="182">
        <v>35514900</v>
      </c>
      <c r="F14" s="182">
        <f t="shared" si="0"/>
        <v>101915100</v>
      </c>
      <c r="G14" s="182">
        <f t="shared" si="1"/>
        <v>522950000</v>
      </c>
      <c r="H14" s="196">
        <f t="shared" si="2"/>
        <v>0.19488497944354144</v>
      </c>
      <c r="I14" s="182">
        <v>937618.92</v>
      </c>
    </row>
    <row r="15" spans="1:11">
      <c r="B15" s="66" t="s">
        <v>132</v>
      </c>
      <c r="C15" s="182">
        <f>IF('6.2'!F15=0,"",'6.2'!F15)</f>
        <v>7947166700</v>
      </c>
      <c r="D15" s="182">
        <v>285479100</v>
      </c>
      <c r="E15" s="182">
        <v>360108900</v>
      </c>
      <c r="F15" s="182">
        <f t="shared" si="0"/>
        <v>645588000</v>
      </c>
      <c r="G15" s="182">
        <f t="shared" si="1"/>
        <v>8592754700</v>
      </c>
      <c r="H15" s="196">
        <f t="shared" si="2"/>
        <v>7.5131668776719535E-2</v>
      </c>
      <c r="I15" s="182">
        <v>6649556.4000000004</v>
      </c>
    </row>
    <row r="16" spans="1:11" ht="24" customHeight="1">
      <c r="B16" s="66" t="s">
        <v>133</v>
      </c>
      <c r="C16" s="182">
        <f>IF('6.2'!F16=0,"",'6.2'!F16)</f>
        <v>5900125800</v>
      </c>
      <c r="D16" s="182">
        <v>197940700</v>
      </c>
      <c r="E16" s="182">
        <v>114552500</v>
      </c>
      <c r="F16" s="182">
        <f t="shared" si="0"/>
        <v>312493200</v>
      </c>
      <c r="G16" s="182">
        <f t="shared" si="1"/>
        <v>6212619000</v>
      </c>
      <c r="H16" s="196">
        <f t="shared" si="2"/>
        <v>5.0299752809563891E-2</v>
      </c>
      <c r="I16" s="182">
        <v>3781167.72</v>
      </c>
    </row>
    <row r="17" spans="2:9">
      <c r="B17" s="66" t="s">
        <v>71</v>
      </c>
      <c r="C17" s="182">
        <f>IF('6.2'!F17=0,"",'6.2'!F17)</f>
        <v>805565900</v>
      </c>
      <c r="D17" s="182">
        <v>39423300</v>
      </c>
      <c r="E17" s="182">
        <v>89251000</v>
      </c>
      <c r="F17" s="182">
        <f t="shared" si="0"/>
        <v>128674300</v>
      </c>
      <c r="G17" s="182">
        <f t="shared" si="1"/>
        <v>934240200</v>
      </c>
      <c r="H17" s="196">
        <f t="shared" si="2"/>
        <v>0.13773149560466355</v>
      </c>
      <c r="I17" s="182">
        <v>1325345.29</v>
      </c>
    </row>
    <row r="18" spans="2:9">
      <c r="B18" s="66" t="s">
        <v>134</v>
      </c>
      <c r="C18" s="182">
        <f>IF('6.2'!F18=0,"",'6.2'!F18)</f>
        <v>4792237200</v>
      </c>
      <c r="D18" s="182">
        <v>970857300</v>
      </c>
      <c r="E18" s="182">
        <v>457391700</v>
      </c>
      <c r="F18" s="182">
        <f t="shared" si="0"/>
        <v>1428249000</v>
      </c>
      <c r="G18" s="182">
        <f t="shared" si="1"/>
        <v>6220486200</v>
      </c>
      <c r="H18" s="196">
        <f t="shared" si="2"/>
        <v>0.22960407821497941</v>
      </c>
      <c r="I18" s="182">
        <v>12711416.1</v>
      </c>
    </row>
    <row r="19" spans="2:9">
      <c r="B19" s="66" t="s">
        <v>135</v>
      </c>
      <c r="C19" s="182">
        <f>IF('6.2'!F19=0,"",'6.2'!F19)</f>
        <v>614020100</v>
      </c>
      <c r="D19" s="182">
        <v>69751600</v>
      </c>
      <c r="E19" s="182">
        <v>28442900</v>
      </c>
      <c r="F19" s="182">
        <f t="shared" si="0"/>
        <v>98194500</v>
      </c>
      <c r="G19" s="182">
        <f t="shared" si="1"/>
        <v>712214600</v>
      </c>
      <c r="H19" s="196">
        <f t="shared" si="2"/>
        <v>0.13787206833445986</v>
      </c>
      <c r="I19" s="182">
        <v>903389.4</v>
      </c>
    </row>
    <row r="20" spans="2:9">
      <c r="B20" s="66" t="s">
        <v>136</v>
      </c>
      <c r="C20" s="182">
        <f>IF('6.2'!F20=0,"",'6.2'!F20)</f>
        <v>15631247700</v>
      </c>
      <c r="D20" s="182">
        <v>3555881300</v>
      </c>
      <c r="E20" s="182">
        <v>622901700</v>
      </c>
      <c r="F20" s="182">
        <f t="shared" si="0"/>
        <v>4178783000</v>
      </c>
      <c r="G20" s="182">
        <f t="shared" si="1"/>
        <v>19810030700</v>
      </c>
      <c r="H20" s="196">
        <f t="shared" si="2"/>
        <v>0.2109427826378886</v>
      </c>
      <c r="I20" s="182">
        <v>48473882.799999997</v>
      </c>
    </row>
    <row r="21" spans="2:9" s="3" customFormat="1" ht="24" customHeight="1">
      <c r="B21" s="66" t="s">
        <v>182</v>
      </c>
      <c r="C21" s="182">
        <f>IF('6.2'!F21=0,"",'6.2'!F21)</f>
        <v>5924958000</v>
      </c>
      <c r="D21" s="182">
        <v>1803912530</v>
      </c>
      <c r="E21" s="182">
        <v>588610400</v>
      </c>
      <c r="F21" s="182">
        <f t="shared" si="0"/>
        <v>2392522930</v>
      </c>
      <c r="G21" s="182">
        <f t="shared" si="1"/>
        <v>8317480930</v>
      </c>
      <c r="H21" s="196">
        <f t="shared" si="2"/>
        <v>0.28764994475316458</v>
      </c>
      <c r="I21" s="182">
        <v>24164481.592999998</v>
      </c>
    </row>
    <row r="22" spans="2:9" s="3" customFormat="1">
      <c r="B22" s="66" t="s">
        <v>137</v>
      </c>
      <c r="C22" s="182">
        <f>IF('6.2'!F22=0,"",'6.2'!F22)</f>
        <v>1956170100</v>
      </c>
      <c r="D22" s="182">
        <v>177232800</v>
      </c>
      <c r="E22" s="182">
        <v>50421400</v>
      </c>
      <c r="F22" s="182">
        <f t="shared" si="0"/>
        <v>227654200</v>
      </c>
      <c r="G22" s="182">
        <f t="shared" si="1"/>
        <v>2183824300</v>
      </c>
      <c r="H22" s="196">
        <f t="shared" si="2"/>
        <v>0.10424565749176799</v>
      </c>
      <c r="I22" s="182">
        <v>2663554.14</v>
      </c>
    </row>
    <row r="23" spans="2:9" s="3" customFormat="1">
      <c r="B23" s="66" t="s">
        <v>138</v>
      </c>
      <c r="C23" s="182">
        <f>IF('6.2'!F23=0,"",'6.2'!F23)</f>
        <v>679746000</v>
      </c>
      <c r="D23" s="182">
        <v>687590700</v>
      </c>
      <c r="E23" s="182">
        <v>643335900</v>
      </c>
      <c r="F23" s="182">
        <f t="shared" si="0"/>
        <v>1330926600</v>
      </c>
      <c r="G23" s="182">
        <f t="shared" si="1"/>
        <v>2010672600</v>
      </c>
      <c r="H23" s="196">
        <f t="shared" si="2"/>
        <v>0.66193103740509518</v>
      </c>
      <c r="I23" s="182">
        <v>12244524.720000001</v>
      </c>
    </row>
    <row r="24" spans="2:9" s="3" customFormat="1">
      <c r="B24" s="66" t="s">
        <v>139</v>
      </c>
      <c r="C24" s="182">
        <f>IF('6.2'!F24=0,"",'6.2'!F24)</f>
        <v>7688290800</v>
      </c>
      <c r="D24" s="182">
        <v>541171600</v>
      </c>
      <c r="E24" s="182">
        <v>1956093300</v>
      </c>
      <c r="F24" s="182">
        <f t="shared" si="0"/>
        <v>2497264900</v>
      </c>
      <c r="G24" s="182">
        <f t="shared" si="1"/>
        <v>10185555700</v>
      </c>
      <c r="H24" s="196">
        <f t="shared" si="2"/>
        <v>0.24517708935605742</v>
      </c>
      <c r="I24" s="182">
        <v>22225657.609999999</v>
      </c>
    </row>
    <row r="25" spans="2:9" s="3" customFormat="1">
      <c r="B25" s="66" t="s">
        <v>183</v>
      </c>
      <c r="C25" s="182">
        <f>IF('6.2'!F25=0,"",'6.2'!F25)</f>
        <v>6901711800</v>
      </c>
      <c r="D25" s="182">
        <v>656334600</v>
      </c>
      <c r="E25" s="182">
        <v>277993600</v>
      </c>
      <c r="F25" s="182">
        <f t="shared" si="0"/>
        <v>934328200</v>
      </c>
      <c r="G25" s="182">
        <f t="shared" si="1"/>
        <v>7836040000</v>
      </c>
      <c r="H25" s="196">
        <f t="shared" si="2"/>
        <v>0.11923474101714641</v>
      </c>
      <c r="I25" s="182">
        <v>9997311.7400000002</v>
      </c>
    </row>
    <row r="26" spans="2:9" s="3" customFormat="1" ht="24" customHeight="1">
      <c r="B26" s="66" t="s">
        <v>184</v>
      </c>
      <c r="C26" s="182">
        <f>IF('6.2'!F26=0,"",'6.2'!F26)</f>
        <v>2298723400</v>
      </c>
      <c r="D26" s="182">
        <v>199221100</v>
      </c>
      <c r="E26" s="182">
        <v>4982600</v>
      </c>
      <c r="F26" s="182">
        <f t="shared" si="0"/>
        <v>204203700</v>
      </c>
      <c r="G26" s="182">
        <f t="shared" si="1"/>
        <v>2502927100</v>
      </c>
      <c r="H26" s="196">
        <f t="shared" si="2"/>
        <v>8.1585955899394755E-2</v>
      </c>
      <c r="I26" s="182">
        <v>2920112.91</v>
      </c>
    </row>
    <row r="27" spans="2:9" s="3" customFormat="1">
      <c r="B27" s="66" t="s">
        <v>185</v>
      </c>
      <c r="C27" s="182">
        <f>IF('6.2'!F27=0,"",'6.2'!F27)</f>
        <v>784860900</v>
      </c>
      <c r="D27" s="182">
        <v>55921700</v>
      </c>
      <c r="E27" s="182">
        <v>89673400</v>
      </c>
      <c r="F27" s="182">
        <f t="shared" si="0"/>
        <v>145595100</v>
      </c>
      <c r="G27" s="182">
        <f t="shared" si="1"/>
        <v>930456000</v>
      </c>
      <c r="H27" s="196">
        <f t="shared" si="2"/>
        <v>0.15647714668936522</v>
      </c>
      <c r="I27" s="182">
        <v>1441391.49</v>
      </c>
    </row>
    <row r="28" spans="2:9" s="3" customFormat="1">
      <c r="B28" s="66" t="s">
        <v>140</v>
      </c>
      <c r="C28" s="182">
        <f>IF('6.2'!F28=0,"",'6.2'!F28)</f>
        <v>22334975800</v>
      </c>
      <c r="D28" s="182">
        <v>7175052700</v>
      </c>
      <c r="E28" s="182">
        <v>978512500</v>
      </c>
      <c r="F28" s="182">
        <f t="shared" si="0"/>
        <v>8153565200</v>
      </c>
      <c r="G28" s="182">
        <f t="shared" si="1"/>
        <v>30488541000</v>
      </c>
      <c r="H28" s="196">
        <f t="shared" si="2"/>
        <v>0.26743048150451015</v>
      </c>
      <c r="I28" s="182">
        <v>96212069.359999999</v>
      </c>
    </row>
    <row r="29" spans="2:9" s="3" customFormat="1">
      <c r="B29" s="66" t="s">
        <v>141</v>
      </c>
      <c r="C29" s="182">
        <f>IF('6.2'!F29=0,"",'6.2'!F29)</f>
        <v>26108428900</v>
      </c>
      <c r="D29" s="182">
        <v>10864997600</v>
      </c>
      <c r="E29" s="182">
        <v>2501762700</v>
      </c>
      <c r="F29" s="182">
        <f t="shared" si="0"/>
        <v>13366760300</v>
      </c>
      <c r="G29" s="182">
        <f t="shared" si="1"/>
        <v>39475189200</v>
      </c>
      <c r="H29" s="196">
        <f t="shared" si="2"/>
        <v>0.33861168422214932</v>
      </c>
      <c r="I29" s="182">
        <v>164411151.69</v>
      </c>
    </row>
    <row r="30" spans="2:9" s="3" customFormat="1">
      <c r="B30" s="66" t="s">
        <v>142</v>
      </c>
      <c r="C30" s="182">
        <f>IF('6.2'!F30=0,"",'6.2'!F30)</f>
        <v>247648200</v>
      </c>
      <c r="D30" s="182">
        <v>63737800</v>
      </c>
      <c r="E30" s="182">
        <v>24769900</v>
      </c>
      <c r="F30" s="182">
        <f t="shared" si="0"/>
        <v>88507700</v>
      </c>
      <c r="G30" s="182">
        <f t="shared" si="1"/>
        <v>336155900</v>
      </c>
      <c r="H30" s="196">
        <f t="shared" si="2"/>
        <v>0.26329360870953034</v>
      </c>
      <c r="I30" s="182">
        <v>796569.3</v>
      </c>
    </row>
    <row r="31" spans="2:9" s="3" customFormat="1" ht="24" customHeight="1">
      <c r="B31" s="66" t="s">
        <v>143</v>
      </c>
      <c r="C31" s="182">
        <f>IF('6.2'!F31=0,"",'6.2'!F31)</f>
        <v>2619032600</v>
      </c>
      <c r="D31" s="182">
        <v>151143500</v>
      </c>
      <c r="E31" s="182">
        <v>86878500</v>
      </c>
      <c r="F31" s="182">
        <f t="shared" si="0"/>
        <v>238022000</v>
      </c>
      <c r="G31" s="182">
        <f t="shared" si="1"/>
        <v>2857054600</v>
      </c>
      <c r="H31" s="196">
        <f t="shared" si="2"/>
        <v>8.3310273454347009E-2</v>
      </c>
      <c r="I31" s="182">
        <v>3022879.4</v>
      </c>
    </row>
    <row r="32" spans="2:9" s="3" customFormat="1">
      <c r="B32" s="66" t="s">
        <v>186</v>
      </c>
      <c r="C32" s="182">
        <f>IF('6.2'!F32=0,"",'6.2'!F32)</f>
        <v>2138388000</v>
      </c>
      <c r="D32" s="182">
        <v>43261200</v>
      </c>
      <c r="E32" s="182">
        <v>73376700</v>
      </c>
      <c r="F32" s="182">
        <f t="shared" si="0"/>
        <v>116637900</v>
      </c>
      <c r="G32" s="182">
        <f t="shared" si="1"/>
        <v>2255025900</v>
      </c>
      <c r="H32" s="196">
        <f t="shared" si="2"/>
        <v>5.1723530093379412E-2</v>
      </c>
      <c r="I32" s="182">
        <v>1329672.06</v>
      </c>
    </row>
    <row r="33" spans="2:9" s="3" customFormat="1">
      <c r="B33" s="66" t="s">
        <v>144</v>
      </c>
      <c r="C33" s="182">
        <f>IF('6.2'!F33=0,"",'6.2'!F33)</f>
        <v>9942491838</v>
      </c>
      <c r="D33" s="182">
        <v>5249674853</v>
      </c>
      <c r="E33" s="182">
        <v>597547190</v>
      </c>
      <c r="F33" s="182">
        <f t="shared" si="0"/>
        <v>5847222043</v>
      </c>
      <c r="G33" s="182">
        <f t="shared" si="1"/>
        <v>15789713881</v>
      </c>
      <c r="H33" s="196">
        <f t="shared" si="2"/>
        <v>0.37031842926780645</v>
      </c>
      <c r="I33" s="182">
        <v>73090275.537499994</v>
      </c>
    </row>
    <row r="34" spans="2:9" s="3" customFormat="1">
      <c r="B34" s="66" t="s">
        <v>145</v>
      </c>
      <c r="C34" s="182">
        <f>IF('6.2'!F34=0,"",'6.2'!F34)</f>
        <v>1199685400</v>
      </c>
      <c r="D34" s="182">
        <v>950287800</v>
      </c>
      <c r="E34" s="182">
        <v>31419900</v>
      </c>
      <c r="F34" s="182">
        <f t="shared" si="0"/>
        <v>981707700</v>
      </c>
      <c r="G34" s="182">
        <f t="shared" si="1"/>
        <v>2181393100</v>
      </c>
      <c r="H34" s="196">
        <f t="shared" si="2"/>
        <v>0.45003704284202606</v>
      </c>
      <c r="I34" s="182">
        <v>6773783.1299999999</v>
      </c>
    </row>
    <row r="35" spans="2:9" s="3" customFormat="1">
      <c r="B35" s="66" t="s">
        <v>146</v>
      </c>
      <c r="C35" s="182">
        <f>IF('6.2'!F35=0,"",'6.2'!F35)</f>
        <v>38669564000</v>
      </c>
      <c r="D35" s="182">
        <v>7706160000</v>
      </c>
      <c r="E35" s="182">
        <v>3277693000</v>
      </c>
      <c r="F35" s="182">
        <f t="shared" si="0"/>
        <v>10983853000</v>
      </c>
      <c r="G35" s="182">
        <f t="shared" si="1"/>
        <v>49653417000</v>
      </c>
      <c r="H35" s="196">
        <f t="shared" si="2"/>
        <v>0.22121041538792788</v>
      </c>
      <c r="I35" s="182">
        <v>131806236</v>
      </c>
    </row>
    <row r="36" spans="2:9" s="3" customFormat="1" ht="15.5">
      <c r="B36" s="63" t="str">
        <f>B1&amp;", continued"</f>
        <v>Table 6.3, continued</v>
      </c>
      <c r="C36" s="100"/>
      <c r="D36" s="100"/>
      <c r="E36" s="100"/>
      <c r="F36" s="100"/>
      <c r="G36" s="100"/>
      <c r="H36" s="189"/>
      <c r="I36" s="103"/>
    </row>
    <row r="37" spans="2:9" s="3" customFormat="1">
      <c r="B37" s="64" t="str">
        <f>$B$2</f>
        <v>Comparison of Tax Exempt Value to Total Fair Market Value (FMV) of Real Estate by Locality - Tax Year 2024</v>
      </c>
      <c r="C37" s="100"/>
      <c r="D37" s="100"/>
      <c r="E37" s="100"/>
      <c r="F37" s="100"/>
      <c r="G37" s="100"/>
      <c r="H37" s="189"/>
      <c r="I37" s="103"/>
    </row>
    <row r="38" spans="2:9" s="3" customFormat="1" ht="3" customHeight="1" thickBot="1">
      <c r="B38" s="64"/>
      <c r="C38" s="100"/>
      <c r="D38" s="100"/>
      <c r="E38" s="100"/>
      <c r="F38" s="100"/>
      <c r="G38" s="100"/>
      <c r="H38" s="189"/>
      <c r="I38" s="103"/>
    </row>
    <row r="39" spans="2:9" s="3" customFormat="1">
      <c r="B39" s="190"/>
      <c r="C39" s="190"/>
      <c r="D39" s="191" t="str">
        <f>D$4</f>
        <v>Fair Market Value Tax Exempt Real Estate</v>
      </c>
      <c r="E39" s="192"/>
      <c r="F39" s="192"/>
      <c r="G39" s="190"/>
      <c r="H39" s="193"/>
      <c r="I39" s="190"/>
    </row>
    <row r="40" spans="2:9" s="3" customFormat="1" ht="24" customHeight="1">
      <c r="B40" s="179" t="s">
        <v>125</v>
      </c>
      <c r="C40" s="194" t="str">
        <f t="shared" ref="C40:I40" si="3">C$5</f>
        <v>Fair Market Value 
Real Estate</v>
      </c>
      <c r="D40" s="179" t="str">
        <f t="shared" si="3"/>
        <v>Government</v>
      </c>
      <c r="E40" s="179" t="str">
        <f t="shared" si="3"/>
        <v>Non-Government</v>
      </c>
      <c r="F40" s="179" t="str">
        <f t="shared" si="3"/>
        <v>Total Tax Exempt</v>
      </c>
      <c r="G40" s="194" t="str">
        <f t="shared" si="3"/>
        <v>Total FMV 
(Real Estate &amp; Tax Exempt)</v>
      </c>
      <c r="H40" s="195" t="str">
        <f t="shared" si="3"/>
        <v>Tax Exempt to Total FMV</v>
      </c>
      <c r="I40" s="194" t="str">
        <f t="shared" si="3"/>
        <v>Taxes Lost 
Due to Exemptions</v>
      </c>
    </row>
    <row r="41" spans="2:9" s="3" customFormat="1" ht="21" customHeight="1">
      <c r="B41" s="66" t="s">
        <v>177</v>
      </c>
      <c r="C41" s="182">
        <f>IF('6.2'!F41=0,"",'6.2'!F41)</f>
        <v>10678638700</v>
      </c>
      <c r="D41" s="182">
        <v>1264282600</v>
      </c>
      <c r="E41" s="182">
        <v>1262435300</v>
      </c>
      <c r="F41" s="182">
        <f t="shared" ref="F41:F48" si="4">IF(SUM(D41:E41)=0,"",SUM(D41:E41))</f>
        <v>2526717900</v>
      </c>
      <c r="G41" s="182">
        <f t="shared" ref="G41:G48" si="5">IFERROR(C41+F41,"")</f>
        <v>13205356600</v>
      </c>
      <c r="H41" s="196">
        <f t="shared" ref="H41:H48" si="6">IFERROR(F41/G41,"")</f>
        <v>0.19134037622278219</v>
      </c>
      <c r="I41" s="182">
        <v>30825958.379999999</v>
      </c>
    </row>
    <row r="42" spans="2:9" s="3" customFormat="1">
      <c r="B42" s="66" t="s">
        <v>147</v>
      </c>
      <c r="C42" s="182">
        <f>IF('6.2'!F42=0,"",'6.2'!F42)</f>
        <v>3047940500</v>
      </c>
      <c r="D42" s="182">
        <v>452320300</v>
      </c>
      <c r="E42" s="182">
        <v>238601200</v>
      </c>
      <c r="F42" s="182">
        <f t="shared" si="4"/>
        <v>690921500</v>
      </c>
      <c r="G42" s="182">
        <f t="shared" si="5"/>
        <v>3738862000</v>
      </c>
      <c r="H42" s="196">
        <f t="shared" si="6"/>
        <v>0.18479459792846059</v>
      </c>
      <c r="I42" s="182">
        <v>8291058</v>
      </c>
    </row>
    <row r="43" spans="2:9" s="3" customFormat="1">
      <c r="B43" s="66" t="s">
        <v>187</v>
      </c>
      <c r="C43" s="182">
        <f>IF('6.2'!F43=0,"",'6.2'!F43)</f>
        <v>2930511100</v>
      </c>
      <c r="D43" s="182">
        <v>274279070</v>
      </c>
      <c r="E43" s="182">
        <v>177366075</v>
      </c>
      <c r="F43" s="182">
        <f t="shared" si="4"/>
        <v>451645145</v>
      </c>
      <c r="G43" s="182">
        <f t="shared" si="5"/>
        <v>3382156245</v>
      </c>
      <c r="H43" s="196">
        <f t="shared" si="6"/>
        <v>0.13353763465767976</v>
      </c>
      <c r="I43" s="182">
        <v>4019641.7905000001</v>
      </c>
    </row>
    <row r="44" spans="2:9" s="3" customFormat="1">
      <c r="B44" s="66" t="s">
        <v>188</v>
      </c>
      <c r="C44" s="182">
        <f>IF('6.2'!F44=0,"",'6.2'!F44)</f>
        <v>16175311900</v>
      </c>
      <c r="D44" s="182">
        <v>840335200</v>
      </c>
      <c r="E44" s="182">
        <v>374152200</v>
      </c>
      <c r="F44" s="182">
        <f t="shared" si="4"/>
        <v>1214487400</v>
      </c>
      <c r="G44" s="182">
        <f t="shared" si="5"/>
        <v>17389799300</v>
      </c>
      <c r="H44" s="196">
        <f t="shared" si="6"/>
        <v>6.9839069390524824E-2</v>
      </c>
      <c r="I44" s="182">
        <v>13237912.66</v>
      </c>
    </row>
    <row r="45" spans="2:9" s="3" customFormat="1">
      <c r="B45" s="66" t="s">
        <v>148</v>
      </c>
      <c r="C45" s="182">
        <f>IF('6.2'!F45=0,"",'6.2'!F45)</f>
        <v>76700985700</v>
      </c>
      <c r="D45" s="182">
        <v>10054444500</v>
      </c>
      <c r="E45" s="182">
        <v>2080900100</v>
      </c>
      <c r="F45" s="182">
        <f t="shared" si="4"/>
        <v>12135344600</v>
      </c>
      <c r="G45" s="182">
        <f t="shared" si="5"/>
        <v>88836330300</v>
      </c>
      <c r="H45" s="196">
        <f t="shared" si="6"/>
        <v>0.13660339817075942</v>
      </c>
      <c r="I45" s="182">
        <v>120139911.54000001</v>
      </c>
    </row>
    <row r="46" spans="2:9" s="3" customFormat="1" ht="24" customHeight="1">
      <c r="B46" s="66" t="s">
        <v>149</v>
      </c>
      <c r="C46" s="182">
        <f>IF('6.2'!F46=0,"",'6.2'!F46)</f>
        <v>2771263500</v>
      </c>
      <c r="D46" s="182">
        <v>96092700</v>
      </c>
      <c r="E46" s="182">
        <v>221966500</v>
      </c>
      <c r="F46" s="182">
        <f t="shared" si="4"/>
        <v>318059200</v>
      </c>
      <c r="G46" s="182">
        <f t="shared" si="5"/>
        <v>3089322700</v>
      </c>
      <c r="H46" s="196">
        <f t="shared" si="6"/>
        <v>0.10295434659512909</v>
      </c>
      <c r="I46" s="182">
        <v>2449055.84</v>
      </c>
    </row>
    <row r="47" spans="2:9" s="3" customFormat="1">
      <c r="B47" s="66" t="s">
        <v>150</v>
      </c>
      <c r="C47" s="182">
        <f>IF('6.2'!F47=0,"",'6.2'!F47)</f>
        <v>2907870700</v>
      </c>
      <c r="D47" s="182">
        <v>391869400</v>
      </c>
      <c r="E47" s="182">
        <v>1046964800</v>
      </c>
      <c r="F47" s="182">
        <f t="shared" si="4"/>
        <v>1438834200</v>
      </c>
      <c r="G47" s="182">
        <f t="shared" si="5"/>
        <v>4346704900</v>
      </c>
      <c r="H47" s="196">
        <f t="shared" si="6"/>
        <v>0.3310172264052248</v>
      </c>
      <c r="I47" s="182">
        <v>8920772.0399999991</v>
      </c>
    </row>
    <row r="48" spans="2:9" s="3" customFormat="1">
      <c r="B48" s="66" t="s">
        <v>151</v>
      </c>
      <c r="C48" s="182">
        <f>IF('6.2'!F48=0,"",'6.2'!F48)</f>
        <v>4356231778</v>
      </c>
      <c r="D48" s="182">
        <v>158339829</v>
      </c>
      <c r="E48" s="182">
        <v>1197564299</v>
      </c>
      <c r="F48" s="182">
        <f t="shared" si="4"/>
        <v>1355904128</v>
      </c>
      <c r="G48" s="182">
        <f t="shared" si="5"/>
        <v>5712135906</v>
      </c>
      <c r="H48" s="196">
        <f t="shared" si="6"/>
        <v>0.23737252584900245</v>
      </c>
      <c r="I48" s="182">
        <v>11254004.262399999</v>
      </c>
    </row>
    <row r="49" spans="2:9" s="3" customFormat="1">
      <c r="B49" s="66"/>
      <c r="C49" s="82"/>
      <c r="D49" s="82"/>
      <c r="E49" s="82"/>
      <c r="F49" s="82"/>
      <c r="G49" s="82"/>
      <c r="H49" s="197"/>
      <c r="I49" s="198"/>
    </row>
    <row r="50" spans="2:9" s="3" customFormat="1">
      <c r="B50" s="106" t="s">
        <v>152</v>
      </c>
      <c r="C50" s="107">
        <f>SUM(C6:C35,C41:C48)</f>
        <v>388643434414</v>
      </c>
      <c r="D50" s="107">
        <f t="shared" ref="D50:I50" si="7">SUM(D6:D35,D41:D48)</f>
        <v>64236252004</v>
      </c>
      <c r="E50" s="107">
        <f t="shared" si="7"/>
        <v>25666954009</v>
      </c>
      <c r="F50" s="107">
        <f t="shared" si="7"/>
        <v>89903206013</v>
      </c>
      <c r="G50" s="107">
        <f t="shared" si="7"/>
        <v>478546640427</v>
      </c>
      <c r="H50" s="199">
        <f>F50/G50</f>
        <v>0.18786717619160531</v>
      </c>
      <c r="I50" s="107">
        <f t="shared" si="7"/>
        <v>988310583.47309995</v>
      </c>
    </row>
    <row r="51" spans="2:9" ht="8" customHeight="1">
      <c r="B51" s="66"/>
      <c r="C51" s="100"/>
      <c r="D51" s="100"/>
      <c r="E51" s="100"/>
      <c r="F51" s="100"/>
      <c r="G51" s="100"/>
      <c r="H51" s="189"/>
      <c r="I51" s="103"/>
    </row>
    <row r="52" spans="2:9" ht="8" customHeight="1">
      <c r="B52" s="66"/>
      <c r="C52" s="100"/>
      <c r="D52" s="100"/>
      <c r="E52" s="100"/>
      <c r="F52" s="100"/>
      <c r="G52" s="100"/>
      <c r="H52" s="189"/>
      <c r="I52" s="103"/>
    </row>
    <row r="53" spans="2:9" s="3" customFormat="1" ht="15.5">
      <c r="B53" s="63" t="str">
        <f>$B$36</f>
        <v>Table 6.3, continued</v>
      </c>
      <c r="C53" s="100"/>
      <c r="D53" s="100"/>
      <c r="E53" s="100"/>
      <c r="F53" s="100"/>
      <c r="G53" s="100"/>
      <c r="H53" s="189"/>
      <c r="I53" s="103"/>
    </row>
    <row r="54" spans="2:9" s="3" customFormat="1">
      <c r="B54" s="64" t="str">
        <f>$B$2</f>
        <v>Comparison of Tax Exempt Value to Total Fair Market Value (FMV) of Real Estate by Locality - Tax Year 2024</v>
      </c>
      <c r="C54" s="100"/>
      <c r="D54" s="100"/>
      <c r="E54" s="100"/>
      <c r="F54" s="100"/>
      <c r="G54" s="100"/>
      <c r="H54" s="189"/>
      <c r="I54" s="103"/>
    </row>
    <row r="55" spans="2:9" s="3" customFormat="1" ht="3" customHeight="1" thickBot="1">
      <c r="B55" s="64"/>
      <c r="C55" s="100"/>
      <c r="D55" s="100"/>
      <c r="E55" s="100"/>
      <c r="F55" s="100"/>
      <c r="G55" s="100"/>
      <c r="H55" s="189"/>
      <c r="I55" s="103"/>
    </row>
    <row r="56" spans="2:9" s="3" customFormat="1">
      <c r="B56" s="190"/>
      <c r="C56" s="190"/>
      <c r="D56" s="191" t="str">
        <f>D$4</f>
        <v>Fair Market Value Tax Exempt Real Estate</v>
      </c>
      <c r="E56" s="192"/>
      <c r="F56" s="192"/>
      <c r="G56" s="190"/>
      <c r="H56" s="193"/>
      <c r="I56" s="190"/>
    </row>
    <row r="57" spans="2:9" s="3" customFormat="1" ht="24" customHeight="1">
      <c r="B57" s="179" t="s">
        <v>43</v>
      </c>
      <c r="C57" s="194" t="str">
        <f t="shared" ref="C57:I57" si="8">C$5</f>
        <v>Fair Market Value 
Real Estate</v>
      </c>
      <c r="D57" s="179" t="str">
        <f t="shared" si="8"/>
        <v>Government</v>
      </c>
      <c r="E57" s="179" t="str">
        <f t="shared" si="8"/>
        <v>Non-Government</v>
      </c>
      <c r="F57" s="179" t="str">
        <f t="shared" si="8"/>
        <v>Total Tax Exempt</v>
      </c>
      <c r="G57" s="194" t="str">
        <f t="shared" si="8"/>
        <v>Total FMV 
(Real Estate &amp; Tax Exempt)</v>
      </c>
      <c r="H57" s="195" t="str">
        <f t="shared" si="8"/>
        <v>Tax Exempt to Total FMV</v>
      </c>
      <c r="I57" s="194" t="str">
        <f t="shared" si="8"/>
        <v>Taxes Lost 
Due to Exemptions</v>
      </c>
    </row>
    <row r="58" spans="2:9" s="3" customFormat="1" ht="21" customHeight="1">
      <c r="B58" s="66" t="s">
        <v>44</v>
      </c>
      <c r="C58" s="182">
        <f>IF('6.2'!F58=0,"",'6.2'!F58)</f>
        <v>5418777300</v>
      </c>
      <c r="D58" s="182">
        <v>557749700</v>
      </c>
      <c r="E58" s="182">
        <v>296239900</v>
      </c>
      <c r="F58" s="182">
        <f t="shared" ref="F58:F72" si="9">IF(SUM(D58:E58)=0,"",SUM(D58:E58))</f>
        <v>853989600</v>
      </c>
      <c r="G58" s="182">
        <f t="shared" ref="G58:G72" si="10">IFERROR(C58+F58,"")</f>
        <v>6272766900</v>
      </c>
      <c r="H58" s="196">
        <f t="shared" ref="H58:H72" si="11">IFERROR(F58/G58,"")</f>
        <v>0.13614240950034345</v>
      </c>
      <c r="I58" s="182">
        <v>4133309.6639999999</v>
      </c>
    </row>
    <row r="59" spans="2:9" s="3" customFormat="1">
      <c r="B59" s="66" t="s">
        <v>45</v>
      </c>
      <c r="C59" s="182">
        <f>IF('6.2'!F59=0,"",'6.2'!F59)</f>
        <v>29586982400</v>
      </c>
      <c r="D59" s="182">
        <v>3309175900</v>
      </c>
      <c r="E59" s="182">
        <v>1217814600</v>
      </c>
      <c r="F59" s="182">
        <f t="shared" si="9"/>
        <v>4526990500</v>
      </c>
      <c r="G59" s="182">
        <f t="shared" si="10"/>
        <v>34113972900</v>
      </c>
      <c r="H59" s="196">
        <f t="shared" si="11"/>
        <v>0.13270194337288696</v>
      </c>
      <c r="I59" s="182">
        <v>38660498.869999997</v>
      </c>
    </row>
    <row r="60" spans="2:9" s="3" customFormat="1">
      <c r="B60" s="66" t="s">
        <v>46</v>
      </c>
      <c r="C60" s="182">
        <f>IF('6.2'!F60=0,"",'6.2'!F60)</f>
        <v>1156786434</v>
      </c>
      <c r="D60" s="182">
        <v>222688100</v>
      </c>
      <c r="E60" s="182">
        <v>72568900</v>
      </c>
      <c r="F60" s="182">
        <f t="shared" si="9"/>
        <v>295257000</v>
      </c>
      <c r="G60" s="182">
        <f t="shared" si="10"/>
        <v>1452043434</v>
      </c>
      <c r="H60" s="196">
        <f t="shared" si="11"/>
        <v>0.20333895879866634</v>
      </c>
      <c r="I60" s="182">
        <v>2155376.1</v>
      </c>
    </row>
    <row r="61" spans="2:9" s="3" customFormat="1">
      <c r="B61" s="66" t="s">
        <v>47</v>
      </c>
      <c r="C61" s="182">
        <f>IF('6.2'!F61=0,"",'6.2'!F61)</f>
        <v>1856740150</v>
      </c>
      <c r="D61" s="182">
        <v>36060200</v>
      </c>
      <c r="E61" s="182">
        <v>59443100</v>
      </c>
      <c r="F61" s="182">
        <f t="shared" si="9"/>
        <v>95503300</v>
      </c>
      <c r="G61" s="182">
        <f t="shared" si="10"/>
        <v>1952243450</v>
      </c>
      <c r="H61" s="196">
        <f t="shared" si="11"/>
        <v>4.8919769714171661E-2</v>
      </c>
      <c r="I61" s="182">
        <v>439315.18</v>
      </c>
    </row>
    <row r="62" spans="2:9" s="3" customFormat="1">
      <c r="B62" s="66" t="s">
        <v>48</v>
      </c>
      <c r="C62" s="182">
        <f>IF('6.2'!F62=0,"",'6.2'!F62)</f>
        <v>2858134300</v>
      </c>
      <c r="D62" s="182">
        <v>245789700</v>
      </c>
      <c r="E62" s="182">
        <v>343629200</v>
      </c>
      <c r="F62" s="182">
        <f t="shared" si="9"/>
        <v>589418900</v>
      </c>
      <c r="G62" s="182">
        <f t="shared" si="10"/>
        <v>3447553200</v>
      </c>
      <c r="H62" s="196">
        <f t="shared" si="11"/>
        <v>0.17096731096129278</v>
      </c>
      <c r="I62" s="182">
        <v>3595455.29</v>
      </c>
    </row>
    <row r="63" spans="2:9" s="3" customFormat="1" ht="21" customHeight="1">
      <c r="B63" s="66" t="s">
        <v>49</v>
      </c>
      <c r="C63" s="182">
        <f>IF('6.2'!F63=0,"",'6.2'!F63)</f>
        <v>1536365900</v>
      </c>
      <c r="D63" s="182">
        <v>93885100</v>
      </c>
      <c r="E63" s="182">
        <v>90968900</v>
      </c>
      <c r="F63" s="182">
        <f t="shared" si="9"/>
        <v>184854000</v>
      </c>
      <c r="G63" s="182">
        <f t="shared" si="10"/>
        <v>1721219900</v>
      </c>
      <c r="H63" s="196">
        <f t="shared" si="11"/>
        <v>0.10739708505577933</v>
      </c>
      <c r="I63" s="182">
        <v>1164580.2</v>
      </c>
    </row>
    <row r="64" spans="2:9" s="3" customFormat="1">
      <c r="B64" s="66" t="s">
        <v>164</v>
      </c>
      <c r="C64" s="182">
        <f>IF('6.2'!F64=0,"",'6.2'!F64)</f>
        <v>91422648100</v>
      </c>
      <c r="D64" s="182">
        <v>8895034400</v>
      </c>
      <c r="E64" s="182">
        <v>1317833100</v>
      </c>
      <c r="F64" s="182">
        <f t="shared" si="9"/>
        <v>10212867500</v>
      </c>
      <c r="G64" s="182">
        <f t="shared" si="10"/>
        <v>101635515600</v>
      </c>
      <c r="H64" s="196">
        <f t="shared" si="11"/>
        <v>0.10048522349405979</v>
      </c>
      <c r="I64" s="182">
        <v>105498921.27500001</v>
      </c>
    </row>
    <row r="65" spans="2:9" s="3" customFormat="1">
      <c r="B65" s="66" t="s">
        <v>50</v>
      </c>
      <c r="C65" s="182">
        <f>IF('6.2'!F65=0,"",'6.2'!F65)</f>
        <v>13488920400</v>
      </c>
      <c r="D65" s="182">
        <v>613082100</v>
      </c>
      <c r="E65" s="182">
        <v>903648900</v>
      </c>
      <c r="F65" s="182">
        <f t="shared" si="9"/>
        <v>1516731000</v>
      </c>
      <c r="G65" s="182">
        <f t="shared" si="10"/>
        <v>15005651400</v>
      </c>
      <c r="H65" s="196">
        <f t="shared" si="11"/>
        <v>0.10107731810962901</v>
      </c>
      <c r="I65" s="182">
        <v>7887001.2000000002</v>
      </c>
    </row>
    <row r="66" spans="2:9" s="3" customFormat="1">
      <c r="B66" s="66" t="s">
        <v>165</v>
      </c>
      <c r="C66" s="182">
        <f>IF('6.2'!F66=0,"",'6.2'!F66)</f>
        <v>1009294100</v>
      </c>
      <c r="D66" s="182">
        <v>257819600</v>
      </c>
      <c r="E66" s="182">
        <v>54241800</v>
      </c>
      <c r="F66" s="182">
        <f t="shared" si="9"/>
        <v>312061400</v>
      </c>
      <c r="G66" s="182">
        <f t="shared" si="10"/>
        <v>1321355500</v>
      </c>
      <c r="H66" s="196">
        <f t="shared" si="11"/>
        <v>0.23616763240475405</v>
      </c>
      <c r="I66" s="182">
        <v>1872368.4</v>
      </c>
    </row>
    <row r="67" spans="2:9" s="3" customFormat="1">
      <c r="B67" s="66" t="s">
        <v>51</v>
      </c>
      <c r="C67" s="182">
        <f>IF('6.2'!F67=0,"",'6.2'!F67)</f>
        <v>13950637700</v>
      </c>
      <c r="D67" s="182">
        <v>395485000</v>
      </c>
      <c r="E67" s="182">
        <v>652463500</v>
      </c>
      <c r="F67" s="182">
        <f t="shared" si="9"/>
        <v>1047948500</v>
      </c>
      <c r="G67" s="182">
        <f t="shared" si="10"/>
        <v>14998586200</v>
      </c>
      <c r="H67" s="196">
        <f t="shared" si="11"/>
        <v>6.9869818796654312E-2</v>
      </c>
      <c r="I67" s="182">
        <v>4296588.8499999996</v>
      </c>
    </row>
    <row r="68" spans="2:9" s="3" customFormat="1" ht="21" customHeight="1">
      <c r="B68" s="66" t="s">
        <v>52</v>
      </c>
      <c r="C68" s="182">
        <f>IF('6.2'!F68=0,"",'6.2'!F68)</f>
        <v>630951000</v>
      </c>
      <c r="D68" s="182">
        <v>133331800</v>
      </c>
      <c r="E68" s="182">
        <v>29549600</v>
      </c>
      <c r="F68" s="182">
        <f t="shared" si="9"/>
        <v>162881400</v>
      </c>
      <c r="G68" s="182">
        <f t="shared" si="10"/>
        <v>793832400</v>
      </c>
      <c r="H68" s="196">
        <f t="shared" si="11"/>
        <v>0.20518361306492403</v>
      </c>
      <c r="I68" s="182">
        <v>977288.4</v>
      </c>
    </row>
    <row r="69" spans="2:9" s="3" customFormat="1">
      <c r="B69" s="66" t="s">
        <v>53</v>
      </c>
      <c r="C69" s="182">
        <f>IF('6.2'!F69=0,"",'6.2'!F69)</f>
        <v>5851773470</v>
      </c>
      <c r="D69" s="182">
        <v>214758100</v>
      </c>
      <c r="E69" s="182">
        <v>304561800</v>
      </c>
      <c r="F69" s="182">
        <f t="shared" si="9"/>
        <v>519319900</v>
      </c>
      <c r="G69" s="182">
        <f t="shared" si="10"/>
        <v>6371093370</v>
      </c>
      <c r="H69" s="196">
        <f t="shared" si="11"/>
        <v>8.1511895971475928E-2</v>
      </c>
      <c r="I69" s="182">
        <v>3635239.3</v>
      </c>
    </row>
    <row r="70" spans="2:9" s="3" customFormat="1">
      <c r="B70" s="66" t="s">
        <v>54</v>
      </c>
      <c r="C70" s="182">
        <f>IF('6.2'!F70=0,"",'6.2'!F70)</f>
        <v>1966387910</v>
      </c>
      <c r="D70" s="182">
        <v>233232500</v>
      </c>
      <c r="E70" s="182">
        <v>55251400</v>
      </c>
      <c r="F70" s="182">
        <f t="shared" si="9"/>
        <v>288483900</v>
      </c>
      <c r="G70" s="182">
        <f t="shared" si="10"/>
        <v>2254871810</v>
      </c>
      <c r="H70" s="196">
        <f t="shared" si="11"/>
        <v>0.12793804894833466</v>
      </c>
      <c r="I70" s="182">
        <v>1442419.5</v>
      </c>
    </row>
    <row r="71" spans="2:9" s="3" customFormat="1">
      <c r="B71" s="66" t="s">
        <v>55</v>
      </c>
      <c r="C71" s="182">
        <f>IF('6.2'!F71=0,"",'6.2'!F71)</f>
        <v>2213731091</v>
      </c>
      <c r="D71" s="182">
        <v>414333268</v>
      </c>
      <c r="E71" s="182">
        <v>120360126</v>
      </c>
      <c r="F71" s="182">
        <f t="shared" si="9"/>
        <v>534693394</v>
      </c>
      <c r="G71" s="182">
        <f t="shared" si="10"/>
        <v>2748424485</v>
      </c>
      <c r="H71" s="196">
        <f t="shared" si="11"/>
        <v>0.19454541935504552</v>
      </c>
      <c r="I71" s="182">
        <v>2085304.2365999999</v>
      </c>
    </row>
    <row r="72" spans="2:9" s="3" customFormat="1">
      <c r="B72" s="66" t="s">
        <v>56</v>
      </c>
      <c r="C72" s="182">
        <f>IF('6.2'!F72=0,"",'6.2'!F72)</f>
        <v>1641135099</v>
      </c>
      <c r="D72" s="182">
        <v>234805500</v>
      </c>
      <c r="E72" s="182">
        <v>133245800</v>
      </c>
      <c r="F72" s="182">
        <f t="shared" si="9"/>
        <v>368051300</v>
      </c>
      <c r="G72" s="182">
        <f t="shared" si="10"/>
        <v>2009186399</v>
      </c>
      <c r="H72" s="196">
        <f t="shared" si="11"/>
        <v>0.18318424820274726</v>
      </c>
      <c r="I72" s="182">
        <v>2208307.7999999998</v>
      </c>
    </row>
    <row r="73" spans="2:9" s="3" customFormat="1" ht="15.5">
      <c r="B73" s="63" t="str">
        <f>$B$36</f>
        <v>Table 6.3, continued</v>
      </c>
      <c r="C73" s="100"/>
      <c r="D73" s="100"/>
      <c r="E73" s="100"/>
      <c r="F73" s="100"/>
      <c r="G73" s="100"/>
      <c r="H73" s="189"/>
      <c r="I73" s="103"/>
    </row>
    <row r="74" spans="2:9" s="3" customFormat="1">
      <c r="B74" s="64" t="str">
        <f>$B$2</f>
        <v>Comparison of Tax Exempt Value to Total Fair Market Value (FMV) of Real Estate by Locality - Tax Year 2024</v>
      </c>
      <c r="C74" s="100"/>
      <c r="D74" s="100"/>
      <c r="E74" s="100"/>
      <c r="F74" s="100"/>
      <c r="G74" s="100"/>
      <c r="H74" s="189"/>
      <c r="I74" s="103"/>
    </row>
    <row r="75" spans="2:9" s="3" customFormat="1" ht="3" customHeight="1" thickBot="1">
      <c r="B75" s="64"/>
      <c r="C75" s="100"/>
      <c r="D75" s="100"/>
      <c r="E75" s="100"/>
      <c r="F75" s="100"/>
      <c r="G75" s="100"/>
      <c r="H75" s="189"/>
      <c r="I75" s="103"/>
    </row>
    <row r="76" spans="2:9" s="3" customFormat="1">
      <c r="B76" s="190"/>
      <c r="C76" s="190"/>
      <c r="D76" s="191" t="str">
        <f>D$4</f>
        <v>Fair Market Value Tax Exempt Real Estate</v>
      </c>
      <c r="E76" s="192"/>
      <c r="F76" s="192"/>
      <c r="G76" s="190"/>
      <c r="H76" s="193"/>
      <c r="I76" s="190"/>
    </row>
    <row r="77" spans="2:9" s="3" customFormat="1" ht="24" customHeight="1">
      <c r="B77" s="179" t="s">
        <v>43</v>
      </c>
      <c r="C77" s="194" t="str">
        <f t="shared" ref="C77:I77" si="12">C$5</f>
        <v>Fair Market Value 
Real Estate</v>
      </c>
      <c r="D77" s="179" t="str">
        <f t="shared" si="12"/>
        <v>Government</v>
      </c>
      <c r="E77" s="179" t="str">
        <f t="shared" si="12"/>
        <v>Non-Government</v>
      </c>
      <c r="F77" s="179" t="str">
        <f t="shared" si="12"/>
        <v>Total Tax Exempt</v>
      </c>
      <c r="G77" s="194" t="str">
        <f t="shared" si="12"/>
        <v>Total FMV 
(Real Estate &amp; Tax Exempt)</v>
      </c>
      <c r="H77" s="195" t="str">
        <f t="shared" si="12"/>
        <v>Tax Exempt to Total FMV</v>
      </c>
      <c r="I77" s="194" t="str">
        <f t="shared" si="12"/>
        <v>Taxes Lost 
Due to Exemptions</v>
      </c>
    </row>
    <row r="78" spans="2:9" s="3" customFormat="1" ht="21" customHeight="1">
      <c r="B78" s="66" t="s">
        <v>57</v>
      </c>
      <c r="C78" s="182">
        <f>IF('6.2'!F78=0,"",'6.2'!F78)</f>
        <v>6293562976</v>
      </c>
      <c r="D78" s="182">
        <v>167017900</v>
      </c>
      <c r="E78" s="182">
        <v>416472800</v>
      </c>
      <c r="F78" s="182">
        <f t="shared" ref="F78:F107" si="13">IF(SUM(D78:E78)=0,"",SUM(D78:E78))</f>
        <v>583490700</v>
      </c>
      <c r="G78" s="182">
        <f t="shared" ref="G78:G107" si="14">IFERROR(C78+F78,"")</f>
        <v>6877053676</v>
      </c>
      <c r="H78" s="196">
        <f t="shared" ref="H78:H107" si="15">IFERROR(F78/G78,"")</f>
        <v>8.484602963567156E-2</v>
      </c>
      <c r="I78" s="182">
        <v>2625708.15</v>
      </c>
    </row>
    <row r="79" spans="2:9" s="3" customFormat="1">
      <c r="B79" s="66" t="s">
        <v>58</v>
      </c>
      <c r="C79" s="182">
        <f>IF('6.2'!F79=0,"",'6.2'!F79)</f>
        <v>3867337678</v>
      </c>
      <c r="D79" s="182">
        <v>454285000</v>
      </c>
      <c r="E79" s="182">
        <v>178593400</v>
      </c>
      <c r="F79" s="182">
        <f t="shared" si="13"/>
        <v>632878400</v>
      </c>
      <c r="G79" s="182">
        <f t="shared" si="14"/>
        <v>4500216078</v>
      </c>
      <c r="H79" s="196">
        <f t="shared" si="15"/>
        <v>0.14063289162800952</v>
      </c>
      <c r="I79" s="182">
        <v>4936451.5199999996</v>
      </c>
    </row>
    <row r="80" spans="2:9" s="3" customFormat="1">
      <c r="B80" s="66" t="s">
        <v>59</v>
      </c>
      <c r="C80" s="182">
        <f>IF('6.2'!F80=0,"",'6.2'!F80)</f>
        <v>2635118600</v>
      </c>
      <c r="D80" s="182">
        <v>195393800</v>
      </c>
      <c r="E80" s="182">
        <v>90840700</v>
      </c>
      <c r="F80" s="182">
        <f t="shared" si="13"/>
        <v>286234500</v>
      </c>
      <c r="G80" s="182">
        <f t="shared" si="14"/>
        <v>2921353100</v>
      </c>
      <c r="H80" s="196">
        <f t="shared" si="15"/>
        <v>9.7980110654887972E-2</v>
      </c>
      <c r="I80" s="182">
        <v>1688783.55</v>
      </c>
    </row>
    <row r="81" spans="2:9" s="3" customFormat="1">
      <c r="B81" s="66" t="s">
        <v>166</v>
      </c>
      <c r="C81" s="182">
        <f>IF('6.2'!F81=0,"",'6.2'!F81)</f>
        <v>1051515695</v>
      </c>
      <c r="D81" s="182">
        <v>68899000</v>
      </c>
      <c r="E81" s="182">
        <v>16955100</v>
      </c>
      <c r="F81" s="182">
        <f t="shared" si="13"/>
        <v>85854100</v>
      </c>
      <c r="G81" s="182">
        <f t="shared" si="14"/>
        <v>1137369795</v>
      </c>
      <c r="H81" s="196">
        <f t="shared" si="15"/>
        <v>7.54847723031013E-2</v>
      </c>
      <c r="I81" s="182">
        <v>566637.06000000006</v>
      </c>
    </row>
    <row r="82" spans="2:9" s="3" customFormat="1">
      <c r="B82" s="66" t="s">
        <v>60</v>
      </c>
      <c r="C82" s="182">
        <f>IF('6.2'!F82=0,"",'6.2'!F82)</f>
        <v>1044666131</v>
      </c>
      <c r="D82" s="182">
        <v>40297210</v>
      </c>
      <c r="E82" s="182">
        <v>66298372</v>
      </c>
      <c r="F82" s="182">
        <f t="shared" si="13"/>
        <v>106595582</v>
      </c>
      <c r="G82" s="182">
        <f t="shared" si="14"/>
        <v>1151261713</v>
      </c>
      <c r="H82" s="196">
        <f t="shared" si="15"/>
        <v>9.259022583338529E-2</v>
      </c>
      <c r="I82" s="182">
        <v>660892.60840000003</v>
      </c>
    </row>
    <row r="83" spans="2:9" s="3" customFormat="1" ht="24" customHeight="1">
      <c r="B83" s="66" t="s">
        <v>61</v>
      </c>
      <c r="C83" s="182">
        <f>IF('6.2'!F83=0,"",'6.2'!F83)</f>
        <v>61290584000</v>
      </c>
      <c r="D83" s="182">
        <v>3100637500</v>
      </c>
      <c r="E83" s="182">
        <v>920674900</v>
      </c>
      <c r="F83" s="182">
        <f t="shared" si="13"/>
        <v>4021312400</v>
      </c>
      <c r="G83" s="182">
        <f t="shared" si="14"/>
        <v>65311896400</v>
      </c>
      <c r="H83" s="196">
        <f t="shared" si="15"/>
        <v>6.1570902418322672E-2</v>
      </c>
      <c r="I83" s="182">
        <v>36191811.600000001</v>
      </c>
    </row>
    <row r="84" spans="2:9" s="3" customFormat="1">
      <c r="B84" s="66" t="s">
        <v>62</v>
      </c>
      <c r="C84" s="182">
        <f>IF('6.2'!F84=0,"",'6.2'!F84)</f>
        <v>2868381100</v>
      </c>
      <c r="D84" s="182">
        <v>71570900</v>
      </c>
      <c r="E84" s="182">
        <v>116804200</v>
      </c>
      <c r="F84" s="182">
        <f t="shared" si="13"/>
        <v>188375100</v>
      </c>
      <c r="G84" s="182">
        <f t="shared" si="14"/>
        <v>3056756200</v>
      </c>
      <c r="H84" s="196">
        <f t="shared" si="15"/>
        <v>6.1625817590555639E-2</v>
      </c>
      <c r="I84" s="182">
        <v>1149088.1100000001</v>
      </c>
    </row>
    <row r="85" spans="2:9" s="3" customFormat="1">
      <c r="B85" s="66" t="s">
        <v>63</v>
      </c>
      <c r="C85" s="182">
        <f>IF('6.2'!F85=0,"",'6.2'!F85)</f>
        <v>734732300</v>
      </c>
      <c r="D85" s="182">
        <v>109395600</v>
      </c>
      <c r="E85" s="182">
        <v>33659900</v>
      </c>
      <c r="F85" s="182">
        <f t="shared" si="13"/>
        <v>143055500</v>
      </c>
      <c r="G85" s="182">
        <f t="shared" si="14"/>
        <v>877787800</v>
      </c>
      <c r="H85" s="196">
        <f t="shared" si="15"/>
        <v>0.16297275947558168</v>
      </c>
      <c r="I85" s="182">
        <v>743888.6</v>
      </c>
    </row>
    <row r="86" spans="2:9" s="3" customFormat="1">
      <c r="B86" s="66" t="s">
        <v>64</v>
      </c>
      <c r="C86" s="182">
        <f>IF('6.2'!F86=0,"",'6.2'!F86)</f>
        <v>9178860135</v>
      </c>
      <c r="D86" s="182">
        <v>342767500</v>
      </c>
      <c r="E86" s="182">
        <v>348341900</v>
      </c>
      <c r="F86" s="182">
        <f t="shared" si="13"/>
        <v>691109400</v>
      </c>
      <c r="G86" s="182">
        <f t="shared" si="14"/>
        <v>9869969535</v>
      </c>
      <c r="H86" s="196">
        <f t="shared" si="15"/>
        <v>7.0021431935453279E-2</v>
      </c>
      <c r="I86" s="182">
        <v>3248214.18</v>
      </c>
    </row>
    <row r="87" spans="2:9" s="3" customFormat="1">
      <c r="B87" s="66" t="s">
        <v>65</v>
      </c>
      <c r="C87" s="182">
        <f>IF('6.2'!F87=0,"",'6.2'!F87)</f>
        <v>1281372920</v>
      </c>
      <c r="D87" s="182">
        <v>245576430</v>
      </c>
      <c r="E87" s="182">
        <v>96677520</v>
      </c>
      <c r="F87" s="182">
        <f t="shared" si="13"/>
        <v>342253950</v>
      </c>
      <c r="G87" s="182">
        <f t="shared" si="14"/>
        <v>1623626870</v>
      </c>
      <c r="H87" s="196">
        <f t="shared" si="15"/>
        <v>0.21079593860133641</v>
      </c>
      <c r="I87" s="182">
        <v>2053523.7</v>
      </c>
    </row>
    <row r="88" spans="2:9" s="3" customFormat="1" ht="24" customHeight="1">
      <c r="B88" s="66" t="s">
        <v>66</v>
      </c>
      <c r="C88" s="182">
        <f>IF('6.2'!F88=0,"",'6.2'!F88)</f>
        <v>1479061800</v>
      </c>
      <c r="D88" s="182">
        <v>182504500</v>
      </c>
      <c r="E88" s="182">
        <v>45362900</v>
      </c>
      <c r="F88" s="182">
        <f t="shared" si="13"/>
        <v>227867400</v>
      </c>
      <c r="G88" s="182">
        <f t="shared" si="14"/>
        <v>1706929200</v>
      </c>
      <c r="H88" s="196">
        <f t="shared" si="15"/>
        <v>0.1334955193220668</v>
      </c>
      <c r="I88" s="182">
        <v>1184910.48</v>
      </c>
    </row>
    <row r="89" spans="2:9" s="3" customFormat="1">
      <c r="B89" s="66" t="s">
        <v>167</v>
      </c>
      <c r="C89" s="182">
        <f>IF('6.2'!F89=0,"",'6.2'!F89)</f>
        <v>2886939261</v>
      </c>
      <c r="D89" s="182">
        <v>219845282</v>
      </c>
      <c r="E89" s="182">
        <v>180266136</v>
      </c>
      <c r="F89" s="182">
        <f t="shared" si="13"/>
        <v>400111418</v>
      </c>
      <c r="G89" s="182">
        <f t="shared" si="14"/>
        <v>3287050679</v>
      </c>
      <c r="H89" s="196">
        <f t="shared" si="15"/>
        <v>0.12172353184457854</v>
      </c>
      <c r="I89" s="182">
        <v>3360935.9112</v>
      </c>
    </row>
    <row r="90" spans="2:9" s="3" customFormat="1">
      <c r="B90" s="66" t="s">
        <v>67</v>
      </c>
      <c r="C90" s="182">
        <f>IF('6.2'!F90=0,"",'6.2'!F90)</f>
        <v>1632458356</v>
      </c>
      <c r="D90" s="182">
        <v>35795339</v>
      </c>
      <c r="E90" s="182">
        <v>65301738</v>
      </c>
      <c r="F90" s="182">
        <f t="shared" si="13"/>
        <v>101097077</v>
      </c>
      <c r="G90" s="182">
        <f t="shared" si="14"/>
        <v>1733555433</v>
      </c>
      <c r="H90" s="196">
        <f t="shared" si="15"/>
        <v>5.8317764217696064E-2</v>
      </c>
      <c r="I90" s="182">
        <v>738008.66209999996</v>
      </c>
    </row>
    <row r="91" spans="2:9" s="3" customFormat="1">
      <c r="B91" s="66" t="s">
        <v>168</v>
      </c>
      <c r="C91" s="182">
        <f>IF('6.2'!F91=0,"",'6.2'!F91)</f>
        <v>323888593610</v>
      </c>
      <c r="D91" s="182">
        <v>16876137340</v>
      </c>
      <c r="E91" s="182">
        <v>7668050710</v>
      </c>
      <c r="F91" s="182">
        <f t="shared" si="13"/>
        <v>24544188050</v>
      </c>
      <c r="G91" s="182">
        <f t="shared" si="14"/>
        <v>348432781660</v>
      </c>
      <c r="H91" s="196">
        <f t="shared" si="15"/>
        <v>7.0441672947840386E-2</v>
      </c>
      <c r="I91" s="182">
        <v>276122115.5625</v>
      </c>
    </row>
    <row r="92" spans="2:9" s="3" customFormat="1">
      <c r="B92" s="66" t="s">
        <v>68</v>
      </c>
      <c r="C92" s="182">
        <f>IF('6.2'!F92=0,"",'6.2'!F92)</f>
        <v>15790786200</v>
      </c>
      <c r="D92" s="182">
        <v>790523600</v>
      </c>
      <c r="E92" s="182">
        <v>265035300</v>
      </c>
      <c r="F92" s="182">
        <f t="shared" si="13"/>
        <v>1055558900</v>
      </c>
      <c r="G92" s="182">
        <f t="shared" si="14"/>
        <v>16846345100</v>
      </c>
      <c r="H92" s="196">
        <f t="shared" si="15"/>
        <v>6.2658036133903014E-2</v>
      </c>
      <c r="I92" s="182">
        <v>9953920.4269999992</v>
      </c>
    </row>
    <row r="93" spans="2:9" s="3" customFormat="1" ht="24" customHeight="1">
      <c r="B93" s="66" t="s">
        <v>69</v>
      </c>
      <c r="C93" s="182">
        <f>IF('6.2'!F93=0,"",'6.2'!F93)</f>
        <v>1965495400</v>
      </c>
      <c r="D93" s="182">
        <v>119113000</v>
      </c>
      <c r="E93" s="182">
        <v>37092700</v>
      </c>
      <c r="F93" s="182">
        <f t="shared" si="13"/>
        <v>156205700</v>
      </c>
      <c r="G93" s="182">
        <f t="shared" si="14"/>
        <v>2121701100</v>
      </c>
      <c r="H93" s="196">
        <f t="shared" si="15"/>
        <v>7.3622858563819379E-2</v>
      </c>
      <c r="I93" s="182">
        <v>1046578.19</v>
      </c>
    </row>
    <row r="94" spans="2:9" s="3" customFormat="1">
      <c r="B94" s="66" t="s">
        <v>70</v>
      </c>
      <c r="C94" s="182">
        <f>IF('6.2'!F94=0,"",'6.2'!F94)</f>
        <v>3767164800</v>
      </c>
      <c r="D94" s="182">
        <v>158062100</v>
      </c>
      <c r="E94" s="182">
        <v>164629100</v>
      </c>
      <c r="F94" s="182">
        <f t="shared" si="13"/>
        <v>322691200</v>
      </c>
      <c r="G94" s="182">
        <f t="shared" si="14"/>
        <v>4089856000</v>
      </c>
      <c r="H94" s="196">
        <f t="shared" si="15"/>
        <v>7.8900381822734095E-2</v>
      </c>
      <c r="I94" s="182">
        <v>2723513.7280000001</v>
      </c>
    </row>
    <row r="95" spans="2:9" s="3" customFormat="1">
      <c r="B95" s="66" t="s">
        <v>71</v>
      </c>
      <c r="C95" s="182">
        <f>IF('6.2'!F95=0,"",'6.2'!F95)</f>
        <v>11517747800</v>
      </c>
      <c r="D95" s="182">
        <v>123651400</v>
      </c>
      <c r="E95" s="182">
        <v>459888800</v>
      </c>
      <c r="F95" s="182">
        <f t="shared" si="13"/>
        <v>583540200</v>
      </c>
      <c r="G95" s="182">
        <f t="shared" si="14"/>
        <v>12101288000</v>
      </c>
      <c r="H95" s="196">
        <f t="shared" si="15"/>
        <v>4.8221329828692615E-2</v>
      </c>
      <c r="I95" s="182">
        <v>2509222.86</v>
      </c>
    </row>
    <row r="96" spans="2:9" s="3" customFormat="1">
      <c r="B96" s="66" t="s">
        <v>169</v>
      </c>
      <c r="C96" s="182">
        <f>IF('6.2'!F96=0,"",'6.2'!F96)</f>
        <v>15924061400</v>
      </c>
      <c r="D96" s="182">
        <v>392114000</v>
      </c>
      <c r="E96" s="182">
        <v>977547500</v>
      </c>
      <c r="F96" s="182">
        <f t="shared" si="13"/>
        <v>1369661500</v>
      </c>
      <c r="G96" s="182">
        <f t="shared" si="14"/>
        <v>17293722900</v>
      </c>
      <c r="H96" s="196">
        <f t="shared" si="15"/>
        <v>7.9199921724199707E-2</v>
      </c>
      <c r="I96" s="182">
        <v>6985273.6500000004</v>
      </c>
    </row>
    <row r="97" spans="2:9" s="3" customFormat="1">
      <c r="B97" s="66" t="s">
        <v>72</v>
      </c>
      <c r="C97" s="182">
        <f>IF('6.2'!F97=0,"",'6.2'!F97)</f>
        <v>1313017800</v>
      </c>
      <c r="D97" s="182">
        <v>77927500</v>
      </c>
      <c r="E97" s="182">
        <v>71152600</v>
      </c>
      <c r="F97" s="182">
        <f t="shared" si="13"/>
        <v>149080100</v>
      </c>
      <c r="G97" s="182">
        <f t="shared" si="14"/>
        <v>1462097900</v>
      </c>
      <c r="H97" s="196">
        <f t="shared" si="15"/>
        <v>0.1019631448755928</v>
      </c>
      <c r="I97" s="182">
        <v>1013744.68</v>
      </c>
    </row>
    <row r="98" spans="2:9" s="3" customFormat="1" ht="24" customHeight="1">
      <c r="B98" s="66" t="s">
        <v>73</v>
      </c>
      <c r="C98" s="182">
        <f>IF('6.2'!F98=0,"",'6.2'!F98)</f>
        <v>6178648155</v>
      </c>
      <c r="D98" s="182">
        <v>288909180</v>
      </c>
      <c r="E98" s="182">
        <v>165218190</v>
      </c>
      <c r="F98" s="182">
        <f t="shared" si="13"/>
        <v>454127370</v>
      </c>
      <c r="G98" s="182">
        <f t="shared" si="14"/>
        <v>6632775525</v>
      </c>
      <c r="H98" s="196">
        <f t="shared" si="15"/>
        <v>6.8467170084125534E-2</v>
      </c>
      <c r="I98" s="182">
        <v>2647562.5671000001</v>
      </c>
    </row>
    <row r="99" spans="2:9" s="3" customFormat="1">
      <c r="B99" s="66" t="s">
        <v>74</v>
      </c>
      <c r="C99" s="182">
        <f>IF('6.2'!F99=0,"",'6.2'!F99)</f>
        <v>9392863400</v>
      </c>
      <c r="D99" s="182">
        <v>218278200</v>
      </c>
      <c r="E99" s="182">
        <v>293678300</v>
      </c>
      <c r="F99" s="182">
        <f t="shared" si="13"/>
        <v>511956500</v>
      </c>
      <c r="G99" s="182">
        <f t="shared" si="14"/>
        <v>9904819900</v>
      </c>
      <c r="H99" s="196">
        <f t="shared" si="15"/>
        <v>5.1687613219499329E-2</v>
      </c>
      <c r="I99" s="182">
        <v>2713369.45</v>
      </c>
    </row>
    <row r="100" spans="2:9" s="3" customFormat="1">
      <c r="B100" s="66" t="s">
        <v>75</v>
      </c>
      <c r="C100" s="182">
        <f>IF('6.2'!F100=0,"",'6.2'!F100)</f>
        <v>1897072400</v>
      </c>
      <c r="D100" s="182">
        <v>135080100</v>
      </c>
      <c r="E100" s="182">
        <v>108953900</v>
      </c>
      <c r="F100" s="182">
        <f t="shared" si="13"/>
        <v>244034000</v>
      </c>
      <c r="G100" s="182">
        <f t="shared" si="14"/>
        <v>2141106400</v>
      </c>
      <c r="H100" s="196">
        <f t="shared" si="15"/>
        <v>0.11397565296147823</v>
      </c>
      <c r="I100" s="182">
        <v>1317783.6000000001</v>
      </c>
    </row>
    <row r="101" spans="2:9" s="3" customFormat="1">
      <c r="B101" s="66" t="s">
        <v>76</v>
      </c>
      <c r="C101" s="182">
        <f>IF('6.2'!F101=0,"",'6.2'!F101)</f>
        <v>3193541349</v>
      </c>
      <c r="D101" s="182">
        <v>138285500</v>
      </c>
      <c r="E101" s="182">
        <v>149698796</v>
      </c>
      <c r="F101" s="182">
        <f t="shared" si="13"/>
        <v>287984296</v>
      </c>
      <c r="G101" s="182">
        <f t="shared" si="14"/>
        <v>3481525645</v>
      </c>
      <c r="H101" s="196">
        <f t="shared" si="15"/>
        <v>8.2717844234061352E-2</v>
      </c>
      <c r="I101" s="182">
        <v>2044688.5016000001</v>
      </c>
    </row>
    <row r="102" spans="2:9" s="3" customFormat="1">
      <c r="B102" s="66" t="s">
        <v>77</v>
      </c>
      <c r="C102" s="182">
        <f>IF('6.2'!F102=0,"",'6.2'!F102)</f>
        <v>664646560</v>
      </c>
      <c r="D102" s="182">
        <v>544445500</v>
      </c>
      <c r="E102" s="182">
        <v>29972200</v>
      </c>
      <c r="F102" s="182">
        <f t="shared" si="13"/>
        <v>574417700</v>
      </c>
      <c r="G102" s="182">
        <f t="shared" si="14"/>
        <v>1239064260</v>
      </c>
      <c r="H102" s="196">
        <f t="shared" si="15"/>
        <v>0.46358991905714397</v>
      </c>
      <c r="I102" s="182">
        <v>3848598.59</v>
      </c>
    </row>
    <row r="103" spans="2:9" s="3" customFormat="1" ht="24" customHeight="1">
      <c r="B103" s="66" t="s">
        <v>78</v>
      </c>
      <c r="C103" s="182">
        <f>IF('6.2'!F103=0,"",'6.2'!F103)</f>
        <v>3147336331</v>
      </c>
      <c r="D103" s="182">
        <v>189768670</v>
      </c>
      <c r="E103" s="182">
        <v>271202208</v>
      </c>
      <c r="F103" s="182">
        <f t="shared" si="13"/>
        <v>460970878</v>
      </c>
      <c r="G103" s="182">
        <f t="shared" si="14"/>
        <v>3608307209</v>
      </c>
      <c r="H103" s="196">
        <f t="shared" si="15"/>
        <v>0.12775266940969604</v>
      </c>
      <c r="I103" s="182">
        <v>2304854.39</v>
      </c>
    </row>
    <row r="104" spans="2:9" s="3" customFormat="1">
      <c r="B104" s="66" t="s">
        <v>79</v>
      </c>
      <c r="C104" s="182">
        <f>IF('6.2'!F104=0,"",'6.2'!F104)</f>
        <v>23059303989</v>
      </c>
      <c r="D104" s="182">
        <v>1446772301</v>
      </c>
      <c r="E104" s="182">
        <v>554330000</v>
      </c>
      <c r="F104" s="182">
        <f t="shared" si="13"/>
        <v>2001102301</v>
      </c>
      <c r="G104" s="182">
        <f t="shared" si="14"/>
        <v>25060406290</v>
      </c>
      <c r="H104" s="196">
        <f t="shared" si="15"/>
        <v>7.9851151567263759E-2</v>
      </c>
      <c r="I104" s="182">
        <v>16208928.6381</v>
      </c>
    </row>
    <row r="105" spans="2:9" s="3" customFormat="1">
      <c r="B105" s="66" t="s">
        <v>80</v>
      </c>
      <c r="C105" s="182">
        <f>IF('6.2'!F105=0,"",'6.2'!F105)</f>
        <v>59374783000</v>
      </c>
      <c r="D105" s="182">
        <v>3259970200</v>
      </c>
      <c r="E105" s="182">
        <v>1910413500</v>
      </c>
      <c r="F105" s="182">
        <f t="shared" si="13"/>
        <v>5170383700</v>
      </c>
      <c r="G105" s="182">
        <f t="shared" si="14"/>
        <v>64545166700</v>
      </c>
      <c r="H105" s="196">
        <f t="shared" si="15"/>
        <v>8.0104893431160659E-2</v>
      </c>
      <c r="I105" s="182">
        <v>43948261.450000003</v>
      </c>
    </row>
    <row r="106" spans="2:9" s="3" customFormat="1">
      <c r="B106" s="66" t="s">
        <v>81</v>
      </c>
      <c r="C106" s="182">
        <f>IF('6.2'!F106=0,"",'6.2'!F106)</f>
        <v>3121296483</v>
      </c>
      <c r="D106" s="182">
        <v>282894000</v>
      </c>
      <c r="E106" s="182">
        <v>374126800</v>
      </c>
      <c r="F106" s="182">
        <f t="shared" si="13"/>
        <v>657020800</v>
      </c>
      <c r="G106" s="182">
        <f t="shared" si="14"/>
        <v>3778317283</v>
      </c>
      <c r="H106" s="196">
        <f t="shared" si="15"/>
        <v>0.17389243697350973</v>
      </c>
      <c r="I106" s="182">
        <v>3646465.44</v>
      </c>
    </row>
    <row r="107" spans="2:9" s="3" customFormat="1">
      <c r="B107" s="66" t="s">
        <v>170</v>
      </c>
      <c r="C107" s="182">
        <f>IF('6.2'!F107=0,"",'6.2'!F107)</f>
        <v>826188680</v>
      </c>
      <c r="D107" s="182">
        <v>73933800</v>
      </c>
      <c r="E107" s="182">
        <v>25852800</v>
      </c>
      <c r="F107" s="182">
        <f t="shared" si="13"/>
        <v>99786600</v>
      </c>
      <c r="G107" s="182">
        <f t="shared" si="14"/>
        <v>925975280</v>
      </c>
      <c r="H107" s="196">
        <f t="shared" si="15"/>
        <v>0.10776378393168336</v>
      </c>
      <c r="I107" s="182">
        <v>439061.04</v>
      </c>
    </row>
    <row r="108" spans="2:9" s="3" customFormat="1" ht="15.5">
      <c r="B108" s="63" t="str">
        <f>$B$36</f>
        <v>Table 6.3, continued</v>
      </c>
      <c r="C108" s="100"/>
      <c r="D108" s="100"/>
      <c r="E108" s="100"/>
      <c r="F108" s="100"/>
      <c r="G108" s="100"/>
      <c r="H108" s="189"/>
      <c r="I108" s="103"/>
    </row>
    <row r="109" spans="2:9" s="3" customFormat="1">
      <c r="B109" s="64" t="str">
        <f>$B$2</f>
        <v>Comparison of Tax Exempt Value to Total Fair Market Value (FMV) of Real Estate by Locality - Tax Year 2024</v>
      </c>
      <c r="C109" s="100"/>
      <c r="D109" s="100"/>
      <c r="E109" s="100"/>
      <c r="F109" s="100"/>
      <c r="G109" s="100"/>
      <c r="H109" s="189"/>
      <c r="I109" s="103"/>
    </row>
    <row r="110" spans="2:9" s="3" customFormat="1" ht="3" customHeight="1" thickBot="1">
      <c r="B110" s="64"/>
      <c r="C110" s="100"/>
      <c r="D110" s="100"/>
      <c r="E110" s="100"/>
      <c r="F110" s="100"/>
      <c r="G110" s="100"/>
      <c r="H110" s="189"/>
      <c r="I110" s="103"/>
    </row>
    <row r="111" spans="2:9" s="3" customFormat="1">
      <c r="B111" s="190"/>
      <c r="C111" s="190"/>
      <c r="D111" s="191" t="str">
        <f>D$4</f>
        <v>Fair Market Value Tax Exempt Real Estate</v>
      </c>
      <c r="E111" s="192"/>
      <c r="F111" s="192"/>
      <c r="G111" s="190"/>
      <c r="H111" s="193"/>
      <c r="I111" s="190"/>
    </row>
    <row r="112" spans="2:9" s="3" customFormat="1" ht="24" customHeight="1">
      <c r="B112" s="179" t="s">
        <v>43</v>
      </c>
      <c r="C112" s="194" t="str">
        <f t="shared" ref="C112:I112" si="16">C$5</f>
        <v>Fair Market Value 
Real Estate</v>
      </c>
      <c r="D112" s="179" t="str">
        <f t="shared" si="16"/>
        <v>Government</v>
      </c>
      <c r="E112" s="179" t="str">
        <f t="shared" si="16"/>
        <v>Non-Government</v>
      </c>
      <c r="F112" s="179" t="str">
        <f t="shared" si="16"/>
        <v>Total Tax Exempt</v>
      </c>
      <c r="G112" s="194" t="str">
        <f t="shared" si="16"/>
        <v>Total FMV 
(Real Estate &amp; Tax Exempt)</v>
      </c>
      <c r="H112" s="195" t="str">
        <f t="shared" si="16"/>
        <v>Tax Exempt to Total FMV</v>
      </c>
      <c r="I112" s="194" t="str">
        <f t="shared" si="16"/>
        <v>Taxes Lost 
Due to Exemptions</v>
      </c>
    </row>
    <row r="113" spans="2:9" s="3" customFormat="1" ht="21" customHeight="1">
      <c r="B113" s="66" t="s">
        <v>82</v>
      </c>
      <c r="C113" s="182">
        <f>IF('6.2'!F113=0,"",'6.2'!F113)</f>
        <v>6809597700</v>
      </c>
      <c r="D113" s="182">
        <v>125221100</v>
      </c>
      <c r="E113" s="182">
        <v>252174900</v>
      </c>
      <c r="F113" s="182">
        <f t="shared" ref="F113:F142" si="17">IF(SUM(D113:E113)=0,"",SUM(D113:E113))</f>
        <v>377396000</v>
      </c>
      <c r="G113" s="182">
        <f t="shared" ref="G113:G142" si="18">IFERROR(C113+F113,"")</f>
        <v>7186993700</v>
      </c>
      <c r="H113" s="196">
        <f t="shared" ref="H113:H142" si="19">IFERROR(F113/G113,"")</f>
        <v>5.2510968529164009E-2</v>
      </c>
      <c r="I113" s="182">
        <v>2679511.6</v>
      </c>
    </row>
    <row r="114" spans="2:9" s="3" customFormat="1">
      <c r="B114" s="66" t="s">
        <v>83</v>
      </c>
      <c r="C114" s="182">
        <f>IF('6.2'!F114=0,"",'6.2'!F114)</f>
        <v>16972098600</v>
      </c>
      <c r="D114" s="182">
        <v>633045900</v>
      </c>
      <c r="E114" s="182">
        <v>145605900</v>
      </c>
      <c r="F114" s="182">
        <f t="shared" si="17"/>
        <v>778651800</v>
      </c>
      <c r="G114" s="182">
        <f t="shared" si="18"/>
        <v>17750750400</v>
      </c>
      <c r="H114" s="196">
        <f t="shared" si="19"/>
        <v>4.3865852566999083E-2</v>
      </c>
      <c r="I114" s="182">
        <v>6462809.9400000004</v>
      </c>
    </row>
    <row r="115" spans="2:9" s="3" customFormat="1">
      <c r="B115" s="66" t="s">
        <v>84</v>
      </c>
      <c r="C115" s="182">
        <f>IF('6.2'!F115=0,"",'6.2'!F115)</f>
        <v>1201569040</v>
      </c>
      <c r="D115" s="182">
        <v>34518500</v>
      </c>
      <c r="E115" s="182">
        <v>47480800</v>
      </c>
      <c r="F115" s="182">
        <f t="shared" si="17"/>
        <v>81999300</v>
      </c>
      <c r="G115" s="182">
        <f t="shared" si="18"/>
        <v>1283568340</v>
      </c>
      <c r="H115" s="196">
        <f t="shared" si="19"/>
        <v>6.3883859896388534E-2</v>
      </c>
      <c r="I115" s="182">
        <v>409996.5</v>
      </c>
    </row>
    <row r="116" spans="2:9" s="3" customFormat="1">
      <c r="B116" s="66" t="s">
        <v>85</v>
      </c>
      <c r="C116" s="182">
        <f>IF('6.2'!F116=0,"",'6.2'!F116)</f>
        <v>4353146275</v>
      </c>
      <c r="D116" s="182">
        <v>1202579500</v>
      </c>
      <c r="E116" s="182">
        <v>76898000</v>
      </c>
      <c r="F116" s="182">
        <f t="shared" si="17"/>
        <v>1279477500</v>
      </c>
      <c r="G116" s="182">
        <f t="shared" si="18"/>
        <v>5632623775</v>
      </c>
      <c r="H116" s="196">
        <f t="shared" si="19"/>
        <v>0.22715479519134046</v>
      </c>
      <c r="I116" s="182">
        <v>8700447</v>
      </c>
    </row>
    <row r="117" spans="2:9" s="3" customFormat="1">
      <c r="B117" s="66" t="s">
        <v>86</v>
      </c>
      <c r="C117" s="182">
        <f>IF('6.2'!F117=0,"",'6.2'!F117)</f>
        <v>2849906236</v>
      </c>
      <c r="D117" s="182">
        <v>69084959</v>
      </c>
      <c r="E117" s="182">
        <v>94533645</v>
      </c>
      <c r="F117" s="182">
        <f t="shared" si="17"/>
        <v>163618604</v>
      </c>
      <c r="G117" s="182">
        <f t="shared" si="18"/>
        <v>3013524840</v>
      </c>
      <c r="H117" s="196">
        <f t="shared" si="19"/>
        <v>5.4294758691950919E-2</v>
      </c>
      <c r="I117" s="182">
        <v>803310.04</v>
      </c>
    </row>
    <row r="118" spans="2:9" s="3" customFormat="1" ht="24" customHeight="1">
      <c r="B118" s="66" t="s">
        <v>171</v>
      </c>
      <c r="C118" s="182">
        <f>IF('6.2'!F118=0,"",'6.2'!F118)</f>
        <v>3822609600</v>
      </c>
      <c r="D118" s="182">
        <v>59492300</v>
      </c>
      <c r="E118" s="182">
        <v>79087000</v>
      </c>
      <c r="F118" s="182">
        <f t="shared" si="17"/>
        <v>138579300</v>
      </c>
      <c r="G118" s="182">
        <f t="shared" si="18"/>
        <v>3961188900</v>
      </c>
      <c r="H118" s="196">
        <f t="shared" si="19"/>
        <v>3.4984269495453753E-2</v>
      </c>
      <c r="I118" s="182">
        <v>762186.15</v>
      </c>
    </row>
    <row r="119" spans="2:9" s="3" customFormat="1">
      <c r="B119" s="66" t="s">
        <v>87</v>
      </c>
      <c r="C119" s="182">
        <f>IF('6.2'!F119=0,"",'6.2'!F119)</f>
        <v>983229382</v>
      </c>
      <c r="D119" s="182">
        <v>153070878</v>
      </c>
      <c r="E119" s="182">
        <v>100122600</v>
      </c>
      <c r="F119" s="182">
        <f t="shared" si="17"/>
        <v>253193478</v>
      </c>
      <c r="G119" s="182">
        <f t="shared" si="18"/>
        <v>1236422860</v>
      </c>
      <c r="H119" s="196">
        <f t="shared" si="19"/>
        <v>0.20477903328316011</v>
      </c>
      <c r="I119" s="182">
        <v>1873631.7372000001</v>
      </c>
    </row>
    <row r="120" spans="2:9" s="3" customFormat="1">
      <c r="B120" s="66" t="s">
        <v>88</v>
      </c>
      <c r="C120" s="182">
        <f>IF('6.2'!F120=0,"",'6.2'!F120)</f>
        <v>145864623110</v>
      </c>
      <c r="D120" s="182">
        <v>10218186550</v>
      </c>
      <c r="E120" s="182">
        <v>2393989010</v>
      </c>
      <c r="F120" s="182">
        <f t="shared" si="17"/>
        <v>12612175560</v>
      </c>
      <c r="G120" s="182">
        <f t="shared" si="18"/>
        <v>158476798670</v>
      </c>
      <c r="H120" s="196">
        <f t="shared" si="19"/>
        <v>7.9583735069400488E-2</v>
      </c>
      <c r="I120" s="182">
        <v>109095318.594</v>
      </c>
    </row>
    <row r="121" spans="2:9" s="3" customFormat="1">
      <c r="B121" s="66" t="s">
        <v>89</v>
      </c>
      <c r="C121" s="182">
        <f>IF('6.2'!F121=0,"",'6.2'!F121)</f>
        <v>8954746200</v>
      </c>
      <c r="D121" s="182">
        <v>70568600</v>
      </c>
      <c r="E121" s="182">
        <v>140465200</v>
      </c>
      <c r="F121" s="182">
        <f t="shared" si="17"/>
        <v>211033800</v>
      </c>
      <c r="G121" s="182">
        <f t="shared" si="18"/>
        <v>9165780000</v>
      </c>
      <c r="H121" s="196">
        <f t="shared" si="19"/>
        <v>2.302409614893659E-2</v>
      </c>
      <c r="I121" s="182">
        <v>1519443.36</v>
      </c>
    </row>
    <row r="122" spans="2:9" s="3" customFormat="1">
      <c r="B122" s="66" t="s">
        <v>90</v>
      </c>
      <c r="C122" s="182">
        <f>IF('6.2'!F122=0,"",'6.2'!F122)</f>
        <v>1216301600</v>
      </c>
      <c r="D122" s="182">
        <v>47131400</v>
      </c>
      <c r="E122" s="182">
        <v>58997500</v>
      </c>
      <c r="F122" s="182">
        <f t="shared" si="17"/>
        <v>106128900</v>
      </c>
      <c r="G122" s="182">
        <f t="shared" si="18"/>
        <v>1322430500</v>
      </c>
      <c r="H122" s="196">
        <f t="shared" si="19"/>
        <v>8.02529131020496E-2</v>
      </c>
      <c r="I122" s="182">
        <v>350225.37</v>
      </c>
    </row>
    <row r="123" spans="2:9" s="3" customFormat="1" ht="24" customHeight="1">
      <c r="B123" s="66" t="s">
        <v>91</v>
      </c>
      <c r="C123" s="182">
        <f>IF('6.2'!F123=0,"",'6.2'!F123)</f>
        <v>2379052900</v>
      </c>
      <c r="D123" s="182">
        <v>107281200</v>
      </c>
      <c r="E123" s="182">
        <v>241845500</v>
      </c>
      <c r="F123" s="182">
        <f t="shared" si="17"/>
        <v>349126700</v>
      </c>
      <c r="G123" s="182">
        <f t="shared" si="18"/>
        <v>2728179600</v>
      </c>
      <c r="H123" s="196">
        <f t="shared" si="19"/>
        <v>0.12797057055921099</v>
      </c>
      <c r="I123" s="182">
        <v>2583537.58</v>
      </c>
    </row>
    <row r="124" spans="2:9" s="3" customFormat="1">
      <c r="B124" s="66" t="s">
        <v>92</v>
      </c>
      <c r="C124" s="182">
        <f>IF('6.2'!F124=0,"",'6.2'!F124)</f>
        <v>2102257500</v>
      </c>
      <c r="D124" s="182">
        <v>14033600</v>
      </c>
      <c r="E124" s="182">
        <v>58780300</v>
      </c>
      <c r="F124" s="182">
        <f t="shared" si="17"/>
        <v>72813900</v>
      </c>
      <c r="G124" s="182">
        <f t="shared" si="18"/>
        <v>2175071400</v>
      </c>
      <c r="H124" s="196">
        <f t="shared" si="19"/>
        <v>3.3476556217878643E-2</v>
      </c>
      <c r="I124" s="182">
        <v>407757.84</v>
      </c>
    </row>
    <row r="125" spans="2:9" s="3" customFormat="1">
      <c r="B125" s="66" t="s">
        <v>93</v>
      </c>
      <c r="C125" s="182">
        <f>IF('6.2'!F125=0,"",'6.2'!F125)</f>
        <v>6560582700</v>
      </c>
      <c r="D125" s="182">
        <v>213887200</v>
      </c>
      <c r="E125" s="182">
        <v>228366900</v>
      </c>
      <c r="F125" s="182">
        <f t="shared" si="17"/>
        <v>442254100</v>
      </c>
      <c r="G125" s="182">
        <f t="shared" si="18"/>
        <v>7002836800</v>
      </c>
      <c r="H125" s="196">
        <f t="shared" si="19"/>
        <v>6.3153563710066751E-2</v>
      </c>
      <c r="I125" s="182">
        <v>1769016.4</v>
      </c>
    </row>
    <row r="126" spans="2:9" s="3" customFormat="1">
      <c r="B126" s="66" t="s">
        <v>94</v>
      </c>
      <c r="C126" s="182">
        <f>IF('6.2'!F126=0,"",'6.2'!F126)</f>
        <v>2621942400</v>
      </c>
      <c r="D126" s="182">
        <v>35054900</v>
      </c>
      <c r="E126" s="182">
        <v>79367300</v>
      </c>
      <c r="F126" s="182">
        <f t="shared" si="17"/>
        <v>114422200</v>
      </c>
      <c r="G126" s="182">
        <f t="shared" si="18"/>
        <v>2736364600</v>
      </c>
      <c r="H126" s="196">
        <f t="shared" si="19"/>
        <v>4.1815407201218728E-2</v>
      </c>
      <c r="I126" s="182">
        <v>697975.42</v>
      </c>
    </row>
    <row r="127" spans="2:9" s="3" customFormat="1">
      <c r="B127" s="66" t="s">
        <v>95</v>
      </c>
      <c r="C127" s="182">
        <f>IF('6.2'!F127=0,"",'6.2'!F127)</f>
        <v>12284228500</v>
      </c>
      <c r="D127" s="182">
        <v>965619400</v>
      </c>
      <c r="E127" s="182">
        <v>3597864100</v>
      </c>
      <c r="F127" s="182">
        <f t="shared" si="17"/>
        <v>4563483500</v>
      </c>
      <c r="G127" s="182">
        <f t="shared" si="18"/>
        <v>16847712000</v>
      </c>
      <c r="H127" s="196">
        <f t="shared" si="19"/>
        <v>0.27086666130095294</v>
      </c>
      <c r="I127" s="182">
        <v>34226126.25</v>
      </c>
    </row>
    <row r="128" spans="2:9" s="3" customFormat="1" ht="24" customHeight="1">
      <c r="B128" s="66" t="s">
        <v>96</v>
      </c>
      <c r="C128" s="182">
        <f>IF('6.2'!F128=0,"",'6.2'!F128)</f>
        <v>3693750100</v>
      </c>
      <c r="D128" s="182">
        <v>106932800</v>
      </c>
      <c r="E128" s="182">
        <v>149298100</v>
      </c>
      <c r="F128" s="182">
        <f t="shared" si="17"/>
        <v>256230900</v>
      </c>
      <c r="G128" s="182">
        <f t="shared" si="18"/>
        <v>3949981000</v>
      </c>
      <c r="H128" s="196">
        <f t="shared" si="19"/>
        <v>6.4868894306073871E-2</v>
      </c>
      <c r="I128" s="182">
        <v>1665500.85</v>
      </c>
    </row>
    <row r="129" spans="2:9" s="3" customFormat="1">
      <c r="B129" s="66" t="s">
        <v>172</v>
      </c>
      <c r="C129" s="182">
        <f>IF('6.2'!F129=0,"",'6.2'!F129)</f>
        <v>5636225996</v>
      </c>
      <c r="D129" s="182">
        <v>637647598</v>
      </c>
      <c r="E129" s="182">
        <v>80998800</v>
      </c>
      <c r="F129" s="182">
        <f t="shared" si="17"/>
        <v>718646398</v>
      </c>
      <c r="G129" s="182">
        <f t="shared" si="18"/>
        <v>6354872394</v>
      </c>
      <c r="H129" s="196">
        <f t="shared" si="19"/>
        <v>0.11308588960472524</v>
      </c>
      <c r="I129" s="182">
        <v>4240013.7482000003</v>
      </c>
    </row>
    <row r="130" spans="2:9" s="3" customFormat="1">
      <c r="B130" s="66" t="s">
        <v>97</v>
      </c>
      <c r="C130" s="182">
        <f>IF('6.2'!F130=0,"",'6.2'!F130)</f>
        <v>3303742700</v>
      </c>
      <c r="D130" s="182">
        <v>201920900</v>
      </c>
      <c r="E130" s="182">
        <v>390922700</v>
      </c>
      <c r="F130" s="182">
        <f t="shared" si="17"/>
        <v>592843600</v>
      </c>
      <c r="G130" s="182">
        <f t="shared" si="18"/>
        <v>3896586300</v>
      </c>
      <c r="H130" s="196">
        <f t="shared" si="19"/>
        <v>0.15214435260935963</v>
      </c>
      <c r="I130" s="182">
        <v>4060978.66</v>
      </c>
    </row>
    <row r="131" spans="2:9" s="3" customFormat="1">
      <c r="B131" s="66" t="s">
        <v>173</v>
      </c>
      <c r="C131" s="182">
        <f>IF('6.2'!F131=0,"",'6.2'!F131)</f>
        <v>3027435200</v>
      </c>
      <c r="D131" s="182">
        <v>15611200</v>
      </c>
      <c r="E131" s="182">
        <v>76403900</v>
      </c>
      <c r="F131" s="182">
        <f t="shared" si="17"/>
        <v>92015100</v>
      </c>
      <c r="G131" s="182">
        <f t="shared" si="18"/>
        <v>3119450300</v>
      </c>
      <c r="H131" s="196">
        <f t="shared" si="19"/>
        <v>2.9497216224281565E-2</v>
      </c>
      <c r="I131" s="182">
        <v>607299.66</v>
      </c>
    </row>
    <row r="132" spans="2:9" s="3" customFormat="1">
      <c r="B132" s="66" t="s">
        <v>98</v>
      </c>
      <c r="C132" s="182">
        <f>IF('6.2'!F132=0,"",'6.2'!F132)</f>
        <v>1306712408</v>
      </c>
      <c r="D132" s="182">
        <v>134273279</v>
      </c>
      <c r="E132" s="182">
        <v>98885116</v>
      </c>
      <c r="F132" s="182">
        <f t="shared" si="17"/>
        <v>233158395</v>
      </c>
      <c r="G132" s="182">
        <f t="shared" si="18"/>
        <v>1539870803</v>
      </c>
      <c r="H132" s="196">
        <f t="shared" si="19"/>
        <v>0.15141425796616004</v>
      </c>
      <c r="I132" s="182">
        <v>1049212.7775000001</v>
      </c>
    </row>
    <row r="133" spans="2:9" s="3" customFormat="1" ht="24" customHeight="1">
      <c r="B133" s="66" t="s">
        <v>99</v>
      </c>
      <c r="C133" s="182">
        <f>IF('6.2'!F133=0,"",'6.2'!F133)</f>
        <v>5282386900</v>
      </c>
      <c r="D133" s="182">
        <v>382615800</v>
      </c>
      <c r="E133" s="182">
        <v>113094600</v>
      </c>
      <c r="F133" s="182">
        <f t="shared" si="17"/>
        <v>495710400</v>
      </c>
      <c r="G133" s="182">
        <f t="shared" si="18"/>
        <v>5778097300</v>
      </c>
      <c r="H133" s="196">
        <f t="shared" si="19"/>
        <v>8.5791286346112591E-2</v>
      </c>
      <c r="I133" s="182">
        <v>3717828</v>
      </c>
    </row>
    <row r="134" spans="2:9" s="3" customFormat="1">
      <c r="B134" s="66" t="s">
        <v>100</v>
      </c>
      <c r="C134" s="182">
        <f>IF('6.2'!F134=0,"",'6.2'!F134)</f>
        <v>2858662000</v>
      </c>
      <c r="D134" s="182">
        <v>261287200</v>
      </c>
      <c r="E134" s="182">
        <v>191044900</v>
      </c>
      <c r="F134" s="182">
        <f t="shared" si="17"/>
        <v>452332100</v>
      </c>
      <c r="G134" s="182">
        <f t="shared" si="18"/>
        <v>3310994100</v>
      </c>
      <c r="H134" s="196">
        <f t="shared" si="19"/>
        <v>0.13661519360605323</v>
      </c>
      <c r="I134" s="182">
        <v>3302024.33</v>
      </c>
    </row>
    <row r="135" spans="2:9" s="3" customFormat="1">
      <c r="B135" s="66" t="s">
        <v>101</v>
      </c>
      <c r="C135" s="182">
        <f>IF('6.2'!F135=0,"",'6.2'!F135)</f>
        <v>1644100600</v>
      </c>
      <c r="D135" s="182">
        <v>44828500</v>
      </c>
      <c r="E135" s="182">
        <v>103177300</v>
      </c>
      <c r="F135" s="182">
        <f t="shared" si="17"/>
        <v>148005800</v>
      </c>
      <c r="G135" s="182">
        <f t="shared" si="18"/>
        <v>1792106400</v>
      </c>
      <c r="H135" s="196">
        <f t="shared" si="19"/>
        <v>8.2587618681569358E-2</v>
      </c>
      <c r="I135" s="182">
        <v>1080442.3400000001</v>
      </c>
    </row>
    <row r="136" spans="2:9" s="3" customFormat="1">
      <c r="B136" s="66" t="s">
        <v>102</v>
      </c>
      <c r="C136" s="182">
        <f>IF('6.2'!F136=0,"",'6.2'!F136)</f>
        <v>6773050133</v>
      </c>
      <c r="D136" s="182">
        <v>178849800</v>
      </c>
      <c r="E136" s="182">
        <v>456218455</v>
      </c>
      <c r="F136" s="182">
        <f t="shared" si="17"/>
        <v>635068255</v>
      </c>
      <c r="G136" s="182">
        <f t="shared" si="18"/>
        <v>7408118388</v>
      </c>
      <c r="H136" s="196">
        <f t="shared" si="19"/>
        <v>8.5725986240812763E-2</v>
      </c>
      <c r="I136" s="182">
        <v>3556382.2280000001</v>
      </c>
    </row>
    <row r="137" spans="2:9" s="3" customFormat="1">
      <c r="B137" s="66" t="s">
        <v>174</v>
      </c>
      <c r="C137" s="182">
        <f>IF('6.2'!F137=0,"",'6.2'!F137)</f>
        <v>5981957173</v>
      </c>
      <c r="D137" s="182">
        <v>108101400</v>
      </c>
      <c r="E137" s="182">
        <v>259821300</v>
      </c>
      <c r="F137" s="182">
        <f t="shared" si="17"/>
        <v>367922700</v>
      </c>
      <c r="G137" s="182">
        <f t="shared" si="18"/>
        <v>6349879873</v>
      </c>
      <c r="H137" s="196">
        <f t="shared" si="19"/>
        <v>5.7941678796858083E-2</v>
      </c>
      <c r="I137" s="182">
        <v>2538666.63</v>
      </c>
    </row>
    <row r="138" spans="2:9" s="3" customFormat="1" ht="24" customHeight="1">
      <c r="B138" s="66" t="s">
        <v>103</v>
      </c>
      <c r="C138" s="182">
        <f>IF('6.2'!F138=0,"",'6.2'!F138)</f>
        <v>1863459264</v>
      </c>
      <c r="D138" s="182">
        <v>156661100</v>
      </c>
      <c r="E138" s="182">
        <v>862350100</v>
      </c>
      <c r="F138" s="182">
        <f t="shared" si="17"/>
        <v>1019011200</v>
      </c>
      <c r="G138" s="182">
        <f t="shared" si="18"/>
        <v>2882470464</v>
      </c>
      <c r="H138" s="196">
        <f t="shared" si="19"/>
        <v>0.35352008380544503</v>
      </c>
      <c r="I138" s="182">
        <v>5196957.12</v>
      </c>
    </row>
    <row r="139" spans="2:9" s="3" customFormat="1">
      <c r="B139" s="66" t="s">
        <v>175</v>
      </c>
      <c r="C139" s="182">
        <f>IF('6.2'!F139=0,"",'6.2'!F139)</f>
        <v>4215943102</v>
      </c>
      <c r="D139" s="182">
        <v>2723262300</v>
      </c>
      <c r="E139" s="182">
        <v>134124600</v>
      </c>
      <c r="F139" s="182">
        <f t="shared" si="17"/>
        <v>2857386900</v>
      </c>
      <c r="G139" s="182">
        <f t="shared" si="18"/>
        <v>7073330002</v>
      </c>
      <c r="H139" s="196">
        <f t="shared" si="19"/>
        <v>0.40396629298959152</v>
      </c>
      <c r="I139" s="182">
        <v>23430572.579999998</v>
      </c>
    </row>
    <row r="140" spans="2:9" s="3" customFormat="1">
      <c r="B140" s="66" t="s">
        <v>104</v>
      </c>
      <c r="C140" s="182">
        <f>IF('6.2'!F140=0,"",'6.2'!F140)</f>
        <v>102908738200</v>
      </c>
      <c r="D140" s="182">
        <v>4068264100</v>
      </c>
      <c r="E140" s="182">
        <v>2734052200</v>
      </c>
      <c r="F140" s="182">
        <f t="shared" si="17"/>
        <v>6802316300</v>
      </c>
      <c r="G140" s="182">
        <f t="shared" si="18"/>
        <v>109711054500</v>
      </c>
      <c r="H140" s="196">
        <f t="shared" si="19"/>
        <v>6.2002104810687055E-2</v>
      </c>
      <c r="I140" s="182">
        <v>62581309.960000001</v>
      </c>
    </row>
    <row r="141" spans="2:9" s="3" customFormat="1">
      <c r="B141" s="66" t="s">
        <v>105</v>
      </c>
      <c r="C141" s="182">
        <f>IF('6.2'!F141=0,"",'6.2'!F141)</f>
        <v>3304811200</v>
      </c>
      <c r="D141" s="182">
        <v>674209500</v>
      </c>
      <c r="E141" s="182">
        <v>95750200</v>
      </c>
      <c r="F141" s="182">
        <f t="shared" si="17"/>
        <v>769959700</v>
      </c>
      <c r="G141" s="182">
        <f t="shared" si="18"/>
        <v>4074770900</v>
      </c>
      <c r="H141" s="196">
        <f t="shared" si="19"/>
        <v>0.18895778901336516</v>
      </c>
      <c r="I141" s="182">
        <v>5697701.7800000003</v>
      </c>
    </row>
    <row r="142" spans="2:9" s="3" customFormat="1">
      <c r="B142" s="66" t="s">
        <v>106</v>
      </c>
      <c r="C142" s="182">
        <f>IF('6.2'!F142=0,"",'6.2'!F142)</f>
        <v>2561919700</v>
      </c>
      <c r="D142" s="182">
        <v>94493000</v>
      </c>
      <c r="E142" s="182">
        <v>36592700</v>
      </c>
      <c r="F142" s="182">
        <f t="shared" si="17"/>
        <v>131085700</v>
      </c>
      <c r="G142" s="182">
        <f t="shared" si="18"/>
        <v>2693005400</v>
      </c>
      <c r="H142" s="196">
        <f t="shared" si="19"/>
        <v>4.8676359876589921E-2</v>
      </c>
      <c r="I142" s="182">
        <v>799622.77</v>
      </c>
    </row>
    <row r="143" spans="2:9" s="3" customFormat="1" ht="15.5">
      <c r="B143" s="63" t="str">
        <f>$B$36</f>
        <v>Table 6.3, continued</v>
      </c>
      <c r="C143" s="100"/>
      <c r="D143" s="100"/>
      <c r="E143" s="100"/>
      <c r="F143" s="100"/>
      <c r="G143" s="100"/>
      <c r="H143" s="189"/>
      <c r="I143" s="103"/>
    </row>
    <row r="144" spans="2:9" s="3" customFormat="1">
      <c r="B144" s="64" t="str">
        <f>$B$2</f>
        <v>Comparison of Tax Exempt Value to Total Fair Market Value (FMV) of Real Estate by Locality - Tax Year 2024</v>
      </c>
      <c r="C144" s="100"/>
      <c r="D144" s="100"/>
      <c r="E144" s="100"/>
      <c r="F144" s="100"/>
      <c r="G144" s="100"/>
      <c r="H144" s="189"/>
      <c r="I144" s="103"/>
    </row>
    <row r="145" spans="2:9" s="3" customFormat="1" ht="3" customHeight="1" thickBot="1">
      <c r="B145" s="64"/>
      <c r="C145" s="100"/>
      <c r="D145" s="100"/>
      <c r="E145" s="100"/>
      <c r="F145" s="100"/>
      <c r="G145" s="100"/>
      <c r="H145" s="189"/>
      <c r="I145" s="103"/>
    </row>
    <row r="146" spans="2:9" s="3" customFormat="1">
      <c r="B146" s="190"/>
      <c r="C146" s="190"/>
      <c r="D146" s="191" t="str">
        <f>D$4</f>
        <v>Fair Market Value Tax Exempt Real Estate</v>
      </c>
      <c r="E146" s="192"/>
      <c r="F146" s="192"/>
      <c r="G146" s="190"/>
      <c r="H146" s="193"/>
      <c r="I146" s="190"/>
    </row>
    <row r="147" spans="2:9" s="3" customFormat="1" ht="24" customHeight="1">
      <c r="B147" s="179" t="s">
        <v>43</v>
      </c>
      <c r="C147" s="194" t="str">
        <f t="shared" ref="C147:I147" si="20">C$5</f>
        <v>Fair Market Value 
Real Estate</v>
      </c>
      <c r="D147" s="179" t="str">
        <f t="shared" si="20"/>
        <v>Government</v>
      </c>
      <c r="E147" s="179" t="str">
        <f t="shared" si="20"/>
        <v>Non-Government</v>
      </c>
      <c r="F147" s="179" t="str">
        <f t="shared" si="20"/>
        <v>Total Tax Exempt</v>
      </c>
      <c r="G147" s="194" t="str">
        <f t="shared" si="20"/>
        <v>Total FMV 
(Real Estate &amp; Tax Exempt)</v>
      </c>
      <c r="H147" s="195" t="str">
        <f t="shared" si="20"/>
        <v>Tax Exempt to Total FMV</v>
      </c>
      <c r="I147" s="194" t="str">
        <f t="shared" si="20"/>
        <v>Taxes Lost 
Due to Exemptions</v>
      </c>
    </row>
    <row r="148" spans="2:9" s="3" customFormat="1" ht="21" customHeight="1">
      <c r="B148" s="66" t="s">
        <v>176</v>
      </c>
      <c r="C148" s="182">
        <f>IF('6.2'!F148=0,"",'6.2'!F148)</f>
        <v>1276092010</v>
      </c>
      <c r="D148" s="182">
        <v>79589513</v>
      </c>
      <c r="E148" s="182">
        <v>68723697</v>
      </c>
      <c r="F148" s="182">
        <f t="shared" ref="F148:F167" si="21">IF(SUM(D148:E148)=0,"",SUM(D148:E148))</f>
        <v>148313210</v>
      </c>
      <c r="G148" s="182">
        <f t="shared" ref="G148:G167" si="22">IFERROR(C148+F148,"")</f>
        <v>1424405220</v>
      </c>
      <c r="H148" s="196">
        <f t="shared" ref="H148:H173" si="23">IFERROR(F148/G148,"")</f>
        <v>0.10412290541872628</v>
      </c>
      <c r="I148" s="182">
        <v>889879.26</v>
      </c>
    </row>
    <row r="149" spans="2:9" s="3" customFormat="1">
      <c r="B149" s="66" t="s">
        <v>177</v>
      </c>
      <c r="C149" s="182">
        <f>IF('6.2'!F149=0,"",'6.2'!F149)</f>
        <v>12267247050</v>
      </c>
      <c r="D149" s="182">
        <v>730793800</v>
      </c>
      <c r="E149" s="182">
        <v>434726800</v>
      </c>
      <c r="F149" s="182">
        <f t="shared" si="21"/>
        <v>1165520600</v>
      </c>
      <c r="G149" s="182">
        <f t="shared" si="22"/>
        <v>13432767650</v>
      </c>
      <c r="H149" s="196">
        <f t="shared" si="23"/>
        <v>8.676697389312768E-2</v>
      </c>
      <c r="I149" s="182">
        <v>12121414.24</v>
      </c>
    </row>
    <row r="150" spans="2:9" s="3" customFormat="1">
      <c r="B150" s="66" t="s">
        <v>107</v>
      </c>
      <c r="C150" s="182">
        <f>IF('6.2'!F150=0,"",'6.2'!F150)</f>
        <v>3804528200</v>
      </c>
      <c r="D150" s="182">
        <v>217830400</v>
      </c>
      <c r="E150" s="182">
        <v>196817700</v>
      </c>
      <c r="F150" s="182">
        <f t="shared" si="21"/>
        <v>414648100</v>
      </c>
      <c r="G150" s="182">
        <f t="shared" si="22"/>
        <v>4219176300</v>
      </c>
      <c r="H150" s="196">
        <f t="shared" si="23"/>
        <v>9.8277026252730895E-2</v>
      </c>
      <c r="I150" s="182">
        <v>2529353.41</v>
      </c>
    </row>
    <row r="151" spans="2:9" s="3" customFormat="1">
      <c r="B151" s="66" t="s">
        <v>108</v>
      </c>
      <c r="C151" s="182">
        <f>IF('6.2'!F151=0,"",'6.2'!F151)</f>
        <v>12691751849</v>
      </c>
      <c r="D151" s="182">
        <v>432478990</v>
      </c>
      <c r="E151" s="182">
        <v>1129436884</v>
      </c>
      <c r="F151" s="182">
        <f t="shared" si="21"/>
        <v>1561915874</v>
      </c>
      <c r="G151" s="182">
        <f t="shared" si="22"/>
        <v>14253667723</v>
      </c>
      <c r="H151" s="196">
        <f t="shared" si="23"/>
        <v>0.10957992738105307</v>
      </c>
      <c r="I151" s="182">
        <v>10621027.9432</v>
      </c>
    </row>
    <row r="152" spans="2:9" s="3" customFormat="1">
      <c r="B152" s="66" t="s">
        <v>109</v>
      </c>
      <c r="C152" s="182">
        <f>IF('6.2'!F152=0,"",'6.2'!F152)</f>
        <v>1593897500</v>
      </c>
      <c r="D152" s="182">
        <v>156695700</v>
      </c>
      <c r="E152" s="182">
        <v>101101025</v>
      </c>
      <c r="F152" s="182">
        <f t="shared" si="21"/>
        <v>257796725</v>
      </c>
      <c r="G152" s="182">
        <f t="shared" si="22"/>
        <v>1851694225</v>
      </c>
      <c r="H152" s="196">
        <f t="shared" si="23"/>
        <v>0.13922208187477605</v>
      </c>
      <c r="I152" s="182">
        <v>1624119.3674999999</v>
      </c>
    </row>
    <row r="153" spans="2:9" s="3" customFormat="1" ht="24" customHeight="1">
      <c r="B153" s="66" t="s">
        <v>110</v>
      </c>
      <c r="C153" s="182">
        <f>IF('6.2'!F153=0,"",'6.2'!F153)</f>
        <v>1611544623</v>
      </c>
      <c r="D153" s="182">
        <v>151854800</v>
      </c>
      <c r="E153" s="182">
        <v>175421500</v>
      </c>
      <c r="F153" s="182">
        <f t="shared" si="21"/>
        <v>327276300</v>
      </c>
      <c r="G153" s="182">
        <f t="shared" si="22"/>
        <v>1938820923</v>
      </c>
      <c r="H153" s="196">
        <f t="shared" si="23"/>
        <v>0.16880171660907953</v>
      </c>
      <c r="I153" s="182">
        <v>2520027.5099999998</v>
      </c>
    </row>
    <row r="154" spans="2:9" s="3" customFormat="1">
      <c r="B154" s="66" t="s">
        <v>111</v>
      </c>
      <c r="C154" s="182">
        <f>IF('6.2'!F154=0,"",'6.2'!F154)</f>
        <v>6711152600</v>
      </c>
      <c r="D154" s="182">
        <v>673029800</v>
      </c>
      <c r="E154" s="182">
        <v>225228800</v>
      </c>
      <c r="F154" s="182">
        <f t="shared" si="21"/>
        <v>898258600</v>
      </c>
      <c r="G154" s="182">
        <f t="shared" si="22"/>
        <v>7609411200</v>
      </c>
      <c r="H154" s="196">
        <f t="shared" si="23"/>
        <v>0.11804574314501495</v>
      </c>
      <c r="I154" s="182">
        <v>5748855.04</v>
      </c>
    </row>
    <row r="155" spans="2:9" s="3" customFormat="1">
      <c r="B155" s="66" t="s">
        <v>112</v>
      </c>
      <c r="C155" s="182">
        <f>IF('6.2'!F155=0,"",'6.2'!F155)</f>
        <v>2324988650</v>
      </c>
      <c r="D155" s="182">
        <v>172856191</v>
      </c>
      <c r="E155" s="182">
        <v>247150600</v>
      </c>
      <c r="F155" s="182">
        <f t="shared" si="21"/>
        <v>420006791</v>
      </c>
      <c r="G155" s="182">
        <f t="shared" si="22"/>
        <v>2744995441</v>
      </c>
      <c r="H155" s="196">
        <f t="shared" si="23"/>
        <v>0.15300819255531872</v>
      </c>
      <c r="I155" s="182">
        <v>2478040.0669</v>
      </c>
    </row>
    <row r="156" spans="2:9" s="3" customFormat="1">
      <c r="B156" s="66" t="s">
        <v>113</v>
      </c>
      <c r="C156" s="182">
        <f>IF('6.2'!F156=0,"",'6.2'!F156)</f>
        <v>2626130300</v>
      </c>
      <c r="D156" s="182">
        <v>207653700</v>
      </c>
      <c r="E156" s="182">
        <v>198403700</v>
      </c>
      <c r="F156" s="182">
        <f t="shared" si="21"/>
        <v>406057400</v>
      </c>
      <c r="G156" s="182">
        <f t="shared" si="22"/>
        <v>3032187700</v>
      </c>
      <c r="H156" s="196">
        <f t="shared" si="23"/>
        <v>0.13391565436400921</v>
      </c>
      <c r="I156" s="182">
        <v>2883007.54</v>
      </c>
    </row>
    <row r="157" spans="2:9" s="3" customFormat="1">
      <c r="B157" s="66" t="s">
        <v>114</v>
      </c>
      <c r="C157" s="182">
        <f>IF('6.2'!F157=0,"",'6.2'!F157)</f>
        <v>24872510500</v>
      </c>
      <c r="D157" s="182">
        <v>799406200</v>
      </c>
      <c r="E157" s="182">
        <v>238535500</v>
      </c>
      <c r="F157" s="182">
        <f t="shared" si="21"/>
        <v>1037941700</v>
      </c>
      <c r="G157" s="182">
        <f t="shared" si="22"/>
        <v>25910452200</v>
      </c>
      <c r="H157" s="196">
        <f t="shared" si="23"/>
        <v>4.0058802987622114E-2</v>
      </c>
      <c r="I157" s="182">
        <v>7621605.9030999998</v>
      </c>
    </row>
    <row r="158" spans="2:9" s="3" customFormat="1" ht="24" customHeight="1">
      <c r="B158" s="66" t="s">
        <v>115</v>
      </c>
      <c r="C158" s="182">
        <f>IF('6.2'!F158=0,"",'6.2'!F158)</f>
        <v>28195200400</v>
      </c>
      <c r="D158" s="182">
        <v>1178714000</v>
      </c>
      <c r="E158" s="182">
        <v>1253011700</v>
      </c>
      <c r="F158" s="182">
        <f t="shared" si="21"/>
        <v>2431725700</v>
      </c>
      <c r="G158" s="182">
        <f t="shared" si="22"/>
        <v>30626926100</v>
      </c>
      <c r="H158" s="196">
        <f t="shared" si="23"/>
        <v>7.9398294561464328E-2</v>
      </c>
      <c r="I158" s="182">
        <v>21729900.8552</v>
      </c>
    </row>
    <row r="159" spans="2:9" s="3" customFormat="1">
      <c r="B159" s="66" t="s">
        <v>116</v>
      </c>
      <c r="C159" s="182">
        <f>IF('6.2'!F159=0,"",'6.2'!F159)</f>
        <v>1263264800</v>
      </c>
      <c r="D159" s="182">
        <v>69771500</v>
      </c>
      <c r="E159" s="182">
        <v>76990800</v>
      </c>
      <c r="F159" s="182">
        <f t="shared" si="21"/>
        <v>146762300</v>
      </c>
      <c r="G159" s="182">
        <f t="shared" si="22"/>
        <v>1410027100</v>
      </c>
      <c r="H159" s="196">
        <f t="shared" si="23"/>
        <v>0.10408473709476931</v>
      </c>
      <c r="I159" s="182">
        <v>1042012.33</v>
      </c>
    </row>
    <row r="160" spans="2:9" s="3" customFormat="1">
      <c r="B160" s="66" t="s">
        <v>117</v>
      </c>
      <c r="C160" s="182">
        <f>IF('6.2'!F160=0,"",'6.2'!F160)</f>
        <v>1195991822</v>
      </c>
      <c r="D160" s="182">
        <v>231009300</v>
      </c>
      <c r="E160" s="182">
        <v>96929700</v>
      </c>
      <c r="F160" s="182">
        <f t="shared" si="21"/>
        <v>327939000</v>
      </c>
      <c r="G160" s="182">
        <f t="shared" si="22"/>
        <v>1523930822</v>
      </c>
      <c r="H160" s="196">
        <f t="shared" si="23"/>
        <v>0.21519283898308081</v>
      </c>
      <c r="I160" s="182">
        <v>1738076.7</v>
      </c>
    </row>
    <row r="161" spans="2:9" s="3" customFormat="1">
      <c r="B161" s="66" t="s">
        <v>118</v>
      </c>
      <c r="C161" s="182">
        <f>IF('6.2'!F161=0,"",'6.2'!F161)</f>
        <v>3371616175</v>
      </c>
      <c r="D161" s="182">
        <v>359106600</v>
      </c>
      <c r="E161" s="182">
        <v>240711300</v>
      </c>
      <c r="F161" s="182">
        <f t="shared" si="21"/>
        <v>599817900</v>
      </c>
      <c r="G161" s="182">
        <f t="shared" si="22"/>
        <v>3971434075</v>
      </c>
      <c r="H161" s="196">
        <f t="shared" si="23"/>
        <v>0.15103307487233059</v>
      </c>
      <c r="I161" s="182">
        <v>3478943.82</v>
      </c>
    </row>
    <row r="162" spans="2:9" s="3" customFormat="1">
      <c r="B162" s="66" t="s">
        <v>119</v>
      </c>
      <c r="C162" s="182">
        <f>IF('6.2'!F162=0,"",'6.2'!F162)</f>
        <v>6957756400</v>
      </c>
      <c r="D162" s="182">
        <v>416843300</v>
      </c>
      <c r="E162" s="182">
        <v>553325500</v>
      </c>
      <c r="F162" s="182">
        <f t="shared" si="21"/>
        <v>970168800</v>
      </c>
      <c r="G162" s="182">
        <f t="shared" si="22"/>
        <v>7927925200</v>
      </c>
      <c r="H162" s="196">
        <f t="shared" si="23"/>
        <v>0.12237360665310011</v>
      </c>
      <c r="I162" s="182">
        <v>5141894.6399999997</v>
      </c>
    </row>
    <row r="163" spans="2:9" s="3" customFormat="1" ht="24" customHeight="1">
      <c r="B163" s="66" t="s">
        <v>120</v>
      </c>
      <c r="C163" s="182">
        <f>IF('6.2'!F163=0,"",'6.2'!F163)</f>
        <v>5385197100</v>
      </c>
      <c r="D163" s="182">
        <v>279077200</v>
      </c>
      <c r="E163" s="182">
        <v>539684100</v>
      </c>
      <c r="F163" s="182">
        <f t="shared" si="21"/>
        <v>818761300</v>
      </c>
      <c r="G163" s="182">
        <f t="shared" si="22"/>
        <v>6203958400</v>
      </c>
      <c r="H163" s="196">
        <f t="shared" si="23"/>
        <v>0.13197401517070134</v>
      </c>
      <c r="I163" s="182">
        <v>4912567.8</v>
      </c>
    </row>
    <row r="164" spans="2:9" s="3" customFormat="1">
      <c r="B164" s="66" t="s">
        <v>178</v>
      </c>
      <c r="C164" s="182">
        <f>IF('6.2'!F164=0,"",'6.2'!F164)</f>
        <v>3352013400</v>
      </c>
      <c r="D164" s="182">
        <v>86873700</v>
      </c>
      <c r="E164" s="182">
        <v>49602400</v>
      </c>
      <c r="F164" s="182">
        <f t="shared" si="21"/>
        <v>136476100</v>
      </c>
      <c r="G164" s="182">
        <f t="shared" si="22"/>
        <v>3488489500</v>
      </c>
      <c r="H164" s="196">
        <f t="shared" si="23"/>
        <v>3.9121831956209129E-2</v>
      </c>
      <c r="I164" s="182">
        <v>928037.48</v>
      </c>
    </row>
    <row r="165" spans="2:9" s="3" customFormat="1">
      <c r="B165" s="66" t="s">
        <v>121</v>
      </c>
      <c r="C165" s="182">
        <f>IF('6.2'!F165=0,"",'6.2'!F165)</f>
        <v>1920051695</v>
      </c>
      <c r="D165" s="182">
        <v>461390400</v>
      </c>
      <c r="E165" s="182">
        <v>529786700</v>
      </c>
      <c r="F165" s="182">
        <f t="shared" si="21"/>
        <v>991177100</v>
      </c>
      <c r="G165" s="182">
        <f t="shared" si="22"/>
        <v>2911228795</v>
      </c>
      <c r="H165" s="196">
        <f t="shared" si="23"/>
        <v>0.34046691957098479</v>
      </c>
      <c r="I165" s="182">
        <v>6839121.9900000002</v>
      </c>
    </row>
    <row r="166" spans="2:9" s="3" customFormat="1">
      <c r="B166" s="66" t="s">
        <v>122</v>
      </c>
      <c r="C166" s="182">
        <f>IF('6.2'!F166=0,"",'6.2'!F166)</f>
        <v>3101555170</v>
      </c>
      <c r="D166" s="182">
        <v>245163500</v>
      </c>
      <c r="E166" s="182">
        <v>171337700</v>
      </c>
      <c r="F166" s="182">
        <f t="shared" si="21"/>
        <v>416501200</v>
      </c>
      <c r="G166" s="182">
        <f t="shared" si="22"/>
        <v>3518056370</v>
      </c>
      <c r="H166" s="196">
        <f t="shared" si="23"/>
        <v>0.1183895754348018</v>
      </c>
      <c r="I166" s="182">
        <v>2124156.12</v>
      </c>
    </row>
    <row r="167" spans="2:9" s="3" customFormat="1">
      <c r="B167" s="66" t="s">
        <v>123</v>
      </c>
      <c r="C167" s="182">
        <f>IF('6.2'!F167=0,"",'6.2'!F167)</f>
        <v>12720011900</v>
      </c>
      <c r="D167" s="182">
        <v>4670075800</v>
      </c>
      <c r="E167" s="182">
        <v>561021100</v>
      </c>
      <c r="F167" s="182">
        <f t="shared" si="21"/>
        <v>5231096900</v>
      </c>
      <c r="G167" s="182">
        <f t="shared" si="22"/>
        <v>17951108800</v>
      </c>
      <c r="H167" s="196">
        <f t="shared" si="23"/>
        <v>0.29140801040657721</v>
      </c>
      <c r="I167" s="182">
        <v>38710117.060000002</v>
      </c>
    </row>
    <row r="168" spans="2:9" s="3" customFormat="1">
      <c r="B168" s="66"/>
      <c r="C168" s="82"/>
      <c r="D168" s="82"/>
      <c r="E168" s="82"/>
      <c r="F168" s="82"/>
      <c r="G168" s="82"/>
      <c r="H168" s="197"/>
      <c r="I168" s="198"/>
    </row>
    <row r="169" spans="2:9" s="3" customFormat="1">
      <c r="B169" s="106" t="s">
        <v>124</v>
      </c>
      <c r="C169" s="107">
        <f t="shared" ref="C169:G169" si="24">SUM(C58:C167)</f>
        <v>1266437692226</v>
      </c>
      <c r="D169" s="107">
        <f t="shared" si="24"/>
        <v>81565032178</v>
      </c>
      <c r="E169" s="107">
        <f t="shared" si="24"/>
        <v>42221174428</v>
      </c>
      <c r="F169" s="107">
        <f t="shared" si="24"/>
        <v>123786206606</v>
      </c>
      <c r="G169" s="107">
        <f t="shared" si="24"/>
        <v>1390223898832</v>
      </c>
      <c r="H169" s="199">
        <f t="shared" si="23"/>
        <v>8.9040482407185845E-2</v>
      </c>
      <c r="I169" s="107">
        <f t="shared" ref="I169" si="25">SUM(I58:I167)</f>
        <v>1050222737.4524004</v>
      </c>
    </row>
    <row r="170" spans="2:9" s="3" customFormat="1" ht="6" customHeight="1">
      <c r="B170" s="66"/>
      <c r="C170" s="82"/>
      <c r="D170" s="82"/>
      <c r="E170" s="82"/>
      <c r="F170" s="82"/>
      <c r="G170" s="82"/>
      <c r="H170" s="197"/>
      <c r="I170" s="82"/>
    </row>
    <row r="171" spans="2:9" s="3" customFormat="1">
      <c r="B171" s="106" t="s">
        <v>152</v>
      </c>
      <c r="C171" s="107">
        <f>C50</f>
        <v>388643434414</v>
      </c>
      <c r="D171" s="107">
        <f t="shared" ref="D171:G171" si="26">D50</f>
        <v>64236252004</v>
      </c>
      <c r="E171" s="107">
        <f t="shared" si="26"/>
        <v>25666954009</v>
      </c>
      <c r="F171" s="107">
        <f t="shared" si="26"/>
        <v>89903206013</v>
      </c>
      <c r="G171" s="107">
        <f t="shared" si="26"/>
        <v>478546640427</v>
      </c>
      <c r="H171" s="199">
        <f t="shared" si="23"/>
        <v>0.18786717619160531</v>
      </c>
      <c r="I171" s="107">
        <f t="shared" ref="I171" si="27">I50</f>
        <v>988310583.47309995</v>
      </c>
    </row>
    <row r="172" spans="2:9" s="3" customFormat="1" ht="6" customHeight="1">
      <c r="B172" s="66"/>
      <c r="C172" s="82"/>
      <c r="D172" s="82"/>
      <c r="E172" s="82"/>
      <c r="F172" s="82"/>
      <c r="G172" s="82"/>
      <c r="H172" s="197"/>
      <c r="I172" s="82"/>
    </row>
    <row r="173" spans="2:9" s="3" customFormat="1">
      <c r="B173" s="106" t="s">
        <v>153</v>
      </c>
      <c r="C173" s="107">
        <f>C169+C171</f>
        <v>1655081126640</v>
      </c>
      <c r="D173" s="107">
        <f t="shared" ref="D173:G173" si="28">D169+D171</f>
        <v>145801284182</v>
      </c>
      <c r="E173" s="107">
        <f t="shared" si="28"/>
        <v>67888128437</v>
      </c>
      <c r="F173" s="107">
        <f t="shared" si="28"/>
        <v>213689412619</v>
      </c>
      <c r="G173" s="107">
        <f t="shared" si="28"/>
        <v>1868770539259</v>
      </c>
      <c r="H173" s="199">
        <f t="shared" si="23"/>
        <v>0.11434759277815433</v>
      </c>
      <c r="I173" s="107">
        <f t="shared" ref="I173" si="29">I169+I171</f>
        <v>2038533320.9255004</v>
      </c>
    </row>
    <row r="174" spans="2:9" s="3" customFormat="1" ht="6" customHeight="1">
      <c r="B174" s="66"/>
      <c r="C174" s="82"/>
      <c r="D174" s="82"/>
      <c r="E174" s="82"/>
      <c r="F174" s="82"/>
      <c r="G174" s="82"/>
      <c r="H174" s="197"/>
      <c r="I174" s="198"/>
    </row>
    <row r="175" spans="2:9">
      <c r="B175" s="65" t="s">
        <v>24</v>
      </c>
      <c r="C175" s="108"/>
      <c r="D175" s="108"/>
      <c r="E175" s="108"/>
      <c r="F175" s="108"/>
      <c r="G175" s="108"/>
      <c r="H175" s="200"/>
      <c r="I175" s="201"/>
    </row>
    <row r="176" spans="2:9">
      <c r="B176" s="65" t="s">
        <v>154</v>
      </c>
      <c r="C176" s="108"/>
      <c r="D176" s="108"/>
      <c r="E176" s="108"/>
      <c r="F176" s="108"/>
      <c r="G176" s="108"/>
      <c r="H176" s="200"/>
      <c r="I176" s="201"/>
    </row>
    <row r="177" spans="2:9">
      <c r="B177" s="65" t="s">
        <v>215</v>
      </c>
      <c r="C177" s="108"/>
      <c r="D177" s="108"/>
      <c r="E177" s="108"/>
      <c r="F177" s="108"/>
      <c r="G177" s="108"/>
      <c r="H177" s="200"/>
      <c r="I177" s="201"/>
    </row>
    <row r="178" spans="2:9">
      <c r="B178" s="65" t="s">
        <v>216</v>
      </c>
      <c r="C178" s="108"/>
      <c r="D178" s="108"/>
      <c r="E178" s="108"/>
      <c r="F178" s="108"/>
      <c r="G178" s="108"/>
      <c r="H178" s="200"/>
      <c r="I178" s="201"/>
    </row>
    <row r="179" spans="2:9">
      <c r="B179" s="3"/>
      <c r="C179" s="12"/>
      <c r="D179" s="12"/>
      <c r="E179" s="12"/>
      <c r="F179" s="12"/>
      <c r="G179" s="12"/>
      <c r="H179" s="15"/>
      <c r="I179" s="13"/>
    </row>
    <row r="181" spans="2:9">
      <c r="B181" s="7" t="s">
        <v>192</v>
      </c>
    </row>
    <row r="182" spans="2:9">
      <c r="B182" s="7"/>
    </row>
  </sheetData>
  <hyperlinks>
    <hyperlink ref="A1" location="TOC!A1" display="Back" xr:uid="{28309A78-6FB3-4D77-9950-14B994B1B615}"/>
  </hyperlinks>
  <pageMargins left="0.5" right="0.5" top="0.4" bottom="0.8" header="0.25" footer="0.35"/>
  <pageSetup fitToHeight="5" orientation="landscape" cellComments="asDisplayed" r:id="rId1"/>
  <headerFooter scaleWithDoc="0">
    <oddHeader>&amp;R&amp;P</oddHeader>
    <oddFooter>&amp;R&amp;G&amp;L© 2025 Virginia Department of Taxation, All Rights Reserved</oddFooter>
  </headerFooter>
  <rowBreaks count="3" manualBreakCount="3">
    <brk id="35" min="1" max="8" man="1"/>
    <brk id="107" min="1" max="8" man="1"/>
    <brk id="142" min="1" max="8"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A1F90-E598-4A32-86FA-D43B5C7BEFAA}">
  <sheetPr codeName="Sheet32">
    <pageSetUpPr fitToPage="1"/>
  </sheetPr>
  <dimension ref="A1:AA111"/>
  <sheetViews>
    <sheetView zoomScale="95" zoomScaleNormal="95" workbookViewId="0"/>
  </sheetViews>
  <sheetFormatPr defaultRowHeight="13"/>
  <cols>
    <col min="1" max="1" width="4.5" style="814" customWidth="1"/>
    <col min="2" max="2" width="32.69921875" customWidth="1"/>
    <col min="3" max="12" width="0.3984375" customWidth="1"/>
    <col min="13" max="14" width="19.69921875" customWidth="1"/>
    <col min="15" max="15" width="1.69921875" customWidth="1"/>
    <col min="16" max="16" width="11.69921875" customWidth="1"/>
    <col min="17" max="18" width="0.59765625" style="603" customWidth="1"/>
    <col min="19" max="19" width="12.69921875" customWidth="1"/>
    <col min="20" max="24" width="15.69921875" customWidth="1"/>
    <col min="25" max="25" width="2.69921875" customWidth="1"/>
    <col min="26" max="26" width="1.69921875" customWidth="1"/>
    <col min="27" max="27" width="5.19921875" customWidth="1"/>
  </cols>
  <sheetData>
    <row r="1" spans="1:27" ht="15.5">
      <c r="A1" s="813" t="s">
        <v>42</v>
      </c>
      <c r="B1" s="226" t="s">
        <v>1219</v>
      </c>
      <c r="C1" s="230"/>
      <c r="D1" s="230"/>
      <c r="E1" s="230"/>
      <c r="F1" s="230"/>
      <c r="G1" s="230"/>
      <c r="H1" s="230"/>
      <c r="I1" s="230"/>
      <c r="J1" s="230"/>
      <c r="K1" s="230"/>
      <c r="L1" s="230"/>
      <c r="M1" s="230"/>
      <c r="N1" s="230"/>
      <c r="O1" s="230"/>
      <c r="P1" s="230"/>
      <c r="Q1" s="230"/>
      <c r="R1" s="230"/>
      <c r="S1" s="66"/>
      <c r="T1" s="66"/>
      <c r="U1" s="66"/>
      <c r="V1" s="66"/>
      <c r="W1" s="66"/>
      <c r="X1" s="66"/>
      <c r="Y1" s="66"/>
      <c r="AA1" s="8"/>
    </row>
    <row r="2" spans="1:27">
      <c r="B2" s="357"/>
      <c r="C2" s="66"/>
      <c r="D2" s="66"/>
      <c r="E2" s="66"/>
      <c r="F2" s="66"/>
      <c r="G2" s="66"/>
      <c r="H2" s="66"/>
      <c r="I2" s="66"/>
      <c r="J2" s="66"/>
      <c r="K2" s="66"/>
      <c r="L2" s="66"/>
      <c r="M2" s="66"/>
      <c r="N2" s="66"/>
      <c r="O2" s="66"/>
      <c r="P2" s="616" t="str">
        <f>RIGHT(M3,4)&amp;"/"&amp;RIGHT(N3,4)</f>
        <v>2024/2025</v>
      </c>
      <c r="Q2" s="616"/>
      <c r="R2" s="616"/>
      <c r="S2" s="66"/>
      <c r="T2" s="66"/>
      <c r="U2" s="66"/>
      <c r="V2" s="66"/>
      <c r="W2" s="66"/>
      <c r="X2" s="66"/>
      <c r="Y2" s="66"/>
    </row>
    <row r="3" spans="1:27">
      <c r="B3" s="334"/>
      <c r="C3" s="615">
        <v>2014</v>
      </c>
      <c r="D3" s="615" t="s">
        <v>1133</v>
      </c>
      <c r="E3" s="615" t="s">
        <v>1134</v>
      </c>
      <c r="F3" s="615" t="s">
        <v>1135</v>
      </c>
      <c r="G3" s="615" t="s">
        <v>1136</v>
      </c>
      <c r="H3" s="615" t="s">
        <v>1137</v>
      </c>
      <c r="I3" s="614" t="s">
        <v>1138</v>
      </c>
      <c r="J3" s="615" t="s">
        <v>1139</v>
      </c>
      <c r="K3" s="615" t="s">
        <v>1140</v>
      </c>
      <c r="L3" s="615" t="s">
        <v>1141</v>
      </c>
      <c r="M3" s="616" t="s">
        <v>1142</v>
      </c>
      <c r="N3" s="616" t="s">
        <v>1223</v>
      </c>
      <c r="O3" s="66"/>
      <c r="P3" s="684" t="s">
        <v>1143</v>
      </c>
      <c r="Q3" s="684" t="s">
        <v>1144</v>
      </c>
      <c r="R3" s="685" t="s">
        <v>1145</v>
      </c>
      <c r="S3" s="66"/>
      <c r="T3" s="66"/>
      <c r="U3" s="66"/>
      <c r="V3" s="66"/>
      <c r="W3" s="66"/>
      <c r="X3" s="66"/>
      <c r="Y3" s="66"/>
    </row>
    <row r="4" spans="1:27" ht="9" customHeight="1">
      <c r="B4" s="66"/>
      <c r="C4" s="66"/>
      <c r="D4" s="66"/>
      <c r="E4" s="66"/>
      <c r="F4" s="66"/>
      <c r="G4" s="66"/>
      <c r="H4" s="66"/>
      <c r="I4" s="66"/>
      <c r="J4" s="66"/>
      <c r="K4" s="66"/>
      <c r="L4" s="66"/>
      <c r="M4" s="66"/>
      <c r="N4" s="66"/>
      <c r="O4" s="66"/>
      <c r="P4" s="686"/>
      <c r="Q4" s="686"/>
      <c r="R4" s="686"/>
      <c r="S4" s="172"/>
      <c r="T4" s="172"/>
      <c r="U4" s="172"/>
      <c r="V4" s="172"/>
      <c r="W4" s="172"/>
      <c r="X4" s="172"/>
      <c r="Y4" s="169"/>
    </row>
    <row r="5" spans="1:27">
      <c r="B5" s="233" t="s">
        <v>1146</v>
      </c>
      <c r="C5" s="66"/>
      <c r="D5" s="66"/>
      <c r="E5" s="66"/>
      <c r="F5" s="66"/>
      <c r="G5" s="66"/>
      <c r="H5" s="66"/>
      <c r="I5" s="66"/>
      <c r="J5" s="66"/>
      <c r="K5" s="66"/>
      <c r="L5" s="66"/>
      <c r="M5" s="66"/>
      <c r="N5" s="66"/>
      <c r="O5" s="66"/>
      <c r="P5" s="687"/>
      <c r="Q5" s="687"/>
      <c r="R5" s="688"/>
      <c r="S5" s="743"/>
      <c r="T5" s="743"/>
      <c r="U5" s="743"/>
      <c r="V5" s="743"/>
      <c r="W5" s="743"/>
      <c r="X5" s="743"/>
      <c r="Y5" s="743"/>
    </row>
    <row r="6" spans="1:27">
      <c r="B6" s="230" t="s">
        <v>1147</v>
      </c>
      <c r="C6" s="689">
        <v>16519642999.999998</v>
      </c>
      <c r="D6" s="689">
        <v>17856571000</v>
      </c>
      <c r="E6" s="689">
        <v>18170460000</v>
      </c>
      <c r="F6" s="689">
        <v>18839827000</v>
      </c>
      <c r="G6" s="689">
        <v>20024020000</v>
      </c>
      <c r="H6" s="689">
        <v>21467094000</v>
      </c>
      <c r="I6" s="689">
        <v>21903571000</v>
      </c>
      <c r="J6" s="689">
        <v>25083803000</v>
      </c>
      <c r="K6" s="689">
        <v>29109249000</v>
      </c>
      <c r="L6" s="690">
        <v>27909932000</v>
      </c>
      <c r="M6" s="690">
        <v>29448224000</v>
      </c>
      <c r="N6" s="690">
        <v>31233034000</v>
      </c>
      <c r="O6" s="690"/>
      <c r="P6" s="691">
        <f>N6/M6-1</f>
        <v>6.060840884665919E-2</v>
      </c>
      <c r="Q6" s="692"/>
      <c r="R6" s="692"/>
      <c r="S6" s="81"/>
      <c r="T6" s="81"/>
      <c r="U6" s="81"/>
      <c r="V6" s="81"/>
      <c r="W6" s="81"/>
      <c r="X6" s="81"/>
      <c r="Y6" s="81"/>
    </row>
    <row r="7" spans="1:27">
      <c r="B7" s="230" t="s">
        <v>1148</v>
      </c>
      <c r="C7" s="689">
        <v>24275392000</v>
      </c>
      <c r="D7" s="689">
        <v>24805219000</v>
      </c>
      <c r="E7" s="689">
        <v>25279826000</v>
      </c>
      <c r="F7" s="689">
        <v>26073523000</v>
      </c>
      <c r="G7" s="689">
        <v>27608806000</v>
      </c>
      <c r="H7" s="689">
        <v>29225445000</v>
      </c>
      <c r="I7" s="689">
        <v>39119584000</v>
      </c>
      <c r="J7" s="689">
        <v>50027817000</v>
      </c>
      <c r="K7" s="689">
        <v>45991135000</v>
      </c>
      <c r="L7" s="693">
        <v>46410721000</v>
      </c>
      <c r="M7" s="693">
        <v>47487938000</v>
      </c>
      <c r="N7" s="693">
        <v>49441883000</v>
      </c>
      <c r="O7" s="693"/>
      <c r="P7" s="694">
        <f t="shared" ref="P7:P8" si="0">N7/M7-1</f>
        <v>4.11461327295366E-2</v>
      </c>
      <c r="Q7" s="692"/>
      <c r="R7" s="692"/>
      <c r="S7" s="81"/>
      <c r="T7" s="81"/>
      <c r="U7" s="81"/>
      <c r="V7" s="81"/>
      <c r="W7" s="81"/>
      <c r="X7" s="81"/>
      <c r="Y7" s="81"/>
    </row>
    <row r="8" spans="1:27" ht="13.5" thickBot="1">
      <c r="B8" s="695" t="s">
        <v>1149</v>
      </c>
      <c r="C8" s="696">
        <f t="shared" ref="C8:N8" si="1">SUM(C6:C7)</f>
        <v>40795035000</v>
      </c>
      <c r="D8" s="696">
        <f t="shared" si="1"/>
        <v>42661790000</v>
      </c>
      <c r="E8" s="696">
        <f t="shared" si="1"/>
        <v>43450286000</v>
      </c>
      <c r="F8" s="696">
        <f t="shared" si="1"/>
        <v>44913350000</v>
      </c>
      <c r="G8" s="696">
        <f t="shared" si="1"/>
        <v>47632826000</v>
      </c>
      <c r="H8" s="696">
        <f t="shared" si="1"/>
        <v>50692539000</v>
      </c>
      <c r="I8" s="696">
        <f t="shared" si="1"/>
        <v>61023155000</v>
      </c>
      <c r="J8" s="696">
        <f t="shared" si="1"/>
        <v>75111620000</v>
      </c>
      <c r="K8" s="696">
        <f t="shared" si="1"/>
        <v>75100384000</v>
      </c>
      <c r="L8" s="697">
        <f t="shared" ref="L8" si="2">SUM(L6:L7)</f>
        <v>74320653000</v>
      </c>
      <c r="M8" s="697">
        <f t="shared" si="1"/>
        <v>76936162000</v>
      </c>
      <c r="N8" s="697">
        <f t="shared" si="1"/>
        <v>80674917000</v>
      </c>
      <c r="O8" s="698"/>
      <c r="P8" s="699">
        <f t="shared" si="0"/>
        <v>4.8595548605608885E-2</v>
      </c>
      <c r="Q8" s="700"/>
      <c r="R8" s="700"/>
      <c r="S8" s="81"/>
      <c r="T8" s="81"/>
      <c r="U8" s="81"/>
      <c r="V8" s="81"/>
      <c r="W8" s="81"/>
      <c r="X8" s="81"/>
      <c r="Y8" s="81"/>
    </row>
    <row r="9" spans="1:27" ht="13.5" thickTop="1">
      <c r="B9" s="66"/>
      <c r="C9" s="701"/>
      <c r="D9" s="701"/>
      <c r="E9" s="701"/>
      <c r="F9" s="701"/>
      <c r="G9" s="701"/>
      <c r="H9" s="701"/>
      <c r="I9" s="701"/>
      <c r="J9" s="701"/>
      <c r="K9" s="701"/>
      <c r="L9" s="690"/>
      <c r="M9" s="690"/>
      <c r="N9" s="690"/>
      <c r="O9" s="690"/>
      <c r="P9" s="702"/>
      <c r="Q9" s="692"/>
      <c r="R9" s="692"/>
      <c r="S9" s="81"/>
      <c r="T9" s="81"/>
      <c r="U9" s="81"/>
      <c r="V9" s="81"/>
      <c r="W9" s="81"/>
      <c r="X9" s="81"/>
      <c r="Y9" s="81"/>
    </row>
    <row r="10" spans="1:27">
      <c r="B10" s="233" t="s">
        <v>1150</v>
      </c>
      <c r="C10" s="701"/>
      <c r="D10" s="701"/>
      <c r="E10" s="701"/>
      <c r="F10" s="701"/>
      <c r="G10" s="701"/>
      <c r="H10" s="701"/>
      <c r="I10" s="701"/>
      <c r="J10" s="701"/>
      <c r="K10" s="701"/>
      <c r="L10" s="690"/>
      <c r="M10" s="690"/>
      <c r="N10" s="690"/>
      <c r="O10" s="690"/>
      <c r="P10" s="691"/>
      <c r="Q10" s="692"/>
      <c r="R10" s="692"/>
      <c r="S10" s="81"/>
      <c r="T10" s="81"/>
      <c r="U10" s="81"/>
      <c r="V10" s="81"/>
      <c r="W10" s="81"/>
      <c r="X10" s="81"/>
      <c r="Y10" s="81"/>
    </row>
    <row r="11" spans="1:27">
      <c r="B11" s="66" t="s">
        <v>1151</v>
      </c>
      <c r="C11" s="701">
        <v>15733790000</v>
      </c>
      <c r="D11" s="701">
        <v>17069018000</v>
      </c>
      <c r="E11" s="701">
        <v>17348564000</v>
      </c>
      <c r="F11" s="701">
        <v>18001810000</v>
      </c>
      <c r="G11" s="701">
        <v>19188948000</v>
      </c>
      <c r="H11" s="701">
        <v>20553037000</v>
      </c>
      <c r="I11" s="701">
        <v>20943678000</v>
      </c>
      <c r="J11" s="701">
        <v>24058765000</v>
      </c>
      <c r="K11" s="701">
        <v>28061732000</v>
      </c>
      <c r="L11" s="690">
        <v>26670180000</v>
      </c>
      <c r="M11" s="690">
        <f>ByAcct!M18</f>
        <v>27842462000</v>
      </c>
      <c r="N11" s="690">
        <f>ByAcct!N18</f>
        <v>29639067000</v>
      </c>
      <c r="O11" s="690"/>
      <c r="P11" s="691">
        <f t="shared" ref="P11:P13" si="3">N11/M11-1</f>
        <v>6.4527519154017332E-2</v>
      </c>
      <c r="Q11" s="703" t="s">
        <v>1152</v>
      </c>
      <c r="R11" s="704">
        <f>N11/$N$8</f>
        <v>0.36738887503286805</v>
      </c>
      <c r="S11" s="82"/>
      <c r="T11" s="82"/>
      <c r="U11" s="82"/>
      <c r="V11" s="82"/>
      <c r="W11" s="82"/>
      <c r="X11" s="82"/>
      <c r="Y11" s="82"/>
    </row>
    <row r="12" spans="1:27">
      <c r="B12" s="230" t="s">
        <v>1148</v>
      </c>
      <c r="C12" s="705">
        <v>718404000</v>
      </c>
      <c r="D12" s="705">
        <v>783311000</v>
      </c>
      <c r="E12" s="705">
        <v>792553000</v>
      </c>
      <c r="F12" s="705">
        <v>799920000</v>
      </c>
      <c r="G12" s="705">
        <v>800144000</v>
      </c>
      <c r="H12" s="705">
        <v>822377140.20000005</v>
      </c>
      <c r="I12" s="705">
        <v>1294169628.1300001</v>
      </c>
      <c r="J12" s="705">
        <v>1568171000</v>
      </c>
      <c r="K12" s="705">
        <v>1667381000</v>
      </c>
      <c r="L12" s="693">
        <v>1688907000</v>
      </c>
      <c r="M12" s="693">
        <f>ByAcct!M39</f>
        <v>1625945000</v>
      </c>
      <c r="N12" s="693">
        <f>ByAcct!N39</f>
        <v>1644489000</v>
      </c>
      <c r="O12" s="693"/>
      <c r="P12" s="694">
        <f t="shared" si="3"/>
        <v>1.1405059826746999E-2</v>
      </c>
      <c r="Q12" s="703" t="s">
        <v>1153</v>
      </c>
      <c r="R12" s="704">
        <f>N12/$N$8</f>
        <v>2.0384142446654145E-2</v>
      </c>
      <c r="S12" s="82"/>
      <c r="T12" s="82"/>
      <c r="U12" s="82"/>
      <c r="V12" s="82"/>
      <c r="W12" s="82"/>
      <c r="X12" s="82"/>
      <c r="Y12" s="82"/>
    </row>
    <row r="13" spans="1:27" ht="13.5" thickBot="1">
      <c r="B13" s="695" t="s">
        <v>1154</v>
      </c>
      <c r="C13" s="696">
        <f t="shared" ref="C13:M13" si="4">SUM(C11:C12)</f>
        <v>16452194000</v>
      </c>
      <c r="D13" s="696">
        <f t="shared" si="4"/>
        <v>17852329000</v>
      </c>
      <c r="E13" s="696">
        <f t="shared" si="4"/>
        <v>18141117000</v>
      </c>
      <c r="F13" s="696">
        <f t="shared" si="4"/>
        <v>18801730000</v>
      </c>
      <c r="G13" s="696">
        <f t="shared" si="4"/>
        <v>19989092000</v>
      </c>
      <c r="H13" s="696">
        <f t="shared" si="4"/>
        <v>21375414140.200001</v>
      </c>
      <c r="I13" s="696">
        <f t="shared" si="4"/>
        <v>22237847628.130001</v>
      </c>
      <c r="J13" s="696">
        <f t="shared" ref="J13" si="5">SUM(J11:J12)</f>
        <v>25626936000</v>
      </c>
      <c r="K13" s="696">
        <f t="shared" si="4"/>
        <v>29729113000</v>
      </c>
      <c r="L13" s="697">
        <f t="shared" ref="L13" si="6">SUM(L11:L12)</f>
        <v>28359087000</v>
      </c>
      <c r="M13" s="697">
        <f t="shared" si="4"/>
        <v>29468407000</v>
      </c>
      <c r="N13" s="697">
        <f t="shared" ref="N13" si="7">SUM(N11:N12)</f>
        <v>31283556000</v>
      </c>
      <c r="O13" s="698"/>
      <c r="P13" s="699">
        <f t="shared" si="3"/>
        <v>6.1596441232809163E-2</v>
      </c>
      <c r="Q13" s="706"/>
      <c r="R13" s="704"/>
      <c r="S13" s="82"/>
      <c r="T13" s="82"/>
      <c r="U13" s="82"/>
      <c r="V13" s="82"/>
      <c r="W13" s="82"/>
      <c r="X13" s="82"/>
      <c r="Y13" s="82"/>
    </row>
    <row r="14" spans="1:27" ht="13.5" thickTop="1">
      <c r="B14" s="66"/>
      <c r="C14" s="701"/>
      <c r="D14" s="701"/>
      <c r="E14" s="701"/>
      <c r="F14" s="701"/>
      <c r="G14" s="701"/>
      <c r="H14" s="701"/>
      <c r="I14" s="701"/>
      <c r="J14" s="701"/>
      <c r="K14" s="701"/>
      <c r="L14" s="690"/>
      <c r="M14" s="690"/>
      <c r="N14" s="690"/>
      <c r="O14" s="690"/>
      <c r="P14" s="707"/>
      <c r="Q14" s="703"/>
      <c r="R14" s="704"/>
      <c r="S14" s="82"/>
      <c r="T14" s="82"/>
      <c r="U14" s="82"/>
      <c r="V14" s="82"/>
      <c r="W14" s="82"/>
      <c r="X14" s="82"/>
      <c r="Y14" s="82"/>
    </row>
    <row r="15" spans="1:27">
      <c r="B15" s="233" t="s">
        <v>1155</v>
      </c>
      <c r="C15" s="701"/>
      <c r="D15" s="701"/>
      <c r="E15" s="701"/>
      <c r="F15" s="701"/>
      <c r="G15" s="701"/>
      <c r="H15" s="701"/>
      <c r="I15" s="701"/>
      <c r="J15" s="701"/>
      <c r="K15" s="701"/>
      <c r="L15" s="690"/>
      <c r="M15" s="690"/>
      <c r="N15" s="690"/>
      <c r="O15" s="690"/>
      <c r="P15" s="691"/>
      <c r="Q15" s="703"/>
      <c r="R15" s="704"/>
      <c r="S15" s="82"/>
      <c r="T15" s="82"/>
      <c r="U15" s="82"/>
      <c r="V15" s="82"/>
      <c r="W15" s="82"/>
      <c r="X15" s="82"/>
      <c r="Y15" s="82"/>
    </row>
    <row r="16" spans="1:27">
      <c r="B16" s="66" t="s">
        <v>1151</v>
      </c>
      <c r="C16" s="701">
        <f t="shared" ref="C16:N17" si="8">C6-C11</f>
        <v>785852999.99999809</v>
      </c>
      <c r="D16" s="701">
        <f t="shared" si="8"/>
        <v>787553000</v>
      </c>
      <c r="E16" s="701">
        <f t="shared" si="8"/>
        <v>821896000</v>
      </c>
      <c r="F16" s="701">
        <f t="shared" si="8"/>
        <v>838017000</v>
      </c>
      <c r="G16" s="701">
        <f t="shared" si="8"/>
        <v>835072000</v>
      </c>
      <c r="H16" s="701">
        <f t="shared" si="8"/>
        <v>914057000</v>
      </c>
      <c r="I16" s="701">
        <f t="shared" si="8"/>
        <v>959893000</v>
      </c>
      <c r="J16" s="701">
        <f t="shared" si="8"/>
        <v>1025038000</v>
      </c>
      <c r="K16" s="701">
        <f t="shared" si="8"/>
        <v>1047517000</v>
      </c>
      <c r="L16" s="690">
        <f t="shared" ref="L16" si="9">L6-L11</f>
        <v>1239752000</v>
      </c>
      <c r="M16" s="690">
        <f t="shared" si="8"/>
        <v>1605762000</v>
      </c>
      <c r="N16" s="690">
        <f t="shared" si="8"/>
        <v>1593967000</v>
      </c>
      <c r="O16" s="690"/>
      <c r="P16" s="691">
        <f t="shared" ref="P16:P18" si="10">N16/M16-1</f>
        <v>-7.3454222979495443E-3</v>
      </c>
      <c r="Q16" s="703" t="s">
        <v>1156</v>
      </c>
      <c r="R16" s="704">
        <f>N16/$N$8</f>
        <v>1.9757900711568133E-2</v>
      </c>
      <c r="S16" s="82"/>
      <c r="T16" s="82"/>
      <c r="U16" s="82"/>
      <c r="V16" s="82"/>
      <c r="W16" s="82"/>
      <c r="X16" s="82"/>
      <c r="Y16" s="82"/>
    </row>
    <row r="17" spans="1:25">
      <c r="B17" s="230" t="s">
        <v>1148</v>
      </c>
      <c r="C17" s="705">
        <f t="shared" si="8"/>
        <v>23556988000</v>
      </c>
      <c r="D17" s="705">
        <f t="shared" si="8"/>
        <v>24021908000</v>
      </c>
      <c r="E17" s="705">
        <f t="shared" si="8"/>
        <v>24487273000</v>
      </c>
      <c r="F17" s="705">
        <f t="shared" si="8"/>
        <v>25273603000</v>
      </c>
      <c r="G17" s="705">
        <f t="shared" si="8"/>
        <v>26808662000</v>
      </c>
      <c r="H17" s="705">
        <f t="shared" si="8"/>
        <v>28403067859.799999</v>
      </c>
      <c r="I17" s="705">
        <f t="shared" si="8"/>
        <v>37825414371.870003</v>
      </c>
      <c r="J17" s="705">
        <f t="shared" si="8"/>
        <v>48459646000</v>
      </c>
      <c r="K17" s="705">
        <f t="shared" si="8"/>
        <v>44323754000</v>
      </c>
      <c r="L17" s="693">
        <f t="shared" ref="L17" si="11">L7-L12</f>
        <v>44721814000</v>
      </c>
      <c r="M17" s="693">
        <f t="shared" si="8"/>
        <v>45861993000</v>
      </c>
      <c r="N17" s="693">
        <f t="shared" si="8"/>
        <v>47797394000</v>
      </c>
      <c r="O17" s="693"/>
      <c r="P17" s="694">
        <f t="shared" si="10"/>
        <v>4.2200542832929289E-2</v>
      </c>
      <c r="Q17" s="703" t="s">
        <v>1157</v>
      </c>
      <c r="R17" s="704">
        <f>N17/$N$8</f>
        <v>0.59246908180890967</v>
      </c>
      <c r="S17" s="82"/>
      <c r="T17" s="82"/>
      <c r="U17" s="82"/>
      <c r="V17" s="82"/>
      <c r="W17" s="82"/>
      <c r="X17" s="82"/>
      <c r="Y17" s="82"/>
    </row>
    <row r="18" spans="1:25" ht="13.5" thickBot="1">
      <c r="B18" s="695" t="s">
        <v>1158</v>
      </c>
      <c r="C18" s="696">
        <f t="shared" ref="C18:M18" si="12">SUM(C16:C17)</f>
        <v>24342841000</v>
      </c>
      <c r="D18" s="696">
        <f t="shared" si="12"/>
        <v>24809461000</v>
      </c>
      <c r="E18" s="696">
        <f t="shared" si="12"/>
        <v>25309169000</v>
      </c>
      <c r="F18" s="696">
        <f t="shared" si="12"/>
        <v>26111620000</v>
      </c>
      <c r="G18" s="696">
        <f t="shared" si="12"/>
        <v>27643734000</v>
      </c>
      <c r="H18" s="696">
        <f t="shared" ref="H18" si="13">SUM(H16:H17)</f>
        <v>29317124859.799999</v>
      </c>
      <c r="I18" s="696">
        <f t="shared" si="12"/>
        <v>38785307371.870003</v>
      </c>
      <c r="J18" s="696">
        <f t="shared" ref="J18" si="14">SUM(J16:J17)</f>
        <v>49484684000</v>
      </c>
      <c r="K18" s="696">
        <f t="shared" si="12"/>
        <v>45371271000</v>
      </c>
      <c r="L18" s="697">
        <f t="shared" ref="L18" si="15">SUM(L16:L17)</f>
        <v>45961566000</v>
      </c>
      <c r="M18" s="697">
        <f t="shared" si="12"/>
        <v>47467755000</v>
      </c>
      <c r="N18" s="697">
        <f t="shared" ref="N18" si="16">SUM(N16:N17)</f>
        <v>49391361000</v>
      </c>
      <c r="O18" s="698"/>
      <c r="P18" s="708">
        <f t="shared" si="10"/>
        <v>4.0524478143109999E-2</v>
      </c>
      <c r="Q18" s="700"/>
      <c r="R18" s="700"/>
      <c r="S18" s="82"/>
      <c r="T18" s="82"/>
      <c r="U18" s="82"/>
      <c r="V18" s="82"/>
      <c r="W18" s="82"/>
      <c r="X18" s="82"/>
      <c r="Y18" s="82"/>
    </row>
    <row r="19" spans="1:25" ht="13.5" thickTop="1">
      <c r="B19" s="66"/>
      <c r="C19" s="66"/>
      <c r="D19" s="66"/>
      <c r="E19" s="66"/>
      <c r="F19" s="66"/>
      <c r="G19" s="66"/>
      <c r="H19" s="66"/>
      <c r="I19" s="66"/>
      <c r="J19" s="66"/>
      <c r="K19" s="66"/>
      <c r="L19" s="66"/>
      <c r="M19" s="66"/>
      <c r="N19" s="66"/>
      <c r="O19" s="66"/>
      <c r="P19" s="686"/>
      <c r="Q19" s="686"/>
      <c r="R19" s="686"/>
      <c r="S19" s="82"/>
      <c r="T19" s="82"/>
      <c r="U19" s="82"/>
      <c r="V19" s="82"/>
      <c r="W19" s="82"/>
      <c r="X19" s="82"/>
      <c r="Y19" s="82"/>
    </row>
    <row r="20" spans="1:25" s="3" customFormat="1" ht="12" customHeight="1">
      <c r="A20" s="815"/>
      <c r="B20" s="328" t="s">
        <v>24</v>
      </c>
      <c r="C20" s="709"/>
      <c r="D20" s="709"/>
      <c r="E20" s="709"/>
      <c r="F20" s="709"/>
      <c r="G20" s="709"/>
      <c r="H20" s="709"/>
      <c r="I20" s="709"/>
      <c r="J20" s="709"/>
      <c r="K20" s="709"/>
      <c r="L20" s="709"/>
      <c r="M20" s="709"/>
      <c r="N20" s="709"/>
      <c r="O20" s="710"/>
      <c r="P20" s="711"/>
      <c r="Q20" s="712"/>
      <c r="R20" s="712"/>
      <c r="S20" s="108"/>
      <c r="T20" s="108"/>
      <c r="U20" s="108"/>
      <c r="V20" s="108"/>
      <c r="W20" s="108"/>
      <c r="X20" s="108"/>
      <c r="Y20" s="108"/>
    </row>
    <row r="21" spans="1:25" s="3" customFormat="1" ht="24" customHeight="1">
      <c r="A21" s="815"/>
      <c r="B21" s="825" t="s">
        <v>1159</v>
      </c>
      <c r="C21" s="825"/>
      <c r="D21" s="825"/>
      <c r="E21" s="825"/>
      <c r="F21" s="825"/>
      <c r="G21" s="825"/>
      <c r="H21" s="825"/>
      <c r="I21" s="825"/>
      <c r="J21" s="825"/>
      <c r="K21" s="825"/>
      <c r="L21" s="825"/>
      <c r="M21" s="825"/>
      <c r="N21" s="825"/>
      <c r="O21" s="825"/>
      <c r="P21" s="825"/>
      <c r="Q21" s="712"/>
      <c r="R21" s="712"/>
      <c r="S21" s="65"/>
      <c r="T21" s="65"/>
      <c r="U21" s="65"/>
      <c r="V21" s="65"/>
      <c r="W21" s="65"/>
      <c r="X21" s="65"/>
      <c r="Y21" s="65"/>
    </row>
    <row r="22" spans="1:25" s="3" customFormat="1" ht="36" customHeight="1">
      <c r="A22" s="815"/>
      <c r="B22" s="825" t="s">
        <v>1160</v>
      </c>
      <c r="C22" s="825"/>
      <c r="D22" s="825"/>
      <c r="E22" s="825"/>
      <c r="F22" s="825"/>
      <c r="G22" s="825"/>
      <c r="H22" s="825"/>
      <c r="I22" s="825"/>
      <c r="J22" s="825"/>
      <c r="K22" s="825"/>
      <c r="L22" s="825"/>
      <c r="M22" s="825"/>
      <c r="N22" s="825"/>
      <c r="O22" s="825"/>
      <c r="P22" s="825"/>
      <c r="Q22" s="232"/>
      <c r="R22" s="232"/>
      <c r="S22" s="65"/>
      <c r="T22" s="65"/>
      <c r="U22" s="65"/>
      <c r="V22" s="65"/>
      <c r="W22" s="65"/>
      <c r="X22" s="65"/>
      <c r="Y22" s="65"/>
    </row>
    <row r="23" spans="1:25" s="3" customFormat="1" ht="24" customHeight="1">
      <c r="A23" s="815"/>
      <c r="B23" s="826" t="s">
        <v>1161</v>
      </c>
      <c r="C23" s="825"/>
      <c r="D23" s="825"/>
      <c r="E23" s="825"/>
      <c r="F23" s="825"/>
      <c r="G23" s="825"/>
      <c r="H23" s="825"/>
      <c r="I23" s="825"/>
      <c r="J23" s="825"/>
      <c r="K23" s="825"/>
      <c r="L23" s="825"/>
      <c r="M23" s="825"/>
      <c r="N23" s="825"/>
      <c r="O23" s="825"/>
      <c r="P23" s="825"/>
      <c r="Q23" s="713"/>
      <c r="R23" s="713"/>
      <c r="S23" s="65"/>
      <c r="T23" s="65"/>
      <c r="U23" s="65"/>
      <c r="V23" s="65"/>
      <c r="W23" s="65"/>
      <c r="X23" s="65"/>
      <c r="Y23" s="65"/>
    </row>
    <row r="24" spans="1:25" s="3" customFormat="1" ht="24" customHeight="1">
      <c r="A24" s="815"/>
      <c r="B24" s="827" t="s">
        <v>1162</v>
      </c>
      <c r="C24" s="825"/>
      <c r="D24" s="825"/>
      <c r="E24" s="825"/>
      <c r="F24" s="825"/>
      <c r="G24" s="825"/>
      <c r="H24" s="825"/>
      <c r="I24" s="825"/>
      <c r="J24" s="825"/>
      <c r="K24" s="825"/>
      <c r="L24" s="825"/>
      <c r="M24" s="825"/>
      <c r="N24" s="825"/>
      <c r="O24" s="825"/>
      <c r="P24" s="825"/>
      <c r="Q24" s="713"/>
      <c r="R24" s="713"/>
      <c r="S24" s="65"/>
      <c r="T24" s="65"/>
      <c r="U24" s="65"/>
      <c r="V24" s="65"/>
      <c r="W24" s="65"/>
      <c r="X24" s="65"/>
      <c r="Y24" s="65"/>
    </row>
    <row r="25" spans="1:25" s="3" customFormat="1" ht="36" customHeight="1">
      <c r="A25" s="815"/>
      <c r="B25" s="827" t="s">
        <v>1163</v>
      </c>
      <c r="C25" s="825"/>
      <c r="D25" s="825"/>
      <c r="E25" s="825"/>
      <c r="F25" s="825"/>
      <c r="G25" s="825"/>
      <c r="H25" s="825"/>
      <c r="I25" s="825"/>
      <c r="J25" s="825"/>
      <c r="K25" s="825"/>
      <c r="L25" s="825"/>
      <c r="M25" s="825"/>
      <c r="N25" s="825"/>
      <c r="O25" s="825"/>
      <c r="P25" s="825"/>
      <c r="Q25" s="713"/>
      <c r="R25" s="713"/>
      <c r="S25" s="65"/>
      <c r="T25" s="65"/>
      <c r="U25" s="65"/>
      <c r="V25" s="65"/>
      <c r="W25" s="65"/>
      <c r="X25" s="65"/>
      <c r="Y25" s="65"/>
    </row>
    <row r="26" spans="1:25" s="3" customFormat="1" ht="3" customHeight="1">
      <c r="A26" s="815"/>
      <c r="B26" s="825"/>
      <c r="C26" s="825"/>
      <c r="D26" s="825"/>
      <c r="E26" s="825"/>
      <c r="F26" s="825"/>
      <c r="G26" s="825"/>
      <c r="H26" s="825"/>
      <c r="I26" s="825"/>
      <c r="J26" s="825"/>
      <c r="K26" s="825"/>
      <c r="L26" s="825"/>
      <c r="M26" s="825"/>
      <c r="N26" s="825"/>
      <c r="O26" s="825"/>
      <c r="P26" s="825"/>
      <c r="Q26" s="713"/>
      <c r="R26" s="713"/>
      <c r="S26" s="65"/>
      <c r="T26" s="65"/>
      <c r="U26" s="65"/>
      <c r="V26" s="65"/>
      <c r="W26" s="65"/>
      <c r="X26" s="65"/>
      <c r="Y26" s="65"/>
    </row>
    <row r="27" spans="1:25" s="3" customFormat="1" ht="3" customHeight="1">
      <c r="A27" s="815"/>
      <c r="B27" s="230"/>
      <c r="C27" s="714"/>
      <c r="D27" s="714"/>
      <c r="E27" s="714"/>
      <c r="F27" s="714"/>
      <c r="G27" s="714"/>
      <c r="H27" s="714"/>
      <c r="I27" s="714"/>
      <c r="J27" s="714"/>
      <c r="K27" s="714"/>
      <c r="L27" s="714"/>
      <c r="M27" s="714"/>
      <c r="N27" s="714"/>
      <c r="O27" s="230"/>
      <c r="P27" s="687"/>
      <c r="Q27" s="687"/>
      <c r="R27" s="687"/>
      <c r="S27" s="66"/>
      <c r="T27" s="66"/>
      <c r="U27" s="66"/>
      <c r="V27" s="66"/>
      <c r="W27" s="66"/>
      <c r="X27" s="66"/>
      <c r="Y27" s="66"/>
    </row>
    <row r="28" spans="1:25" s="3" customFormat="1" ht="3" customHeight="1">
      <c r="A28" s="815"/>
      <c r="B28" s="230"/>
      <c r="C28" s="714"/>
      <c r="D28" s="714"/>
      <c r="E28" s="714"/>
      <c r="F28" s="714"/>
      <c r="G28" s="714"/>
      <c r="H28" s="714"/>
      <c r="I28" s="714"/>
      <c r="J28" s="714"/>
      <c r="K28" s="714"/>
      <c r="L28" s="714"/>
      <c r="M28" s="714"/>
      <c r="N28" s="714"/>
      <c r="O28" s="230"/>
      <c r="P28" s="687"/>
      <c r="Q28" s="687"/>
      <c r="R28" s="687"/>
      <c r="S28" s="66"/>
      <c r="T28" s="66"/>
      <c r="U28" s="66"/>
      <c r="V28" s="66"/>
      <c r="W28" s="66"/>
      <c r="X28" s="66"/>
      <c r="Y28" s="66"/>
    </row>
    <row r="29" spans="1:25" s="3" customFormat="1" ht="3" customHeight="1">
      <c r="A29" s="815"/>
      <c r="B29" s="230"/>
      <c r="C29" s="230"/>
      <c r="D29" s="230"/>
      <c r="E29" s="230"/>
      <c r="F29" s="230"/>
      <c r="G29" s="230"/>
      <c r="H29" s="230"/>
      <c r="I29" s="230"/>
      <c r="J29" s="230"/>
      <c r="K29" s="230"/>
      <c r="L29" s="230"/>
      <c r="M29" s="230"/>
      <c r="N29" s="230"/>
      <c r="O29" s="230"/>
      <c r="P29" s="687"/>
      <c r="Q29" s="687"/>
      <c r="R29" s="687"/>
      <c r="S29" s="66"/>
      <c r="T29" s="66"/>
      <c r="U29" s="66"/>
      <c r="V29" s="66"/>
      <c r="W29" s="66"/>
      <c r="X29" s="66"/>
      <c r="Y29" s="66"/>
    </row>
    <row r="30" spans="1:25" s="3" customFormat="1">
      <c r="A30" s="815"/>
      <c r="B30" s="357"/>
      <c r="C30" s="230"/>
      <c r="D30" s="230"/>
      <c r="E30" s="230"/>
      <c r="F30" s="230"/>
      <c r="G30" s="230"/>
      <c r="H30" s="230"/>
      <c r="I30" s="230"/>
      <c r="J30" s="230"/>
      <c r="K30" s="230"/>
      <c r="L30" s="230"/>
      <c r="M30" s="230"/>
      <c r="N30" s="230"/>
      <c r="O30" s="230"/>
      <c r="P30" s="687"/>
      <c r="Q30" s="687"/>
      <c r="R30" s="687"/>
      <c r="S30" s="66"/>
      <c r="T30" s="66"/>
      <c r="U30" s="66"/>
      <c r="V30" s="66"/>
      <c r="W30" s="66"/>
      <c r="X30" s="66"/>
      <c r="Y30" s="66"/>
    </row>
    <row r="31" spans="1:25" s="3" customFormat="1">
      <c r="A31" s="815"/>
      <c r="B31" s="233" t="s">
        <v>1164</v>
      </c>
      <c r="C31" s="230"/>
      <c r="D31" s="230"/>
      <c r="E31" s="230"/>
      <c r="F31" s="230"/>
      <c r="G31" s="230"/>
      <c r="H31" s="230"/>
      <c r="I31" s="230"/>
      <c r="J31" s="230"/>
      <c r="K31" s="230"/>
      <c r="L31" s="230"/>
      <c r="M31" s="230"/>
      <c r="N31" s="230"/>
      <c r="O31" s="230"/>
      <c r="P31" s="687"/>
      <c r="Q31" s="687"/>
      <c r="R31" s="687"/>
      <c r="S31" s="66"/>
      <c r="T31" s="66"/>
      <c r="U31" s="66"/>
      <c r="V31" s="66"/>
      <c r="W31" s="66"/>
      <c r="X31" s="66"/>
      <c r="Y31" s="66"/>
    </row>
    <row r="32" spans="1:25" s="3" customFormat="1">
      <c r="A32" s="815"/>
      <c r="B32" s="715"/>
      <c r="C32" s="230"/>
      <c r="D32" s="230"/>
      <c r="E32" s="230"/>
      <c r="F32" s="230"/>
      <c r="G32" s="230"/>
      <c r="H32" s="230"/>
      <c r="I32" s="230"/>
      <c r="J32" s="230"/>
      <c r="K32" s="230"/>
      <c r="L32" s="230"/>
      <c r="M32" s="230"/>
      <c r="N32" s="230"/>
      <c r="O32" s="242"/>
      <c r="P32" s="716"/>
      <c r="Q32" s="687"/>
      <c r="R32" s="687"/>
      <c r="S32" s="66"/>
      <c r="T32" s="66"/>
      <c r="U32" s="66"/>
      <c r="V32" s="66"/>
      <c r="W32" s="66"/>
      <c r="X32" s="66"/>
      <c r="Y32" s="66"/>
    </row>
    <row r="33" spans="1:25" s="3" customFormat="1">
      <c r="A33" s="815"/>
      <c r="B33" s="233" t="s">
        <v>1165</v>
      </c>
      <c r="C33" s="615">
        <f>C3</f>
        <v>2014</v>
      </c>
      <c r="D33" s="615" t="str">
        <f>D3</f>
        <v>FY 2015</v>
      </c>
      <c r="E33" s="615" t="str">
        <f>E3</f>
        <v>FY 2016</v>
      </c>
      <c r="F33" s="615" t="str">
        <f>F3</f>
        <v>FY 2017</v>
      </c>
      <c r="G33" s="615" t="str">
        <f>G3</f>
        <v>FY 2018</v>
      </c>
      <c r="H33" s="615"/>
      <c r="I33" s="614" t="s">
        <v>1138</v>
      </c>
      <c r="J33" s="614" t="s">
        <v>1139</v>
      </c>
      <c r="K33" s="615" t="s">
        <v>1140</v>
      </c>
      <c r="L33" s="616" t="s">
        <v>1141</v>
      </c>
      <c r="M33" s="616" t="s">
        <v>1142</v>
      </c>
      <c r="N33" s="616" t="s">
        <v>1223</v>
      </c>
      <c r="O33" s="717"/>
      <c r="P33" s="688"/>
      <c r="Q33" s="687"/>
      <c r="R33" s="687"/>
      <c r="S33" s="66"/>
      <c r="T33" s="66"/>
      <c r="U33" s="66"/>
      <c r="V33" s="66"/>
      <c r="W33" s="66"/>
      <c r="X33" s="66"/>
      <c r="Y33" s="66"/>
    </row>
    <row r="34" spans="1:25" s="3" customFormat="1">
      <c r="A34" s="815"/>
      <c r="B34" s="230" t="s">
        <v>1166</v>
      </c>
      <c r="C34" s="718"/>
      <c r="D34" s="718"/>
      <c r="E34" s="718"/>
      <c r="F34" s="718"/>
      <c r="G34" s="718"/>
      <c r="H34" s="718"/>
      <c r="I34" s="718">
        <v>46141801.780000001</v>
      </c>
      <c r="J34" s="718">
        <v>49790482.079999998</v>
      </c>
      <c r="K34" s="718">
        <v>53009157.850000001</v>
      </c>
      <c r="L34" s="719">
        <v>53865800.609999999</v>
      </c>
      <c r="M34" s="719">
        <v>52714447.130000003</v>
      </c>
      <c r="N34" s="719">
        <v>47502555.960000001</v>
      </c>
      <c r="O34" s="720"/>
      <c r="P34" s="721"/>
      <c r="Q34" s="722"/>
      <c r="R34" s="722"/>
      <c r="S34" s="66"/>
      <c r="T34" s="66"/>
      <c r="U34" s="66"/>
      <c r="V34" s="66"/>
      <c r="W34" s="66"/>
      <c r="X34" s="66"/>
      <c r="Y34" s="66"/>
    </row>
    <row r="35" spans="1:25" s="3" customFormat="1">
      <c r="A35" s="815"/>
      <c r="B35" s="230" t="s">
        <v>1167</v>
      </c>
      <c r="C35" s="333"/>
      <c r="D35" s="333"/>
      <c r="E35" s="333"/>
      <c r="F35" s="333"/>
      <c r="G35" s="333"/>
      <c r="H35" s="333"/>
      <c r="I35" s="333">
        <v>4532077.97</v>
      </c>
      <c r="J35" s="333">
        <v>4206599.4400000004</v>
      </c>
      <c r="K35" s="333">
        <v>4272472.38</v>
      </c>
      <c r="L35" s="723">
        <v>4541304.24</v>
      </c>
      <c r="M35" s="723">
        <v>5167145.42</v>
      </c>
      <c r="N35" s="723">
        <v>6146058.0800000001</v>
      </c>
      <c r="O35" s="720"/>
      <c r="P35" s="721"/>
      <c r="Q35" s="722"/>
      <c r="R35" s="722"/>
      <c r="S35" s="66"/>
      <c r="T35" s="66"/>
      <c r="U35" s="66"/>
      <c r="V35" s="66"/>
      <c r="W35" s="66"/>
      <c r="X35" s="66"/>
      <c r="Y35" s="66"/>
    </row>
    <row r="36" spans="1:25" s="3" customFormat="1" ht="14.5">
      <c r="A36" s="815"/>
      <c r="B36" s="553" t="s">
        <v>1218</v>
      </c>
      <c r="C36" s="82"/>
      <c r="D36" s="82"/>
      <c r="E36" s="82"/>
      <c r="F36" s="82"/>
      <c r="G36" s="82"/>
      <c r="H36" s="82"/>
      <c r="I36" s="82">
        <v>530984.82999999996</v>
      </c>
      <c r="J36" s="82">
        <v>597142.44000000006</v>
      </c>
      <c r="K36" s="82">
        <v>556301.28999999992</v>
      </c>
      <c r="L36" s="723">
        <v>430433.49</v>
      </c>
      <c r="M36" s="723">
        <v>552139.9</v>
      </c>
      <c r="N36" s="723">
        <v>511567.17</v>
      </c>
      <c r="O36" s="720"/>
      <c r="P36" s="721"/>
      <c r="Q36" s="722"/>
      <c r="R36" s="722"/>
      <c r="S36" s="66"/>
      <c r="T36" s="66"/>
      <c r="U36" s="66"/>
      <c r="V36" s="66"/>
      <c r="W36" s="66"/>
      <c r="X36" s="66"/>
      <c r="Y36" s="66"/>
    </row>
    <row r="37" spans="1:25" s="3" customFormat="1">
      <c r="A37" s="815"/>
      <c r="B37" s="724" t="s">
        <v>1168</v>
      </c>
      <c r="C37" s="725"/>
      <c r="D37" s="725"/>
      <c r="E37" s="725"/>
      <c r="F37" s="725"/>
      <c r="G37" s="725"/>
      <c r="H37" s="725"/>
      <c r="I37" s="725">
        <v>50055446.57</v>
      </c>
      <c r="J37" s="725">
        <v>45005355.57</v>
      </c>
      <c r="K37" s="725">
        <v>50107750.920000002</v>
      </c>
      <c r="L37" s="726">
        <v>55521996.640000001</v>
      </c>
      <c r="M37" s="726">
        <v>59205687.380000003</v>
      </c>
      <c r="N37" s="726">
        <v>63480437.210000001</v>
      </c>
      <c r="O37" s="720"/>
      <c r="P37" s="721"/>
      <c r="Q37" s="722"/>
      <c r="R37" s="722"/>
      <c r="S37" s="66"/>
      <c r="T37" s="66"/>
      <c r="U37" s="66"/>
      <c r="V37" s="66"/>
      <c r="W37" s="66"/>
      <c r="X37" s="66"/>
      <c r="Y37" s="66"/>
    </row>
    <row r="38" spans="1:25" s="3" customFormat="1" ht="13.5" thickBot="1">
      <c r="A38" s="815"/>
      <c r="B38" s="695" t="s">
        <v>547</v>
      </c>
      <c r="C38" s="727">
        <f t="shared" ref="C38:N38" si="17">SUM(C34:C37)</f>
        <v>0</v>
      </c>
      <c r="D38" s="727">
        <f t="shared" si="17"/>
        <v>0</v>
      </c>
      <c r="E38" s="727">
        <f t="shared" si="17"/>
        <v>0</v>
      </c>
      <c r="F38" s="727">
        <f t="shared" si="17"/>
        <v>0</v>
      </c>
      <c r="G38" s="727">
        <f t="shared" si="17"/>
        <v>0</v>
      </c>
      <c r="H38" s="727"/>
      <c r="I38" s="727">
        <f t="shared" si="17"/>
        <v>101260311.15000001</v>
      </c>
      <c r="J38" s="727">
        <f t="shared" ref="J38" si="18">SUM(J34:J37)</f>
        <v>99599579.530000001</v>
      </c>
      <c r="K38" s="727">
        <f t="shared" si="17"/>
        <v>107945682.44</v>
      </c>
      <c r="L38" s="728">
        <f t="shared" ref="L38" si="19">SUM(L34:L37)</f>
        <v>114359534.98</v>
      </c>
      <c r="M38" s="728">
        <f t="shared" si="17"/>
        <v>117639419.83000001</v>
      </c>
      <c r="N38" s="728">
        <f t="shared" si="17"/>
        <v>117640618.42</v>
      </c>
      <c r="O38" s="729"/>
      <c r="P38" s="730"/>
      <c r="Q38" s="722"/>
      <c r="R38" s="722"/>
      <c r="S38" s="66"/>
      <c r="T38" s="66"/>
      <c r="U38" s="66"/>
      <c r="V38" s="66"/>
      <c r="W38" s="66"/>
      <c r="X38" s="66"/>
      <c r="Y38" s="66"/>
    </row>
    <row r="39" spans="1:25" s="3" customFormat="1" ht="13.5" thickTop="1">
      <c r="A39" s="815"/>
      <c r="B39" s="230"/>
      <c r="C39" s="731"/>
      <c r="D39" s="731"/>
      <c r="E39" s="731"/>
      <c r="F39" s="731"/>
      <c r="G39" s="731"/>
      <c r="H39" s="731"/>
      <c r="I39" s="731"/>
      <c r="J39" s="731"/>
      <c r="K39" s="731"/>
      <c r="L39" s="719"/>
      <c r="M39" s="719"/>
      <c r="N39" s="719"/>
      <c r="O39" s="729"/>
      <c r="P39" s="688"/>
      <c r="Q39" s="687"/>
      <c r="R39" s="687"/>
      <c r="S39" s="66"/>
      <c r="T39" s="66"/>
      <c r="U39" s="66"/>
      <c r="V39" s="66"/>
      <c r="W39" s="66"/>
      <c r="X39" s="66"/>
      <c r="Y39" s="66"/>
    </row>
    <row r="40" spans="1:25" s="3" customFormat="1">
      <c r="A40" s="815"/>
      <c r="B40" s="233" t="s">
        <v>1169</v>
      </c>
      <c r="C40" s="732">
        <f>C38/C13*100</f>
        <v>0</v>
      </c>
      <c r="D40" s="732">
        <f>D38/D13*100</f>
        <v>0</v>
      </c>
      <c r="E40" s="732">
        <f>E38/E13*100</f>
        <v>0</v>
      </c>
      <c r="F40" s="732">
        <f>F38/F13*100</f>
        <v>0</v>
      </c>
      <c r="G40" s="732">
        <f>G38/G13*100</f>
        <v>0</v>
      </c>
      <c r="H40" s="732"/>
      <c r="I40" s="732">
        <f t="shared" ref="I40:N40" si="20">I38/I13*100</f>
        <v>0.45535122302893066</v>
      </c>
      <c r="J40" s="732">
        <f t="shared" si="20"/>
        <v>0.38865192284399508</v>
      </c>
      <c r="K40" s="732">
        <f t="shared" si="20"/>
        <v>0.36309755504646241</v>
      </c>
      <c r="L40" s="733">
        <f t="shared" si="20"/>
        <v>0.40325534803006885</v>
      </c>
      <c r="M40" s="733">
        <f t="shared" si="20"/>
        <v>0.39920522283406773</v>
      </c>
      <c r="N40" s="733">
        <f t="shared" si="20"/>
        <v>0.37604618356046227</v>
      </c>
      <c r="O40" s="734"/>
      <c r="P40" s="688"/>
      <c r="Q40" s="687"/>
      <c r="R40" s="687"/>
      <c r="S40" s="66"/>
      <c r="T40" s="66"/>
      <c r="U40" s="66"/>
      <c r="V40" s="66"/>
      <c r="W40" s="66"/>
      <c r="X40" s="66"/>
      <c r="Y40" s="66"/>
    </row>
    <row r="41" spans="1:25" s="3" customFormat="1">
      <c r="A41" s="815"/>
      <c r="B41" s="233"/>
      <c r="C41" s="230"/>
      <c r="D41" s="230"/>
      <c r="E41" s="230"/>
      <c r="F41" s="230"/>
      <c r="G41" s="230"/>
      <c r="H41" s="230"/>
      <c r="I41" s="230"/>
      <c r="J41" s="230"/>
      <c r="K41" s="230"/>
      <c r="L41" s="230"/>
      <c r="M41" s="230"/>
      <c r="N41" s="230"/>
      <c r="O41" s="230"/>
      <c r="P41" s="687"/>
      <c r="Q41" s="687"/>
      <c r="R41" s="687"/>
      <c r="S41" s="66"/>
      <c r="T41" s="66"/>
      <c r="U41" s="66"/>
      <c r="V41" s="66"/>
      <c r="W41" s="66"/>
      <c r="X41" s="66"/>
      <c r="Y41" s="66"/>
    </row>
    <row r="42" spans="1:25" s="3" customFormat="1" ht="12" customHeight="1">
      <c r="A42" s="815"/>
      <c r="B42" s="328" t="s">
        <v>246</v>
      </c>
      <c r="C42" s="710"/>
      <c r="D42" s="710"/>
      <c r="E42" s="710"/>
      <c r="F42" s="710"/>
      <c r="G42" s="710"/>
      <c r="H42" s="710"/>
      <c r="I42" s="710"/>
      <c r="J42" s="710"/>
      <c r="K42" s="710"/>
      <c r="L42" s="710"/>
      <c r="M42" s="710"/>
      <c r="N42" s="710"/>
      <c r="O42" s="710"/>
      <c r="P42" s="735"/>
      <c r="Q42" s="713"/>
      <c r="R42" s="713"/>
      <c r="S42" s="65"/>
      <c r="T42" s="65"/>
      <c r="U42" s="65"/>
      <c r="V42" s="65"/>
      <c r="W42" s="65"/>
      <c r="X42" s="65"/>
      <c r="Y42" s="65"/>
    </row>
    <row r="43" spans="1:25" s="3" customFormat="1" ht="12" customHeight="1">
      <c r="A43" s="815"/>
      <c r="B43" s="736" t="s">
        <v>1217</v>
      </c>
      <c r="C43" s="710"/>
      <c r="D43" s="710"/>
      <c r="E43" s="710"/>
      <c r="F43" s="710"/>
      <c r="G43" s="710"/>
      <c r="H43" s="710"/>
      <c r="I43" s="710"/>
      <c r="J43" s="710"/>
      <c r="K43" s="710"/>
      <c r="L43" s="710"/>
      <c r="M43" s="710"/>
      <c r="N43" s="710"/>
      <c r="O43" s="710"/>
      <c r="P43" s="735"/>
      <c r="Q43" s="713"/>
      <c r="R43" s="713"/>
      <c r="S43" s="65"/>
      <c r="T43" s="65"/>
      <c r="U43" s="65"/>
      <c r="V43" s="65"/>
      <c r="W43" s="65"/>
      <c r="X43" s="65"/>
      <c r="Y43" s="65"/>
    </row>
    <row r="44" spans="1:25" s="3" customFormat="1" ht="12" customHeight="1">
      <c r="A44" s="815"/>
      <c r="B44" s="737" t="s">
        <v>1170</v>
      </c>
      <c r="C44" s="710"/>
      <c r="D44" s="710"/>
      <c r="E44" s="710"/>
      <c r="F44" s="710"/>
      <c r="G44" s="710"/>
      <c r="H44" s="710"/>
      <c r="I44" s="710"/>
      <c r="J44" s="710"/>
      <c r="K44" s="710"/>
      <c r="L44" s="710"/>
      <c r="M44" s="710"/>
      <c r="N44" s="710"/>
      <c r="O44" s="710"/>
      <c r="P44" s="735"/>
      <c r="Q44" s="713"/>
      <c r="R44" s="713"/>
      <c r="S44" s="65"/>
      <c r="T44" s="65"/>
      <c r="U44" s="65"/>
      <c r="V44" s="65"/>
      <c r="W44" s="65"/>
      <c r="X44" s="65"/>
      <c r="Y44" s="65"/>
    </row>
    <row r="45" spans="1:25" s="3" customFormat="1" ht="12" customHeight="1">
      <c r="A45" s="815"/>
      <c r="B45" s="738" t="s">
        <v>1224</v>
      </c>
      <c r="C45" s="710"/>
      <c r="D45" s="710"/>
      <c r="E45" s="710"/>
      <c r="F45" s="710"/>
      <c r="G45" s="710"/>
      <c r="H45" s="710"/>
      <c r="I45" s="710"/>
      <c r="J45" s="710"/>
      <c r="K45" s="710"/>
      <c r="L45" s="710"/>
      <c r="M45" s="710"/>
      <c r="N45" s="710"/>
      <c r="O45" s="710"/>
      <c r="P45" s="735"/>
      <c r="Q45" s="713"/>
      <c r="R45" s="713"/>
      <c r="S45" s="65"/>
      <c r="T45" s="65"/>
      <c r="U45" s="65"/>
      <c r="V45" s="65"/>
      <c r="W45" s="65"/>
      <c r="X45" s="65"/>
      <c r="Y45" s="65"/>
    </row>
    <row r="46" spans="1:25" s="3" customFormat="1" ht="12" customHeight="1">
      <c r="A46" s="815"/>
      <c r="B46" s="328" t="s">
        <v>1171</v>
      </c>
      <c r="C46" s="739"/>
      <c r="D46" s="739"/>
      <c r="E46" s="739"/>
      <c r="F46" s="739"/>
      <c r="G46" s="739"/>
      <c r="H46" s="739"/>
      <c r="I46" s="739"/>
      <c r="J46" s="739"/>
      <c r="K46" s="740"/>
      <c r="L46" s="232"/>
      <c r="M46" s="232"/>
      <c r="N46" s="232"/>
      <c r="O46" s="232"/>
      <c r="P46" s="713"/>
      <c r="Q46" s="713"/>
      <c r="R46" s="713"/>
      <c r="S46" s="65"/>
      <c r="T46" s="65"/>
      <c r="U46" s="65"/>
      <c r="V46" s="65"/>
      <c r="W46" s="65"/>
      <c r="X46" s="65"/>
      <c r="Y46" s="65"/>
    </row>
    <row r="47" spans="1:25" s="3" customFormat="1" ht="12" customHeight="1">
      <c r="A47" s="815"/>
      <c r="B47" s="741" t="s">
        <v>1172</v>
      </c>
      <c r="C47" s="232"/>
      <c r="D47" s="232"/>
      <c r="E47" s="232"/>
      <c r="F47" s="232"/>
      <c r="G47" s="232"/>
      <c r="H47" s="232"/>
      <c r="I47" s="232"/>
      <c r="J47" s="232"/>
      <c r="K47" s="232"/>
      <c r="L47" s="232"/>
      <c r="M47" s="232"/>
      <c r="N47" s="232"/>
      <c r="O47" s="232"/>
      <c r="P47" s="713"/>
      <c r="Q47" s="713"/>
      <c r="R47" s="713"/>
      <c r="S47" s="65"/>
      <c r="T47" s="65"/>
      <c r="U47" s="65"/>
      <c r="V47" s="65"/>
      <c r="W47" s="65"/>
      <c r="X47" s="65"/>
      <c r="Y47" s="65"/>
    </row>
    <row r="48" spans="1:25" s="3" customFormat="1" ht="12" customHeight="1">
      <c r="A48" s="815"/>
      <c r="B48" s="742"/>
      <c r="C48" s="232"/>
      <c r="D48" s="232"/>
      <c r="E48" s="232"/>
      <c r="F48" s="232"/>
      <c r="G48" s="232"/>
      <c r="H48" s="232"/>
      <c r="I48" s="232"/>
      <c r="J48" s="232"/>
      <c r="K48" s="232"/>
      <c r="L48" s="232"/>
      <c r="M48" s="232"/>
      <c r="N48" s="232"/>
      <c r="O48" s="232"/>
      <c r="P48" s="713"/>
      <c r="Q48" s="713"/>
      <c r="R48" s="713"/>
      <c r="S48" s="65"/>
      <c r="T48" s="65"/>
      <c r="U48" s="65"/>
      <c r="V48" s="65"/>
      <c r="W48" s="65"/>
      <c r="X48" s="65"/>
      <c r="Y48" s="65"/>
    </row>
    <row r="49" spans="1:25" s="3" customFormat="1" ht="12" customHeight="1">
      <c r="A49" s="815"/>
      <c r="B49" s="232"/>
      <c r="C49" s="232"/>
      <c r="D49" s="232"/>
      <c r="E49" s="232"/>
      <c r="F49" s="232"/>
      <c r="G49" s="232"/>
      <c r="H49" s="232"/>
      <c r="I49" s="232"/>
      <c r="J49" s="232"/>
      <c r="K49" s="232"/>
      <c r="L49" s="232"/>
      <c r="M49" s="232"/>
      <c r="N49" s="232"/>
      <c r="O49" s="232"/>
      <c r="P49" s="713"/>
      <c r="Q49" s="713"/>
      <c r="R49" s="713"/>
      <c r="S49" s="65"/>
      <c r="T49" s="65"/>
      <c r="U49" s="65"/>
      <c r="V49" s="65"/>
      <c r="W49" s="65"/>
      <c r="X49" s="65"/>
      <c r="Y49" s="65"/>
    </row>
    <row r="50" spans="1:25">
      <c r="Q50" s="606"/>
      <c r="R50" s="606"/>
    </row>
    <row r="51" spans="1:25">
      <c r="B51" s="7" t="s">
        <v>1225</v>
      </c>
      <c r="Q51" s="542"/>
      <c r="R51" s="542"/>
    </row>
    <row r="52" spans="1:25" ht="15.5">
      <c r="B52" s="7" t="s">
        <v>1226</v>
      </c>
      <c r="Q52" s="604"/>
      <c r="R52" s="604"/>
    </row>
    <row r="53" spans="1:25">
      <c r="B53" s="7" t="s">
        <v>1227</v>
      </c>
      <c r="Q53" s="605"/>
      <c r="R53" s="605"/>
    </row>
    <row r="54" spans="1:25">
      <c r="Q54" s="605"/>
      <c r="R54" s="605"/>
    </row>
    <row r="55" spans="1:25">
      <c r="Q55" s="605"/>
      <c r="R55" s="605"/>
    </row>
    <row r="56" spans="1:25">
      <c r="Q56" s="605"/>
      <c r="R56" s="605"/>
    </row>
    <row r="57" spans="1:25">
      <c r="Q57" s="605"/>
      <c r="R57" s="605"/>
    </row>
    <row r="58" spans="1:25">
      <c r="Q58" s="605"/>
      <c r="R58" s="605"/>
    </row>
    <row r="59" spans="1:25">
      <c r="Q59" s="605"/>
      <c r="R59" s="605"/>
    </row>
    <row r="60" spans="1:25">
      <c r="Q60" s="605"/>
      <c r="R60" s="605"/>
    </row>
    <row r="61" spans="1:25">
      <c r="Q61" s="605"/>
      <c r="R61" s="605"/>
    </row>
    <row r="62" spans="1:25">
      <c r="Q62" s="605"/>
      <c r="R62" s="605"/>
    </row>
    <row r="63" spans="1:25">
      <c r="Q63" s="605"/>
      <c r="R63" s="605"/>
    </row>
    <row r="64" spans="1:25">
      <c r="Q64" s="605"/>
      <c r="R64" s="605"/>
    </row>
    <row r="65" spans="17:18">
      <c r="Q65" s="605"/>
      <c r="R65" s="605"/>
    </row>
    <row r="66" spans="17:18">
      <c r="Q66" s="605"/>
      <c r="R66" s="605"/>
    </row>
    <row r="67" spans="17:18">
      <c r="Q67" s="605"/>
      <c r="R67" s="605"/>
    </row>
    <row r="68" spans="17:18">
      <c r="Q68" s="605"/>
      <c r="R68" s="605"/>
    </row>
    <row r="69" spans="17:18">
      <c r="Q69" s="605"/>
      <c r="R69" s="605"/>
    </row>
    <row r="70" spans="17:18">
      <c r="Q70" s="605"/>
      <c r="R70" s="605"/>
    </row>
    <row r="71" spans="17:18">
      <c r="Q71" s="605"/>
      <c r="R71" s="605"/>
    </row>
    <row r="72" spans="17:18">
      <c r="Q72" s="605"/>
      <c r="R72" s="605"/>
    </row>
    <row r="73" spans="17:18">
      <c r="Q73" s="605"/>
      <c r="R73" s="605"/>
    </row>
    <row r="74" spans="17:18">
      <c r="Q74" s="605"/>
      <c r="R74" s="605"/>
    </row>
    <row r="75" spans="17:18">
      <c r="Q75" s="605"/>
      <c r="R75" s="605"/>
    </row>
    <row r="76" spans="17:18">
      <c r="Q76" s="605"/>
      <c r="R76" s="605"/>
    </row>
    <row r="77" spans="17:18">
      <c r="Q77" s="605"/>
      <c r="R77" s="605"/>
    </row>
    <row r="78" spans="17:18">
      <c r="Q78" s="605"/>
      <c r="R78" s="605"/>
    </row>
    <row r="79" spans="17:18">
      <c r="Q79" s="605"/>
      <c r="R79" s="605"/>
    </row>
    <row r="80" spans="17:18">
      <c r="Q80" s="605"/>
      <c r="R80" s="605"/>
    </row>
    <row r="81" spans="17:18">
      <c r="Q81" s="605"/>
      <c r="R81" s="605"/>
    </row>
    <row r="82" spans="17:18">
      <c r="Q82" s="605"/>
      <c r="R82" s="605"/>
    </row>
    <row r="83" spans="17:18">
      <c r="Q83" s="605"/>
      <c r="R83" s="605"/>
    </row>
    <row r="84" spans="17:18">
      <c r="Q84" s="605"/>
      <c r="R84" s="605"/>
    </row>
    <row r="85" spans="17:18">
      <c r="Q85" s="605"/>
      <c r="R85" s="605"/>
    </row>
    <row r="86" spans="17:18">
      <c r="Q86" s="605"/>
      <c r="R86" s="605"/>
    </row>
    <row r="87" spans="17:18">
      <c r="Q87" s="605"/>
      <c r="R87" s="605"/>
    </row>
    <row r="88" spans="17:18">
      <c r="Q88" s="605"/>
      <c r="R88" s="605"/>
    </row>
    <row r="89" spans="17:18">
      <c r="Q89" s="605"/>
      <c r="R89" s="605"/>
    </row>
    <row r="90" spans="17:18">
      <c r="Q90" s="605"/>
      <c r="R90" s="605"/>
    </row>
    <row r="91" spans="17:18">
      <c r="Q91" s="605"/>
      <c r="R91" s="605"/>
    </row>
    <row r="92" spans="17:18">
      <c r="Q92" s="605"/>
      <c r="R92" s="605"/>
    </row>
    <row r="93" spans="17:18">
      <c r="Q93" s="605"/>
      <c r="R93" s="605"/>
    </row>
    <row r="94" spans="17:18">
      <c r="Q94" s="605"/>
      <c r="R94" s="605"/>
    </row>
    <row r="95" spans="17:18">
      <c r="Q95" s="605"/>
      <c r="R95" s="605"/>
    </row>
    <row r="96" spans="17:18">
      <c r="Q96" s="605"/>
      <c r="R96" s="605"/>
    </row>
    <row r="97" spans="17:18">
      <c r="Q97" s="605"/>
      <c r="R97" s="605"/>
    </row>
    <row r="98" spans="17:18">
      <c r="Q98" s="605"/>
      <c r="R98" s="605"/>
    </row>
    <row r="99" spans="17:18">
      <c r="Q99" s="605"/>
      <c r="R99" s="605"/>
    </row>
    <row r="100" spans="17:18">
      <c r="Q100" s="605"/>
      <c r="R100" s="605"/>
    </row>
    <row r="101" spans="17:18">
      <c r="Q101" s="605"/>
      <c r="R101" s="605"/>
    </row>
    <row r="102" spans="17:18">
      <c r="Q102" s="605"/>
      <c r="R102" s="605"/>
    </row>
    <row r="103" spans="17:18">
      <c r="Q103" s="605"/>
      <c r="R103" s="605"/>
    </row>
    <row r="104" spans="17:18">
      <c r="Q104" s="605"/>
      <c r="R104" s="605"/>
    </row>
    <row r="105" spans="17:18">
      <c r="Q105" s="605"/>
      <c r="R105" s="605"/>
    </row>
    <row r="106" spans="17:18">
      <c r="Q106" s="605"/>
      <c r="R106" s="605"/>
    </row>
    <row r="107" spans="17:18">
      <c r="Q107" s="605"/>
      <c r="R107" s="605"/>
    </row>
    <row r="108" spans="17:18">
      <c r="Q108" s="605"/>
      <c r="R108" s="605"/>
    </row>
    <row r="109" spans="17:18">
      <c r="Q109" s="605"/>
      <c r="R109" s="605"/>
    </row>
    <row r="110" spans="17:18">
      <c r="Q110" s="605"/>
      <c r="R110" s="605"/>
    </row>
    <row r="111" spans="17:18">
      <c r="Q111" s="605"/>
      <c r="R111" s="605"/>
    </row>
  </sheetData>
  <mergeCells count="5">
    <mergeCell ref="B21:P21"/>
    <mergeCell ref="B22:P22"/>
    <mergeCell ref="B23:P23"/>
    <mergeCell ref="B24:P24"/>
    <mergeCell ref="B25:P26"/>
  </mergeCells>
  <hyperlinks>
    <hyperlink ref="A1" location="TOC!A1" display="Back" xr:uid="{40603D0C-A8E0-4D5D-A060-B4B96AEB3304}"/>
  </hyperlinks>
  <pageMargins left="0.5" right="0.5" top="0.4" bottom="0.8" header="0.25" footer="0.35"/>
  <pageSetup scale="77" orientation="landscape" cellComments="asDisplayed" r:id="rId1"/>
  <headerFooter scaleWithDoc="0">
    <oddHeader>&amp;R&amp;P</oddHeader>
    <oddFooter>&amp;R&amp;G&amp;L© 2025 Virginia Department of Taxation, All Rights Reserved</oddFooter>
  </headerFooter>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D7C10-30EC-41CA-BEDF-3301776FCB92}">
  <sheetPr codeName="Sheet7"/>
  <dimension ref="A1:O185"/>
  <sheetViews>
    <sheetView zoomScale="105" zoomScaleNormal="105" workbookViewId="0"/>
  </sheetViews>
  <sheetFormatPr defaultRowHeight="13"/>
  <cols>
    <col min="1" max="1" width="4.19921875" customWidth="1"/>
    <col min="2" max="2" width="14.69921875" customWidth="1"/>
    <col min="3" max="3" width="16.69921875" style="4" customWidth="1"/>
    <col min="4" max="4" width="14.69921875" style="4" customWidth="1"/>
    <col min="5" max="5" width="0.59765625" style="4" customWidth="1"/>
    <col min="6" max="6" width="15.69921875" style="4" customWidth="1"/>
    <col min="7" max="7" width="13.69921875" style="4" customWidth="1"/>
    <col min="8" max="8" width="0.59765625" style="4" customWidth="1"/>
    <col min="9" max="9" width="14.69921875" style="4" customWidth="1"/>
    <col min="10" max="10" width="12.69921875" style="4" customWidth="1"/>
    <col min="11" max="11" width="0.59765625" style="4" customWidth="1"/>
    <col min="12" max="12" width="15.69921875" style="4" customWidth="1"/>
    <col min="13" max="13" width="13.69921875" style="9" customWidth="1"/>
    <col min="14" max="14" width="1.69921875" customWidth="1"/>
    <col min="15" max="15" width="5.19921875" customWidth="1"/>
  </cols>
  <sheetData>
    <row r="1" spans="1:15" ht="15.5">
      <c r="A1" s="812" t="s">
        <v>42</v>
      </c>
      <c r="B1" s="63" t="s">
        <v>199</v>
      </c>
      <c r="C1" s="100"/>
      <c r="D1" s="100"/>
      <c r="E1" s="100"/>
      <c r="F1" s="100"/>
      <c r="G1" s="100"/>
      <c r="H1" s="100"/>
      <c r="I1" s="100"/>
      <c r="J1" s="100"/>
      <c r="K1" s="100"/>
      <c r="L1" s="100"/>
      <c r="M1" s="174"/>
      <c r="O1" s="8"/>
    </row>
    <row r="2" spans="1:15">
      <c r="B2" s="64" t="s">
        <v>1440</v>
      </c>
      <c r="C2" s="100"/>
      <c r="D2" s="100"/>
      <c r="E2" s="100"/>
      <c r="F2" s="100"/>
      <c r="G2" s="100"/>
      <c r="H2" s="100"/>
      <c r="I2" s="100"/>
      <c r="J2" s="100"/>
      <c r="K2" s="100"/>
      <c r="L2" s="100"/>
      <c r="M2" s="174"/>
    </row>
    <row r="3" spans="1:15" ht="3" customHeight="1" thickBot="1">
      <c r="B3" s="64"/>
      <c r="C3" s="100"/>
      <c r="D3" s="100"/>
      <c r="E3" s="100"/>
      <c r="F3" s="100"/>
      <c r="G3" s="100"/>
      <c r="H3" s="100"/>
      <c r="I3" s="100"/>
      <c r="J3" s="100"/>
      <c r="K3" s="100"/>
      <c r="L3" s="100"/>
      <c r="M3" s="174"/>
    </row>
    <row r="4" spans="1:15">
      <c r="B4" s="175"/>
      <c r="C4" s="176" t="s">
        <v>193</v>
      </c>
      <c r="D4" s="176"/>
      <c r="E4" s="175"/>
      <c r="F4" s="176" t="s">
        <v>194</v>
      </c>
      <c r="G4" s="176"/>
      <c r="H4" s="175"/>
      <c r="I4" s="176" t="s">
        <v>195</v>
      </c>
      <c r="J4" s="176"/>
      <c r="K4" s="175"/>
      <c r="L4" s="176" t="s">
        <v>196</v>
      </c>
      <c r="M4" s="176"/>
    </row>
    <row r="5" spans="1:15">
      <c r="B5" s="177" t="s">
        <v>125</v>
      </c>
      <c r="C5" s="178" t="s">
        <v>197</v>
      </c>
      <c r="D5" s="178" t="s">
        <v>198</v>
      </c>
      <c r="E5" s="179"/>
      <c r="F5" s="178" t="s">
        <v>197</v>
      </c>
      <c r="G5" s="178" t="s">
        <v>198</v>
      </c>
      <c r="H5" s="179"/>
      <c r="I5" s="180" t="s">
        <v>197</v>
      </c>
      <c r="J5" s="180" t="s">
        <v>198</v>
      </c>
      <c r="K5" s="179"/>
      <c r="L5" s="181" t="s">
        <v>197</v>
      </c>
      <c r="M5" s="178" t="s">
        <v>198</v>
      </c>
    </row>
    <row r="6" spans="1:15" ht="21" customHeight="1">
      <c r="B6" s="66" t="s">
        <v>179</v>
      </c>
      <c r="C6" s="182">
        <v>2372226081.4299998</v>
      </c>
      <c r="D6" s="182">
        <v>123906729</v>
      </c>
      <c r="E6" s="182"/>
      <c r="F6" s="182">
        <v>17428994.09</v>
      </c>
      <c r="G6" s="182">
        <v>784305</v>
      </c>
      <c r="H6" s="182"/>
      <c r="I6" s="182">
        <v>0</v>
      </c>
      <c r="J6" s="182">
        <v>0</v>
      </c>
      <c r="K6" s="182"/>
      <c r="L6" s="182">
        <v>718419996</v>
      </c>
      <c r="M6" s="182">
        <v>8192806.2693999996</v>
      </c>
    </row>
    <row r="7" spans="1:15">
      <c r="B7" s="66" t="s">
        <v>180</v>
      </c>
      <c r="C7" s="182">
        <v>154598820</v>
      </c>
      <c r="D7" s="182">
        <v>3521607.04</v>
      </c>
      <c r="E7" s="182"/>
      <c r="F7" s="182">
        <v>30980423</v>
      </c>
      <c r="G7" s="182">
        <v>798389.79</v>
      </c>
      <c r="H7" s="182"/>
      <c r="I7" s="182">
        <v>0</v>
      </c>
      <c r="J7" s="182">
        <v>0</v>
      </c>
      <c r="K7" s="182"/>
      <c r="L7" s="182">
        <v>16627326</v>
      </c>
      <c r="M7" s="182">
        <v>194539.71419999999</v>
      </c>
    </row>
    <row r="8" spans="1:15">
      <c r="B8" s="66" t="s">
        <v>126</v>
      </c>
      <c r="C8" s="182">
        <v>45244029</v>
      </c>
      <c r="D8" s="182">
        <v>2349714.91</v>
      </c>
      <c r="E8" s="182"/>
      <c r="F8" s="182">
        <v>8421710</v>
      </c>
      <c r="G8" s="182">
        <v>357922.64</v>
      </c>
      <c r="H8" s="182"/>
      <c r="I8" s="182">
        <v>0</v>
      </c>
      <c r="J8" s="182">
        <v>0</v>
      </c>
      <c r="K8" s="182"/>
      <c r="L8" s="182">
        <v>20643684</v>
      </c>
      <c r="M8" s="182">
        <v>262621.6116</v>
      </c>
    </row>
    <row r="9" spans="1:15">
      <c r="B9" s="66" t="s">
        <v>127</v>
      </c>
      <c r="C9" s="182">
        <v>786311363</v>
      </c>
      <c r="D9" s="182">
        <v>17526881.5</v>
      </c>
      <c r="E9" s="182"/>
      <c r="F9" s="182">
        <v>19748942</v>
      </c>
      <c r="G9" s="182">
        <v>431609.62</v>
      </c>
      <c r="H9" s="182"/>
      <c r="I9" s="182">
        <v>0</v>
      </c>
      <c r="J9" s="182">
        <v>0</v>
      </c>
      <c r="K9" s="182"/>
      <c r="L9" s="182">
        <v>199027666</v>
      </c>
      <c r="M9" s="182">
        <v>1961547.6176</v>
      </c>
    </row>
    <row r="10" spans="1:15">
      <c r="B10" s="66" t="s">
        <v>181</v>
      </c>
      <c r="C10" s="182">
        <v>3174056482</v>
      </c>
      <c r="D10" s="182">
        <v>129204903</v>
      </c>
      <c r="E10" s="182"/>
      <c r="F10" s="182">
        <v>120717840</v>
      </c>
      <c r="G10" s="182">
        <v>3891622</v>
      </c>
      <c r="H10" s="182"/>
      <c r="I10" s="182">
        <v>0</v>
      </c>
      <c r="J10" s="182">
        <v>0</v>
      </c>
      <c r="K10" s="182"/>
      <c r="L10" s="182">
        <v>1375464410</v>
      </c>
      <c r="M10" s="182">
        <v>13897984.951099999</v>
      </c>
    </row>
    <row r="11" spans="1:15" ht="24" customHeight="1">
      <c r="B11" s="66" t="s">
        <v>128</v>
      </c>
      <c r="C11" s="182">
        <v>192493936</v>
      </c>
      <c r="D11" s="182">
        <v>5646834</v>
      </c>
      <c r="E11" s="182"/>
      <c r="F11" s="182">
        <v>7619805</v>
      </c>
      <c r="G11" s="182">
        <v>152396</v>
      </c>
      <c r="H11" s="182"/>
      <c r="I11" s="182">
        <v>0</v>
      </c>
      <c r="J11" s="182">
        <v>0</v>
      </c>
      <c r="K11" s="182"/>
      <c r="L11" s="182">
        <v>32899426</v>
      </c>
      <c r="M11" s="182">
        <v>394793.11200000002</v>
      </c>
    </row>
    <row r="12" spans="1:15">
      <c r="B12" s="66" t="s">
        <v>129</v>
      </c>
      <c r="C12" s="182">
        <v>67212470</v>
      </c>
      <c r="D12" s="182">
        <v>2087789.82</v>
      </c>
      <c r="E12" s="182"/>
      <c r="F12" s="182">
        <v>163342540</v>
      </c>
      <c r="G12" s="182">
        <v>4240429.24</v>
      </c>
      <c r="H12" s="182"/>
      <c r="I12" s="182">
        <v>0</v>
      </c>
      <c r="J12" s="182">
        <v>0</v>
      </c>
      <c r="K12" s="182"/>
      <c r="L12" s="182">
        <v>181074529</v>
      </c>
      <c r="M12" s="182">
        <v>1539133.4964999999</v>
      </c>
    </row>
    <row r="13" spans="1:15">
      <c r="B13" s="66" t="s">
        <v>130</v>
      </c>
      <c r="C13" s="182">
        <v>493017192</v>
      </c>
      <c r="D13" s="182">
        <v>9360182.0600000005</v>
      </c>
      <c r="E13" s="182"/>
      <c r="F13" s="182">
        <v>115093058</v>
      </c>
      <c r="G13" s="182">
        <v>863198.02</v>
      </c>
      <c r="H13" s="182"/>
      <c r="I13" s="182">
        <v>0</v>
      </c>
      <c r="J13" s="182">
        <v>0</v>
      </c>
      <c r="K13" s="182"/>
      <c r="L13" s="182">
        <v>73419708</v>
      </c>
      <c r="M13" s="182">
        <v>616725.54720000003</v>
      </c>
    </row>
    <row r="14" spans="1:15">
      <c r="B14" s="66" t="s">
        <v>131</v>
      </c>
      <c r="C14" s="182">
        <v>48125139</v>
      </c>
      <c r="D14" s="182">
        <v>2948832.51</v>
      </c>
      <c r="E14" s="182"/>
      <c r="F14" s="182">
        <v>10227356</v>
      </c>
      <c r="G14" s="182">
        <v>511367.8</v>
      </c>
      <c r="H14" s="182"/>
      <c r="I14" s="182">
        <v>0</v>
      </c>
      <c r="J14" s="182">
        <v>0</v>
      </c>
      <c r="K14" s="182"/>
      <c r="L14" s="182">
        <v>33499098</v>
      </c>
      <c r="M14" s="182">
        <v>309748.42</v>
      </c>
    </row>
    <row r="15" spans="1:15">
      <c r="B15" s="66" t="s">
        <v>132</v>
      </c>
      <c r="C15" s="182">
        <v>470543131</v>
      </c>
      <c r="D15" s="182">
        <v>17291743.43</v>
      </c>
      <c r="E15" s="182"/>
      <c r="F15" s="182">
        <v>1200038</v>
      </c>
      <c r="G15" s="182">
        <v>49561.56</v>
      </c>
      <c r="H15" s="182"/>
      <c r="I15" s="182">
        <v>0</v>
      </c>
      <c r="J15" s="182">
        <v>0</v>
      </c>
      <c r="K15" s="182"/>
      <c r="L15" s="182">
        <v>238601287</v>
      </c>
      <c r="M15" s="182">
        <v>2505306.5252999999</v>
      </c>
    </row>
    <row r="16" spans="1:15" ht="24" customHeight="1">
      <c r="B16" s="66" t="s">
        <v>133</v>
      </c>
      <c r="C16" s="182">
        <v>188483510</v>
      </c>
      <c r="D16" s="182">
        <v>7413866</v>
      </c>
      <c r="E16" s="182"/>
      <c r="F16" s="182">
        <v>0</v>
      </c>
      <c r="G16" s="182">
        <v>0</v>
      </c>
      <c r="H16" s="182"/>
      <c r="I16" s="182">
        <v>0</v>
      </c>
      <c r="J16" s="182">
        <v>0</v>
      </c>
      <c r="K16" s="182"/>
      <c r="L16" s="182">
        <v>34348689</v>
      </c>
      <c r="M16" s="182">
        <v>415619.13689999998</v>
      </c>
    </row>
    <row r="17" spans="2:13">
      <c r="B17" s="66" t="s">
        <v>71</v>
      </c>
      <c r="C17" s="182">
        <v>83914349</v>
      </c>
      <c r="D17" s="182">
        <v>4503669.47</v>
      </c>
      <c r="E17" s="182"/>
      <c r="F17" s="182">
        <v>1782940</v>
      </c>
      <c r="G17" s="182">
        <v>35658.800000000003</v>
      </c>
      <c r="H17" s="182"/>
      <c r="I17" s="182">
        <v>0</v>
      </c>
      <c r="J17" s="182">
        <v>0</v>
      </c>
      <c r="K17" s="182"/>
      <c r="L17" s="182">
        <v>7781191</v>
      </c>
      <c r="M17" s="182">
        <v>80290.792799999996</v>
      </c>
    </row>
    <row r="18" spans="2:13">
      <c r="B18" s="66" t="s">
        <v>134</v>
      </c>
      <c r="C18" s="182">
        <v>444865123</v>
      </c>
      <c r="D18" s="182">
        <v>15668614.050000001</v>
      </c>
      <c r="E18" s="182"/>
      <c r="F18" s="182">
        <v>6344937</v>
      </c>
      <c r="G18" s="182">
        <v>98299.26</v>
      </c>
      <c r="H18" s="182"/>
      <c r="I18" s="182">
        <v>0</v>
      </c>
      <c r="J18" s="182">
        <v>0</v>
      </c>
      <c r="K18" s="182"/>
      <c r="L18" s="182">
        <v>95698946</v>
      </c>
      <c r="M18" s="182">
        <v>851804.60400000005</v>
      </c>
    </row>
    <row r="19" spans="2:13">
      <c r="B19" s="66" t="s">
        <v>135</v>
      </c>
      <c r="C19" s="182">
        <v>92586808</v>
      </c>
      <c r="D19" s="182">
        <v>2079783.94</v>
      </c>
      <c r="E19" s="182"/>
      <c r="F19" s="182">
        <v>47833633</v>
      </c>
      <c r="G19" s="182">
        <v>765338.13</v>
      </c>
      <c r="H19" s="182"/>
      <c r="I19" s="182">
        <v>0</v>
      </c>
      <c r="J19" s="182">
        <v>0</v>
      </c>
      <c r="K19" s="182"/>
      <c r="L19" s="182">
        <v>30637689</v>
      </c>
      <c r="M19" s="182">
        <v>282923</v>
      </c>
    </row>
    <row r="20" spans="2:13">
      <c r="B20" s="66" t="s">
        <v>136</v>
      </c>
      <c r="C20" s="182">
        <v>1279869935</v>
      </c>
      <c r="D20" s="182">
        <v>56613975.869999997</v>
      </c>
      <c r="E20" s="182"/>
      <c r="F20" s="182">
        <v>94150538</v>
      </c>
      <c r="G20" s="182">
        <v>3171353.68</v>
      </c>
      <c r="H20" s="182"/>
      <c r="I20" s="182">
        <v>0</v>
      </c>
      <c r="J20" s="182">
        <v>0</v>
      </c>
      <c r="K20" s="182"/>
      <c r="L20" s="182">
        <v>453134790</v>
      </c>
      <c r="M20" s="182">
        <v>5228007.3131999997</v>
      </c>
    </row>
    <row r="21" spans="2:13" s="3" customFormat="1" ht="24" customHeight="1">
      <c r="B21" s="66" t="s">
        <v>182</v>
      </c>
      <c r="C21" s="182">
        <v>594015228</v>
      </c>
      <c r="D21" s="182">
        <v>17074751</v>
      </c>
      <c r="E21" s="182"/>
      <c r="F21" s="182">
        <v>148900959</v>
      </c>
      <c r="G21" s="182">
        <v>3156428.65</v>
      </c>
      <c r="H21" s="182"/>
      <c r="I21" s="182">
        <v>0</v>
      </c>
      <c r="J21" s="182">
        <v>0</v>
      </c>
      <c r="K21" s="182"/>
      <c r="L21" s="182">
        <v>77844986</v>
      </c>
      <c r="M21" s="182">
        <v>786618.59620000003</v>
      </c>
    </row>
    <row r="22" spans="2:13" s="3" customFormat="1">
      <c r="B22" s="66" t="s">
        <v>137</v>
      </c>
      <c r="C22" s="182">
        <v>191154846</v>
      </c>
      <c r="D22" s="182">
        <v>6685237.8200000003</v>
      </c>
      <c r="E22" s="182"/>
      <c r="F22" s="182">
        <v>333549879</v>
      </c>
      <c r="G22" s="182">
        <v>10340046.33</v>
      </c>
      <c r="H22" s="182"/>
      <c r="I22" s="182">
        <v>0</v>
      </c>
      <c r="J22" s="182">
        <v>0</v>
      </c>
      <c r="K22" s="182"/>
      <c r="L22" s="182">
        <v>444478957</v>
      </c>
      <c r="M22" s="182">
        <v>5229554.5201000003</v>
      </c>
    </row>
    <row r="23" spans="2:13" s="3" customFormat="1">
      <c r="B23" s="66" t="s">
        <v>138</v>
      </c>
      <c r="C23" s="182">
        <v>45304562.460000001</v>
      </c>
      <c r="D23" s="182">
        <v>1997126.02</v>
      </c>
      <c r="E23" s="182"/>
      <c r="F23" s="182">
        <v>105803</v>
      </c>
      <c r="G23" s="182">
        <v>4496.63</v>
      </c>
      <c r="H23" s="182"/>
      <c r="I23" s="182">
        <v>0</v>
      </c>
      <c r="J23" s="182">
        <v>0</v>
      </c>
      <c r="K23" s="182"/>
      <c r="L23" s="182">
        <v>22470127</v>
      </c>
      <c r="M23" s="182">
        <v>208521.57019999999</v>
      </c>
    </row>
    <row r="24" spans="2:13" s="3" customFormat="1">
      <c r="B24" s="66" t="s">
        <v>139</v>
      </c>
      <c r="C24" s="182">
        <v>734808401</v>
      </c>
      <c r="D24" s="182">
        <v>28025217</v>
      </c>
      <c r="E24" s="182"/>
      <c r="F24" s="182">
        <v>162667989</v>
      </c>
      <c r="G24" s="182">
        <v>4944772</v>
      </c>
      <c r="H24" s="182"/>
      <c r="I24" s="182">
        <v>0</v>
      </c>
      <c r="J24" s="182">
        <v>0</v>
      </c>
      <c r="K24" s="182"/>
      <c r="L24" s="182">
        <v>324426790</v>
      </c>
      <c r="M24" s="182">
        <v>2899094.7686000001</v>
      </c>
    </row>
    <row r="25" spans="2:13" s="3" customFormat="1">
      <c r="B25" s="66" t="s">
        <v>183</v>
      </c>
      <c r="C25" s="182">
        <v>550435580</v>
      </c>
      <c r="D25" s="182">
        <v>24903401.289999999</v>
      </c>
      <c r="E25" s="182"/>
      <c r="F25" s="182">
        <v>744659370</v>
      </c>
      <c r="G25" s="182">
        <v>5760172.3799999999</v>
      </c>
      <c r="H25" s="182"/>
      <c r="I25" s="182">
        <v>0</v>
      </c>
      <c r="J25" s="182">
        <v>0</v>
      </c>
      <c r="K25" s="182"/>
      <c r="L25" s="182">
        <v>132562800</v>
      </c>
      <c r="M25" s="182">
        <v>1418421.96</v>
      </c>
    </row>
    <row r="26" spans="2:13" s="3" customFormat="1" ht="24" customHeight="1">
      <c r="B26" s="66" t="s">
        <v>184</v>
      </c>
      <c r="C26" s="182">
        <v>228559421</v>
      </c>
      <c r="D26" s="182">
        <v>6637145.7400000002</v>
      </c>
      <c r="E26" s="182"/>
      <c r="F26" s="182">
        <v>841703</v>
      </c>
      <c r="G26" s="182">
        <v>29459.62</v>
      </c>
      <c r="H26" s="182"/>
      <c r="I26" s="182">
        <v>0</v>
      </c>
      <c r="J26" s="182">
        <v>0</v>
      </c>
      <c r="K26" s="182"/>
      <c r="L26" s="182">
        <v>34091422</v>
      </c>
      <c r="M26" s="182">
        <v>487507.3346</v>
      </c>
    </row>
    <row r="27" spans="2:13" s="3" customFormat="1">
      <c r="B27" s="66" t="s">
        <v>185</v>
      </c>
      <c r="C27" s="182">
        <v>150058855</v>
      </c>
      <c r="D27" s="182">
        <v>3451625.03</v>
      </c>
      <c r="E27" s="182"/>
      <c r="F27" s="182">
        <v>9197527</v>
      </c>
      <c r="G27" s="182">
        <v>170153.33</v>
      </c>
      <c r="H27" s="182"/>
      <c r="I27" s="182">
        <v>0</v>
      </c>
      <c r="J27" s="182">
        <v>0</v>
      </c>
      <c r="K27" s="182"/>
      <c r="L27" s="182">
        <v>34601696</v>
      </c>
      <c r="M27" s="182">
        <v>347968.49209999997</v>
      </c>
    </row>
    <row r="28" spans="2:13" s="3" customFormat="1">
      <c r="B28" s="66" t="s">
        <v>140</v>
      </c>
      <c r="C28" s="182">
        <v>1851219657</v>
      </c>
      <c r="D28" s="182">
        <v>78923788.656399995</v>
      </c>
      <c r="E28" s="182"/>
      <c r="F28" s="182">
        <v>642433387</v>
      </c>
      <c r="G28" s="182">
        <v>24091252.012499999</v>
      </c>
      <c r="H28" s="182"/>
      <c r="I28" s="182">
        <v>0</v>
      </c>
      <c r="J28" s="182">
        <v>0</v>
      </c>
      <c r="K28" s="182"/>
      <c r="L28" s="182">
        <v>152878310</v>
      </c>
      <c r="M28" s="182">
        <v>1916984.7596</v>
      </c>
    </row>
    <row r="29" spans="2:13" s="3" customFormat="1">
      <c r="B29" s="66" t="s">
        <v>141</v>
      </c>
      <c r="C29" s="182">
        <v>2456204663</v>
      </c>
      <c r="D29" s="182">
        <v>98932051.629999995</v>
      </c>
      <c r="E29" s="182"/>
      <c r="F29" s="182">
        <v>170940695</v>
      </c>
      <c r="G29" s="182">
        <v>7264979.7300000004</v>
      </c>
      <c r="H29" s="182"/>
      <c r="I29" s="182">
        <v>0</v>
      </c>
      <c r="J29" s="182">
        <v>0</v>
      </c>
      <c r="K29" s="182"/>
      <c r="L29" s="182">
        <v>1084914943</v>
      </c>
      <c r="M29" s="182">
        <v>13369782.1939</v>
      </c>
    </row>
    <row r="30" spans="2:13" s="3" customFormat="1">
      <c r="B30" s="66" t="s">
        <v>142</v>
      </c>
      <c r="C30" s="182">
        <v>37853976</v>
      </c>
      <c r="D30" s="182">
        <v>721314.83</v>
      </c>
      <c r="E30" s="182"/>
      <c r="F30" s="182">
        <v>3960794</v>
      </c>
      <c r="G30" s="182">
        <v>84831.69</v>
      </c>
      <c r="H30" s="182"/>
      <c r="I30" s="182">
        <v>0</v>
      </c>
      <c r="J30" s="182">
        <v>0</v>
      </c>
      <c r="K30" s="182"/>
      <c r="L30" s="182">
        <v>37719458</v>
      </c>
      <c r="M30" s="182">
        <v>339475.12199999997</v>
      </c>
    </row>
    <row r="31" spans="2:13" s="3" customFormat="1" ht="24" customHeight="1">
      <c r="B31" s="66" t="s">
        <v>143</v>
      </c>
      <c r="C31" s="182">
        <v>257012084</v>
      </c>
      <c r="D31" s="182">
        <v>12687471.470000001</v>
      </c>
      <c r="E31" s="182"/>
      <c r="F31" s="182">
        <v>53786279</v>
      </c>
      <c r="G31" s="182">
        <v>2059807.64</v>
      </c>
      <c r="H31" s="182"/>
      <c r="I31" s="182">
        <v>0</v>
      </c>
      <c r="J31" s="182">
        <v>0</v>
      </c>
      <c r="K31" s="182"/>
      <c r="L31" s="182">
        <v>243595870</v>
      </c>
      <c r="M31" s="182">
        <v>3093667.5490000001</v>
      </c>
    </row>
    <row r="32" spans="2:13" s="3" customFormat="1">
      <c r="B32" s="66" t="s">
        <v>186</v>
      </c>
      <c r="C32" s="182">
        <v>185839590</v>
      </c>
      <c r="D32" s="182">
        <v>6497150.4199999999</v>
      </c>
      <c r="E32" s="182"/>
      <c r="F32" s="182">
        <v>0</v>
      </c>
      <c r="G32" s="182">
        <v>0</v>
      </c>
      <c r="H32" s="182"/>
      <c r="I32" s="182">
        <v>0</v>
      </c>
      <c r="J32" s="182">
        <v>0</v>
      </c>
      <c r="K32" s="182"/>
      <c r="L32" s="182">
        <v>28636251</v>
      </c>
      <c r="M32" s="182">
        <v>326453.26140000002</v>
      </c>
    </row>
    <row r="33" spans="2:13" s="3" customFormat="1">
      <c r="B33" s="66" t="s">
        <v>144</v>
      </c>
      <c r="C33" s="182">
        <v>883597199</v>
      </c>
      <c r="D33" s="182">
        <v>50283034.060000002</v>
      </c>
      <c r="E33" s="182"/>
      <c r="F33" s="182">
        <v>35824630</v>
      </c>
      <c r="G33" s="182">
        <v>1232156.73</v>
      </c>
      <c r="H33" s="182"/>
      <c r="I33" s="182">
        <v>0</v>
      </c>
      <c r="J33" s="182">
        <v>0</v>
      </c>
      <c r="K33" s="182"/>
      <c r="L33" s="182">
        <v>227369519</v>
      </c>
      <c r="M33" s="182">
        <v>2842118.9874999998</v>
      </c>
    </row>
    <row r="34" spans="2:13" s="3" customFormat="1">
      <c r="B34" s="66" t="s">
        <v>145</v>
      </c>
      <c r="C34" s="182">
        <v>116100154</v>
      </c>
      <c r="D34" s="182">
        <v>2679559.1800000002</v>
      </c>
      <c r="E34" s="182"/>
      <c r="F34" s="182">
        <v>18095076</v>
      </c>
      <c r="G34" s="182">
        <v>318473.34000000003</v>
      </c>
      <c r="H34" s="182"/>
      <c r="I34" s="182">
        <v>0</v>
      </c>
      <c r="J34" s="182">
        <v>0</v>
      </c>
      <c r="K34" s="182"/>
      <c r="L34" s="182">
        <v>31987460</v>
      </c>
      <c r="M34" s="182">
        <v>220736.43400000001</v>
      </c>
    </row>
    <row r="35" spans="2:13" s="3" customFormat="1">
      <c r="B35" s="66" t="s">
        <v>146</v>
      </c>
      <c r="C35" s="182">
        <v>3368803371.3800001</v>
      </c>
      <c r="D35" s="182">
        <v>118979622.52339999</v>
      </c>
      <c r="E35" s="182"/>
      <c r="F35" s="182">
        <v>600748211</v>
      </c>
      <c r="G35" s="182">
        <v>13817208.853</v>
      </c>
      <c r="H35" s="182"/>
      <c r="I35" s="182">
        <v>0</v>
      </c>
      <c r="J35" s="182">
        <v>0</v>
      </c>
      <c r="K35" s="182"/>
      <c r="L35" s="182">
        <v>1601668135</v>
      </c>
      <c r="M35" s="182">
        <v>2888676.341</v>
      </c>
    </row>
    <row r="36" spans="2:13" s="3" customFormat="1" ht="15.5">
      <c r="B36" s="63" t="str">
        <f>B1&amp;", continued"</f>
        <v>Table 6.4, continued</v>
      </c>
      <c r="C36" s="100"/>
      <c r="D36" s="100"/>
      <c r="E36" s="100"/>
      <c r="F36" s="100"/>
      <c r="G36" s="100"/>
      <c r="H36" s="100"/>
      <c r="I36" s="100"/>
      <c r="J36" s="100"/>
      <c r="K36" s="100"/>
      <c r="L36" s="100"/>
      <c r="M36" s="174"/>
    </row>
    <row r="37" spans="2:13" s="3" customFormat="1">
      <c r="B37" s="64" t="str">
        <f>$B$2</f>
        <v>Tangible Personal Property, Machinery &amp; Tools, Merchants' Capital, and Public Service Corporations:  Assessed Values &amp; Levies by Locality - Tax Year 2024</v>
      </c>
      <c r="C37" s="100"/>
      <c r="D37" s="100"/>
      <c r="E37" s="100"/>
      <c r="F37" s="100"/>
      <c r="G37" s="100"/>
      <c r="H37" s="100"/>
      <c r="I37" s="100"/>
      <c r="J37" s="100"/>
      <c r="K37" s="100"/>
      <c r="L37" s="100"/>
      <c r="M37" s="174"/>
    </row>
    <row r="38" spans="2:13" s="3" customFormat="1" ht="3" customHeight="1" thickBot="1">
      <c r="B38" s="64"/>
      <c r="C38" s="100"/>
      <c r="D38" s="100"/>
      <c r="E38" s="100"/>
      <c r="F38" s="100"/>
      <c r="G38" s="100"/>
      <c r="H38" s="100"/>
      <c r="I38" s="100"/>
      <c r="J38" s="100"/>
      <c r="K38" s="100"/>
      <c r="L38" s="100"/>
      <c r="M38" s="174"/>
    </row>
    <row r="39" spans="2:13" s="3" customFormat="1">
      <c r="B39" s="175"/>
      <c r="C39" s="176" t="str">
        <f>C$4</f>
        <v>Tangible Personal Property</v>
      </c>
      <c r="D39" s="176"/>
      <c r="E39" s="175"/>
      <c r="F39" s="176" t="str">
        <f>F$4</f>
        <v>Machinery and Tools</v>
      </c>
      <c r="G39" s="176"/>
      <c r="H39" s="175"/>
      <c r="I39" s="176" t="str">
        <f>I$4</f>
        <v>Merchants' Capital</v>
      </c>
      <c r="J39" s="176"/>
      <c r="K39" s="175"/>
      <c r="L39" s="176" t="str">
        <f>L$4</f>
        <v>Public Service Corporations</v>
      </c>
      <c r="M39" s="176"/>
    </row>
    <row r="40" spans="2:13" s="3" customFormat="1">
      <c r="B40" s="177" t="s">
        <v>125</v>
      </c>
      <c r="C40" s="178" t="str">
        <f>C$5</f>
        <v>Values</v>
      </c>
      <c r="D40" s="178" t="str">
        <f>D$5</f>
        <v>Levies</v>
      </c>
      <c r="E40" s="179"/>
      <c r="F40" s="178" t="str">
        <f>F$5</f>
        <v>Values</v>
      </c>
      <c r="G40" s="178" t="str">
        <f>G$5</f>
        <v>Levies</v>
      </c>
      <c r="H40" s="179"/>
      <c r="I40" s="180" t="str">
        <f>I$5</f>
        <v>Values</v>
      </c>
      <c r="J40" s="180" t="str">
        <f>J$5</f>
        <v>Levies</v>
      </c>
      <c r="K40" s="179"/>
      <c r="L40" s="181" t="str">
        <f>L$5</f>
        <v>Values</v>
      </c>
      <c r="M40" s="178" t="str">
        <f>M$5</f>
        <v>Levies</v>
      </c>
    </row>
    <row r="41" spans="2:13" s="3" customFormat="1" ht="21" customHeight="1">
      <c r="B41" s="66" t="s">
        <v>177</v>
      </c>
      <c r="C41" s="182">
        <v>1209749741</v>
      </c>
      <c r="D41" s="182">
        <v>41172600.435500003</v>
      </c>
      <c r="E41" s="182"/>
      <c r="F41" s="182">
        <v>98507102</v>
      </c>
      <c r="G41" s="182">
        <v>3398495.0189999999</v>
      </c>
      <c r="H41" s="182"/>
      <c r="I41" s="182">
        <v>0</v>
      </c>
      <c r="J41" s="182">
        <v>0</v>
      </c>
      <c r="K41" s="182"/>
      <c r="L41" s="182">
        <v>555542965</v>
      </c>
      <c r="M41" s="182">
        <v>3482445.9980000001</v>
      </c>
    </row>
    <row r="42" spans="2:13" s="3" customFormat="1">
      <c r="B42" s="66" t="s">
        <v>147</v>
      </c>
      <c r="C42" s="182">
        <v>426931154</v>
      </c>
      <c r="D42" s="182">
        <v>11610678.82</v>
      </c>
      <c r="E42" s="182"/>
      <c r="F42" s="182">
        <v>108078260</v>
      </c>
      <c r="G42" s="182">
        <v>3460653.79</v>
      </c>
      <c r="H42" s="182"/>
      <c r="I42" s="182">
        <v>0</v>
      </c>
      <c r="J42" s="182">
        <v>0</v>
      </c>
      <c r="K42" s="182"/>
      <c r="L42" s="182">
        <v>95722790</v>
      </c>
      <c r="M42" s="182">
        <v>1148673.48</v>
      </c>
    </row>
    <row r="43" spans="2:13" s="3" customFormat="1">
      <c r="B43" s="66" t="s">
        <v>187</v>
      </c>
      <c r="C43" s="182">
        <v>324957509</v>
      </c>
      <c r="D43" s="182">
        <v>9240204.5899999999</v>
      </c>
      <c r="E43" s="182"/>
      <c r="F43" s="182">
        <v>31368912</v>
      </c>
      <c r="G43" s="182">
        <v>388974.51</v>
      </c>
      <c r="H43" s="182"/>
      <c r="I43" s="182">
        <v>0</v>
      </c>
      <c r="J43" s="182">
        <v>0</v>
      </c>
      <c r="K43" s="182"/>
      <c r="L43" s="182">
        <v>127398369</v>
      </c>
      <c r="M43" s="182">
        <v>1137157.7831999999</v>
      </c>
    </row>
    <row r="44" spans="2:13" s="3" customFormat="1">
      <c r="B44" s="66" t="s">
        <v>188</v>
      </c>
      <c r="C44" s="182">
        <v>1422827960</v>
      </c>
      <c r="D44" s="182">
        <v>52866823.700000003</v>
      </c>
      <c r="E44" s="182"/>
      <c r="F44" s="182">
        <v>69816710</v>
      </c>
      <c r="G44" s="182">
        <v>2194698.41</v>
      </c>
      <c r="H44" s="182"/>
      <c r="I44" s="182">
        <v>0</v>
      </c>
      <c r="J44" s="182">
        <v>0</v>
      </c>
      <c r="K44" s="182"/>
      <c r="L44" s="182">
        <v>526857438</v>
      </c>
      <c r="M44" s="182">
        <v>5748364.2381999996</v>
      </c>
    </row>
    <row r="45" spans="2:13" s="3" customFormat="1">
      <c r="B45" s="66" t="s">
        <v>148</v>
      </c>
      <c r="C45" s="182">
        <v>5667585245</v>
      </c>
      <c r="D45" s="182">
        <v>244290061.75999999</v>
      </c>
      <c r="E45" s="182"/>
      <c r="F45" s="182">
        <v>189555893</v>
      </c>
      <c r="G45" s="182">
        <v>6120574.2300000004</v>
      </c>
      <c r="H45" s="182"/>
      <c r="I45" s="182">
        <v>0</v>
      </c>
      <c r="J45" s="182">
        <v>0</v>
      </c>
      <c r="K45" s="182"/>
      <c r="L45" s="182">
        <v>1087984848</v>
      </c>
      <c r="M45" s="182">
        <v>17518764.993000001</v>
      </c>
    </row>
    <row r="46" spans="2:13" s="3" customFormat="1" ht="24" customHeight="1">
      <c r="B46" s="66" t="s">
        <v>149</v>
      </c>
      <c r="C46" s="182">
        <v>298625928</v>
      </c>
      <c r="D46" s="182">
        <v>9539930</v>
      </c>
      <c r="E46" s="182"/>
      <c r="F46" s="182">
        <v>35567782</v>
      </c>
      <c r="G46" s="182">
        <v>1161193</v>
      </c>
      <c r="H46" s="182"/>
      <c r="I46" s="182">
        <v>0</v>
      </c>
      <c r="J46" s="182">
        <v>0</v>
      </c>
      <c r="K46" s="182"/>
      <c r="L46" s="182">
        <v>124581931</v>
      </c>
      <c r="M46" s="182">
        <v>960411.84790000005</v>
      </c>
    </row>
    <row r="47" spans="2:13" s="3" customFormat="1">
      <c r="B47" s="66" t="s">
        <v>150</v>
      </c>
      <c r="C47" s="182">
        <v>138426570</v>
      </c>
      <c r="D47" s="182">
        <v>4830238</v>
      </c>
      <c r="E47" s="182"/>
      <c r="F47" s="182">
        <v>0</v>
      </c>
      <c r="G47" s="182">
        <v>0</v>
      </c>
      <c r="H47" s="182"/>
      <c r="I47" s="182">
        <v>0</v>
      </c>
      <c r="J47" s="182">
        <v>0</v>
      </c>
      <c r="K47" s="182"/>
      <c r="L47" s="182">
        <v>82071314</v>
      </c>
      <c r="M47" s="182">
        <v>509073.98680000001</v>
      </c>
    </row>
    <row r="48" spans="2:13" s="3" customFormat="1">
      <c r="B48" s="66" t="s">
        <v>151</v>
      </c>
      <c r="C48" s="182">
        <v>670568576</v>
      </c>
      <c r="D48" s="182">
        <v>31817625.129999999</v>
      </c>
      <c r="E48" s="182"/>
      <c r="F48" s="182">
        <v>133149034</v>
      </c>
      <c r="G48" s="182">
        <v>1730937.44</v>
      </c>
      <c r="H48" s="182"/>
      <c r="I48" s="182">
        <v>0</v>
      </c>
      <c r="J48" s="182">
        <v>0</v>
      </c>
      <c r="K48" s="182"/>
      <c r="L48" s="182">
        <v>102350287</v>
      </c>
      <c r="M48" s="182">
        <v>855042.55460000003</v>
      </c>
    </row>
    <row r="49" spans="2:13" s="3" customFormat="1">
      <c r="B49" s="66"/>
      <c r="C49" s="182"/>
      <c r="D49" s="182"/>
      <c r="E49" s="182"/>
      <c r="F49" s="182"/>
      <c r="G49" s="182"/>
      <c r="H49" s="182"/>
      <c r="I49" s="182"/>
      <c r="J49" s="182"/>
      <c r="K49" s="182"/>
      <c r="L49" s="182"/>
      <c r="M49" s="182"/>
    </row>
    <row r="50" spans="2:13" s="3" customFormat="1">
      <c r="B50" s="106" t="s">
        <v>152</v>
      </c>
      <c r="C50" s="183">
        <f>SUM(C6:C35,C41:C48)</f>
        <v>31704188639.27</v>
      </c>
      <c r="D50" s="183">
        <f>SUM(D6:D35,D41:D48)</f>
        <v>1263971785.7053003</v>
      </c>
      <c r="E50" s="183"/>
      <c r="F50" s="183">
        <f>SUM(F6:F35,F41:F48)</f>
        <v>4236648749.0900002</v>
      </c>
      <c r="G50" s="183">
        <f>SUM(G6:G35,G41:G48)</f>
        <v>107881216.87450002</v>
      </c>
      <c r="H50" s="183"/>
      <c r="I50" s="183">
        <f>SUM(I6:I35,I41:I48)</f>
        <v>0</v>
      </c>
      <c r="J50" s="183">
        <f>SUM(J6:J35,J41:J48)</f>
        <v>0</v>
      </c>
      <c r="K50" s="183"/>
      <c r="L50" s="183">
        <f>SUM(L6:L35,L41:L48)</f>
        <v>10693035101</v>
      </c>
      <c r="M50" s="183">
        <f>SUM(M6:M35,M41:M48)</f>
        <v>104469368.8837</v>
      </c>
    </row>
    <row r="51" spans="2:13" ht="13" customHeight="1">
      <c r="B51" s="66"/>
      <c r="C51" s="100"/>
      <c r="D51" s="100"/>
      <c r="E51" s="100"/>
      <c r="F51" s="100"/>
      <c r="G51" s="100"/>
      <c r="H51" s="100"/>
      <c r="I51" s="100"/>
      <c r="J51" s="100"/>
      <c r="K51" s="100"/>
      <c r="L51" s="100"/>
      <c r="M51" s="174"/>
    </row>
    <row r="52" spans="2:13" s="10" customFormat="1" ht="13" customHeight="1">
      <c r="B52" s="184"/>
      <c r="C52" s="185"/>
      <c r="D52" s="185"/>
      <c r="E52" s="185"/>
      <c r="F52" s="185"/>
      <c r="G52" s="185"/>
      <c r="H52" s="185"/>
      <c r="I52" s="185"/>
      <c r="J52" s="185"/>
      <c r="K52" s="185"/>
      <c r="L52" s="185"/>
      <c r="M52" s="186"/>
    </row>
    <row r="53" spans="2:13" s="3" customFormat="1" ht="15.5">
      <c r="B53" s="63" t="str">
        <f>$B$36</f>
        <v>Table 6.4, continued</v>
      </c>
      <c r="C53" s="100"/>
      <c r="D53" s="100"/>
      <c r="E53" s="100"/>
      <c r="F53" s="100"/>
      <c r="G53" s="100"/>
      <c r="H53" s="100"/>
      <c r="I53" s="100"/>
      <c r="J53" s="100"/>
      <c r="K53" s="100"/>
      <c r="L53" s="100"/>
      <c r="M53" s="174"/>
    </row>
    <row r="54" spans="2:13" s="3" customFormat="1">
      <c r="B54" s="64" t="str">
        <f>$B$2</f>
        <v>Tangible Personal Property, Machinery &amp; Tools, Merchants' Capital, and Public Service Corporations:  Assessed Values &amp; Levies by Locality - Tax Year 2024</v>
      </c>
      <c r="C54" s="100"/>
      <c r="D54" s="100"/>
      <c r="E54" s="100"/>
      <c r="F54" s="100"/>
      <c r="G54" s="100"/>
      <c r="H54" s="100"/>
      <c r="I54" s="100"/>
      <c r="J54" s="100"/>
      <c r="K54" s="100"/>
      <c r="L54" s="100"/>
      <c r="M54" s="174"/>
    </row>
    <row r="55" spans="2:13" s="3" customFormat="1" ht="3" customHeight="1" thickBot="1">
      <c r="B55" s="64"/>
      <c r="C55" s="100"/>
      <c r="D55" s="100"/>
      <c r="E55" s="100"/>
      <c r="F55" s="100"/>
      <c r="G55" s="100"/>
      <c r="H55" s="100"/>
      <c r="I55" s="100"/>
      <c r="J55" s="100"/>
      <c r="K55" s="100"/>
      <c r="L55" s="100"/>
      <c r="M55" s="174"/>
    </row>
    <row r="56" spans="2:13" s="3" customFormat="1">
      <c r="B56" s="175"/>
      <c r="C56" s="176" t="str">
        <f>C$4</f>
        <v>Tangible Personal Property</v>
      </c>
      <c r="D56" s="176"/>
      <c r="E56" s="175"/>
      <c r="F56" s="176" t="str">
        <f>F$4</f>
        <v>Machinery and Tools</v>
      </c>
      <c r="G56" s="176"/>
      <c r="H56" s="175"/>
      <c r="I56" s="176" t="str">
        <f>I$4</f>
        <v>Merchants' Capital</v>
      </c>
      <c r="J56" s="176"/>
      <c r="K56" s="175"/>
      <c r="L56" s="176" t="str">
        <f>L$4</f>
        <v>Public Service Corporations</v>
      </c>
      <c r="M56" s="176"/>
    </row>
    <row r="57" spans="2:13" s="3" customFormat="1">
      <c r="B57" s="177" t="s">
        <v>43</v>
      </c>
      <c r="C57" s="178" t="str">
        <f>C$5</f>
        <v>Values</v>
      </c>
      <c r="D57" s="178" t="str">
        <f>D$5</f>
        <v>Levies</v>
      </c>
      <c r="E57" s="179"/>
      <c r="F57" s="178" t="str">
        <f>F$5</f>
        <v>Values</v>
      </c>
      <c r="G57" s="178" t="str">
        <f>G$5</f>
        <v>Levies</v>
      </c>
      <c r="H57" s="179"/>
      <c r="I57" s="180" t="str">
        <f>I$5</f>
        <v>Values</v>
      </c>
      <c r="J57" s="180" t="str">
        <f>J$5</f>
        <v>Levies</v>
      </c>
      <c r="K57" s="179"/>
      <c r="L57" s="181" t="str">
        <f>L$5</f>
        <v>Values</v>
      </c>
      <c r="M57" s="178" t="str">
        <f>M$5</f>
        <v>Levies</v>
      </c>
    </row>
    <row r="58" spans="2:13" s="3" customFormat="1" ht="21" customHeight="1">
      <c r="B58" s="66" t="s">
        <v>44</v>
      </c>
      <c r="C58" s="182">
        <v>531207548</v>
      </c>
      <c r="D58" s="182">
        <v>17740945</v>
      </c>
      <c r="E58" s="182"/>
      <c r="F58" s="182">
        <v>21261198</v>
      </c>
      <c r="G58" s="182">
        <v>791468</v>
      </c>
      <c r="H58" s="182"/>
      <c r="I58" s="182">
        <v>0</v>
      </c>
      <c r="J58" s="182">
        <v>0</v>
      </c>
      <c r="K58" s="182"/>
      <c r="L58" s="182">
        <v>408449529</v>
      </c>
      <c r="M58" s="182">
        <v>2070437.0249000001</v>
      </c>
    </row>
    <row r="59" spans="2:13" s="3" customFormat="1">
      <c r="B59" s="66" t="s">
        <v>45</v>
      </c>
      <c r="C59" s="182">
        <v>1560050338</v>
      </c>
      <c r="D59" s="182">
        <v>44020010.25</v>
      </c>
      <c r="E59" s="182"/>
      <c r="F59" s="182">
        <v>17976418</v>
      </c>
      <c r="G59" s="182">
        <v>702734</v>
      </c>
      <c r="H59" s="182"/>
      <c r="I59" s="182">
        <v>0</v>
      </c>
      <c r="J59" s="182">
        <v>0</v>
      </c>
      <c r="K59" s="182"/>
      <c r="L59" s="182">
        <v>1360153329</v>
      </c>
      <c r="M59" s="182">
        <v>11653933.3255</v>
      </c>
    </row>
    <row r="60" spans="2:13" s="3" customFormat="1">
      <c r="B60" s="66" t="s">
        <v>46</v>
      </c>
      <c r="C60" s="182">
        <v>186267496</v>
      </c>
      <c r="D60" s="182">
        <v>5307987.1399999997</v>
      </c>
      <c r="E60" s="182"/>
      <c r="F60" s="182">
        <v>221513517</v>
      </c>
      <c r="G60" s="182">
        <v>6601102.8200000003</v>
      </c>
      <c r="H60" s="182"/>
      <c r="I60" s="182">
        <v>0</v>
      </c>
      <c r="J60" s="182">
        <v>0</v>
      </c>
      <c r="K60" s="182"/>
      <c r="L60" s="182">
        <v>147578018</v>
      </c>
      <c r="M60" s="182">
        <v>1078238.5438999999</v>
      </c>
    </row>
    <row r="61" spans="2:13" s="3" customFormat="1">
      <c r="B61" s="66" t="s">
        <v>47</v>
      </c>
      <c r="C61" s="182">
        <v>184442862</v>
      </c>
      <c r="D61" s="182">
        <v>7673148.1600000001</v>
      </c>
      <c r="E61" s="182"/>
      <c r="F61" s="182">
        <v>23305470</v>
      </c>
      <c r="G61" s="182">
        <v>350736.74</v>
      </c>
      <c r="H61" s="182"/>
      <c r="I61" s="182">
        <v>0</v>
      </c>
      <c r="J61" s="182">
        <v>0</v>
      </c>
      <c r="K61" s="182"/>
      <c r="L61" s="182">
        <v>58015788</v>
      </c>
      <c r="M61" s="182">
        <v>273755.51299999998</v>
      </c>
    </row>
    <row r="62" spans="2:13" s="3" customFormat="1">
      <c r="B62" s="66" t="s">
        <v>48</v>
      </c>
      <c r="C62" s="182">
        <v>386415244</v>
      </c>
      <c r="D62" s="182">
        <v>12793899</v>
      </c>
      <c r="E62" s="182"/>
      <c r="F62" s="182">
        <v>122901900</v>
      </c>
      <c r="G62" s="182">
        <v>2458038</v>
      </c>
      <c r="H62" s="182"/>
      <c r="I62" s="182">
        <v>0</v>
      </c>
      <c r="J62" s="182">
        <v>0</v>
      </c>
      <c r="K62" s="182"/>
      <c r="L62" s="182">
        <v>139993788</v>
      </c>
      <c r="M62" s="182">
        <v>853972.21719999996</v>
      </c>
    </row>
    <row r="63" spans="2:13" s="3" customFormat="1" ht="21" customHeight="1">
      <c r="B63" s="66" t="s">
        <v>49</v>
      </c>
      <c r="C63" s="182">
        <v>222992863</v>
      </c>
      <c r="D63" s="182">
        <v>6577993.2599999998</v>
      </c>
      <c r="E63" s="182"/>
      <c r="F63" s="182">
        <v>5167779</v>
      </c>
      <c r="G63" s="182">
        <v>173120.65</v>
      </c>
      <c r="H63" s="182"/>
      <c r="I63" s="182">
        <v>13530732</v>
      </c>
      <c r="J63" s="182">
        <v>135307.32</v>
      </c>
      <c r="K63" s="182"/>
      <c r="L63" s="182">
        <v>106407075</v>
      </c>
      <c r="M63" s="182">
        <v>686630.84129999997</v>
      </c>
    </row>
    <row r="64" spans="2:13" s="3" customFormat="1">
      <c r="B64" s="66" t="s">
        <v>164</v>
      </c>
      <c r="C64" s="182">
        <v>2945539079.1999998</v>
      </c>
      <c r="D64" s="182">
        <v>165347121.30000001</v>
      </c>
      <c r="E64" s="182"/>
      <c r="F64" s="182">
        <v>5294033</v>
      </c>
      <c r="G64" s="182">
        <v>235473.3</v>
      </c>
      <c r="H64" s="182"/>
      <c r="I64" s="182">
        <v>0</v>
      </c>
      <c r="J64" s="182">
        <v>0</v>
      </c>
      <c r="K64" s="182"/>
      <c r="L64" s="182">
        <v>877497714.55999994</v>
      </c>
      <c r="M64" s="182">
        <v>8895953.3499999996</v>
      </c>
    </row>
    <row r="65" spans="2:13" s="3" customFormat="1">
      <c r="B65" s="66" t="s">
        <v>50</v>
      </c>
      <c r="C65" s="182">
        <v>1114812660</v>
      </c>
      <c r="D65" s="182">
        <v>26960629.390000001</v>
      </c>
      <c r="E65" s="182"/>
      <c r="F65" s="182">
        <v>291230390</v>
      </c>
      <c r="G65" s="182">
        <v>6002373.7999999998</v>
      </c>
      <c r="H65" s="182"/>
      <c r="I65" s="182">
        <v>0</v>
      </c>
      <c r="J65" s="182">
        <v>0</v>
      </c>
      <c r="K65" s="182"/>
      <c r="L65" s="182">
        <v>633387900</v>
      </c>
      <c r="M65" s="182">
        <v>3320326.344</v>
      </c>
    </row>
    <row r="66" spans="2:13" s="3" customFormat="1">
      <c r="B66" s="66" t="s">
        <v>165</v>
      </c>
      <c r="C66" s="182">
        <v>105590300</v>
      </c>
      <c r="D66" s="182">
        <v>573226.05000000005</v>
      </c>
      <c r="E66" s="182"/>
      <c r="F66" s="182">
        <v>7456500</v>
      </c>
      <c r="G66" s="182">
        <v>41010.75</v>
      </c>
      <c r="H66" s="182"/>
      <c r="I66" s="182">
        <v>0</v>
      </c>
      <c r="J66" s="182">
        <v>0</v>
      </c>
      <c r="K66" s="182"/>
      <c r="L66" s="182">
        <v>1100668442</v>
      </c>
      <c r="M66" s="182">
        <v>6603489.4309999999</v>
      </c>
    </row>
    <row r="67" spans="2:13" s="3" customFormat="1">
      <c r="B67" s="66" t="s">
        <v>51</v>
      </c>
      <c r="C67" s="182">
        <v>1468361502</v>
      </c>
      <c r="D67" s="182">
        <v>35250529.710000001</v>
      </c>
      <c r="E67" s="182"/>
      <c r="F67" s="182">
        <v>282215876</v>
      </c>
      <c r="G67" s="182">
        <v>3261347.59</v>
      </c>
      <c r="H67" s="182"/>
      <c r="I67" s="182">
        <v>0</v>
      </c>
      <c r="J67" s="182">
        <v>0</v>
      </c>
      <c r="K67" s="182"/>
      <c r="L67" s="182">
        <v>362031993</v>
      </c>
      <c r="M67" s="182">
        <v>1487231.5682999999</v>
      </c>
    </row>
    <row r="68" spans="2:13" s="3" customFormat="1" ht="23" customHeight="1">
      <c r="B68" s="66" t="s">
        <v>52</v>
      </c>
      <c r="C68" s="182">
        <v>91371686</v>
      </c>
      <c r="D68" s="182">
        <v>2001547.57</v>
      </c>
      <c r="E68" s="182"/>
      <c r="F68" s="182">
        <v>36344480</v>
      </c>
      <c r="G68" s="182">
        <v>382599.45</v>
      </c>
      <c r="H68" s="182"/>
      <c r="I68" s="182">
        <v>25528061</v>
      </c>
      <c r="J68" s="182">
        <v>186354.87</v>
      </c>
      <c r="K68" s="182"/>
      <c r="L68" s="182">
        <v>106953316</v>
      </c>
      <c r="M68" s="182">
        <v>641719.89599999995</v>
      </c>
    </row>
    <row r="69" spans="2:13" s="3" customFormat="1">
      <c r="B69" s="66" t="s">
        <v>53</v>
      </c>
      <c r="C69" s="182">
        <v>578605871</v>
      </c>
      <c r="D69" s="182">
        <v>15669456.619999999</v>
      </c>
      <c r="E69" s="182"/>
      <c r="F69" s="182">
        <v>296374369</v>
      </c>
      <c r="G69" s="182">
        <v>5927487.3799999999</v>
      </c>
      <c r="H69" s="182"/>
      <c r="I69" s="182">
        <v>0</v>
      </c>
      <c r="J69" s="182">
        <v>0</v>
      </c>
      <c r="K69" s="182"/>
      <c r="L69" s="182">
        <v>623206928</v>
      </c>
      <c r="M69" s="182">
        <v>4373921.2832000004</v>
      </c>
    </row>
    <row r="70" spans="2:13" s="3" customFormat="1">
      <c r="B70" s="66" t="s">
        <v>54</v>
      </c>
      <c r="C70" s="182">
        <v>184083320</v>
      </c>
      <c r="D70" s="182">
        <v>6954434.0899999999</v>
      </c>
      <c r="E70" s="182"/>
      <c r="F70" s="182">
        <v>11814540</v>
      </c>
      <c r="G70" s="182">
        <v>401694.36</v>
      </c>
      <c r="H70" s="182"/>
      <c r="I70" s="182">
        <v>0</v>
      </c>
      <c r="J70" s="182">
        <v>0</v>
      </c>
      <c r="K70" s="182"/>
      <c r="L70" s="182">
        <v>1238215492</v>
      </c>
      <c r="M70" s="182">
        <v>6194533.2824999997</v>
      </c>
    </row>
    <row r="71" spans="2:13" s="3" customFormat="1">
      <c r="B71" s="66" t="s">
        <v>55</v>
      </c>
      <c r="C71" s="182">
        <v>311024555</v>
      </c>
      <c r="D71" s="182">
        <v>5817485.9900000002</v>
      </c>
      <c r="E71" s="182"/>
      <c r="F71" s="182">
        <v>327206849</v>
      </c>
      <c r="G71" s="182">
        <v>6380533.5700000003</v>
      </c>
      <c r="H71" s="182"/>
      <c r="I71" s="182">
        <v>3978771</v>
      </c>
      <c r="J71" s="182">
        <v>79575.42</v>
      </c>
      <c r="K71" s="182"/>
      <c r="L71" s="182">
        <v>180991954</v>
      </c>
      <c r="M71" s="182">
        <v>709452.49309999996</v>
      </c>
    </row>
    <row r="72" spans="2:13" s="3" customFormat="1">
      <c r="B72" s="66" t="s">
        <v>56</v>
      </c>
      <c r="C72" s="182">
        <v>160669397</v>
      </c>
      <c r="D72" s="182">
        <v>6162267.0999999996</v>
      </c>
      <c r="E72" s="182"/>
      <c r="F72" s="182">
        <v>12499420</v>
      </c>
      <c r="G72" s="182">
        <v>364063.97</v>
      </c>
      <c r="H72" s="182"/>
      <c r="I72" s="182">
        <v>23070280</v>
      </c>
      <c r="J72" s="182">
        <v>225171.5</v>
      </c>
      <c r="K72" s="182"/>
      <c r="L72" s="182">
        <v>446063894</v>
      </c>
      <c r="M72" s="182">
        <v>2676594.2969999998</v>
      </c>
    </row>
    <row r="73" spans="2:13" s="3" customFormat="1" ht="15.5">
      <c r="B73" s="63" t="str">
        <f>$B$36</f>
        <v>Table 6.4, continued</v>
      </c>
      <c r="C73" s="100"/>
      <c r="D73" s="100"/>
      <c r="E73" s="100"/>
      <c r="F73" s="100"/>
      <c r="G73" s="100"/>
      <c r="H73" s="100"/>
      <c r="I73" s="100"/>
      <c r="J73" s="100"/>
      <c r="K73" s="100"/>
      <c r="L73" s="100"/>
      <c r="M73" s="174"/>
    </row>
    <row r="74" spans="2:13" s="3" customFormat="1">
      <c r="B74" s="64" t="str">
        <f>$B$2</f>
        <v>Tangible Personal Property, Machinery &amp; Tools, Merchants' Capital, and Public Service Corporations:  Assessed Values &amp; Levies by Locality - Tax Year 2024</v>
      </c>
      <c r="C74" s="100"/>
      <c r="D74" s="100"/>
      <c r="E74" s="100"/>
      <c r="F74" s="100"/>
      <c r="G74" s="100"/>
      <c r="H74" s="100"/>
      <c r="I74" s="100"/>
      <c r="J74" s="100"/>
      <c r="K74" s="100"/>
      <c r="L74" s="100"/>
      <c r="M74" s="174"/>
    </row>
    <row r="75" spans="2:13" s="3" customFormat="1" ht="3" customHeight="1" thickBot="1">
      <c r="B75" s="64"/>
      <c r="C75" s="100"/>
      <c r="D75" s="100"/>
      <c r="E75" s="100"/>
      <c r="F75" s="100"/>
      <c r="G75" s="100"/>
      <c r="H75" s="100"/>
      <c r="I75" s="100"/>
      <c r="J75" s="100"/>
      <c r="K75" s="100"/>
      <c r="L75" s="100"/>
      <c r="M75" s="174"/>
    </row>
    <row r="76" spans="2:13" s="3" customFormat="1">
      <c r="B76" s="175"/>
      <c r="C76" s="176" t="str">
        <f>C$4</f>
        <v>Tangible Personal Property</v>
      </c>
      <c r="D76" s="176"/>
      <c r="E76" s="175"/>
      <c r="F76" s="176" t="str">
        <f>F$4</f>
        <v>Machinery and Tools</v>
      </c>
      <c r="G76" s="176"/>
      <c r="H76" s="175"/>
      <c r="I76" s="176" t="str">
        <f>I$4</f>
        <v>Merchants' Capital</v>
      </c>
      <c r="J76" s="176"/>
      <c r="K76" s="175"/>
      <c r="L76" s="176" t="str">
        <f>L$4</f>
        <v>Public Service Corporations</v>
      </c>
      <c r="M76" s="176"/>
    </row>
    <row r="77" spans="2:13" s="3" customFormat="1">
      <c r="B77" s="177" t="s">
        <v>43</v>
      </c>
      <c r="C77" s="178" t="str">
        <f>C$5</f>
        <v>Values</v>
      </c>
      <c r="D77" s="178" t="str">
        <f>D$5</f>
        <v>Levies</v>
      </c>
      <c r="E77" s="179"/>
      <c r="F77" s="178" t="str">
        <f>F$5</f>
        <v>Values</v>
      </c>
      <c r="G77" s="178" t="str">
        <f>G$5</f>
        <v>Levies</v>
      </c>
      <c r="H77" s="179"/>
      <c r="I77" s="180" t="str">
        <f>I$5</f>
        <v>Values</v>
      </c>
      <c r="J77" s="180" t="str">
        <f>J$5</f>
        <v>Levies</v>
      </c>
      <c r="K77" s="179"/>
      <c r="L77" s="181" t="str">
        <f>L$5</f>
        <v>Values</v>
      </c>
      <c r="M77" s="178" t="str">
        <f>M$5</f>
        <v>Levies</v>
      </c>
    </row>
    <row r="78" spans="2:13" s="3" customFormat="1" ht="21" customHeight="1">
      <c r="B78" s="66" t="s">
        <v>57</v>
      </c>
      <c r="C78" s="182">
        <v>458790574</v>
      </c>
      <c r="D78" s="182">
        <v>15199541.289999999</v>
      </c>
      <c r="E78" s="182"/>
      <c r="F78" s="182">
        <v>220649736</v>
      </c>
      <c r="G78" s="182">
        <v>6730285.9400000004</v>
      </c>
      <c r="H78" s="182"/>
      <c r="I78" s="182">
        <v>0</v>
      </c>
      <c r="J78" s="182">
        <v>0</v>
      </c>
      <c r="K78" s="182"/>
      <c r="L78" s="182">
        <v>491855218</v>
      </c>
      <c r="M78" s="182">
        <v>2248385.517</v>
      </c>
    </row>
    <row r="79" spans="2:13" s="3" customFormat="1">
      <c r="B79" s="66" t="s">
        <v>58</v>
      </c>
      <c r="C79" s="182">
        <v>498135589</v>
      </c>
      <c r="D79" s="182">
        <v>17584296.559999999</v>
      </c>
      <c r="E79" s="182"/>
      <c r="F79" s="182">
        <v>12050154</v>
      </c>
      <c r="G79" s="182">
        <v>427225.16</v>
      </c>
      <c r="H79" s="182"/>
      <c r="I79" s="182">
        <v>0</v>
      </c>
      <c r="J79" s="182">
        <v>0</v>
      </c>
      <c r="K79" s="182"/>
      <c r="L79" s="182">
        <v>369342933</v>
      </c>
      <c r="M79" s="182">
        <v>2970494.1173999999</v>
      </c>
    </row>
    <row r="80" spans="2:13" s="3" customFormat="1">
      <c r="B80" s="66" t="s">
        <v>59</v>
      </c>
      <c r="C80" s="182">
        <v>331751120</v>
      </c>
      <c r="D80" s="182">
        <v>6298054.5199999996</v>
      </c>
      <c r="E80" s="182"/>
      <c r="F80" s="182">
        <v>38841140</v>
      </c>
      <c r="G80" s="182">
        <v>736399.8</v>
      </c>
      <c r="H80" s="182"/>
      <c r="I80" s="182">
        <v>45358233</v>
      </c>
      <c r="J80" s="182">
        <v>312971.96000000002</v>
      </c>
      <c r="K80" s="182"/>
      <c r="L80" s="182">
        <v>125902719</v>
      </c>
      <c r="M80" s="182">
        <v>746624.277</v>
      </c>
    </row>
    <row r="81" spans="2:13" s="3" customFormat="1">
      <c r="B81" s="66" t="s">
        <v>166</v>
      </c>
      <c r="C81" s="182">
        <v>455664498</v>
      </c>
      <c r="D81" s="182">
        <v>16991010.120000001</v>
      </c>
      <c r="E81" s="182"/>
      <c r="F81" s="182">
        <v>6827292</v>
      </c>
      <c r="G81" s="182">
        <v>204818.76</v>
      </c>
      <c r="H81" s="182"/>
      <c r="I81" s="182">
        <v>9922296</v>
      </c>
      <c r="J81" s="182">
        <v>277824.28999999998</v>
      </c>
      <c r="K81" s="182"/>
      <c r="L81" s="182">
        <v>0</v>
      </c>
      <c r="M81" s="182">
        <v>0</v>
      </c>
    </row>
    <row r="82" spans="2:13" s="3" customFormat="1">
      <c r="B82" s="66" t="s">
        <v>60</v>
      </c>
      <c r="C82" s="182">
        <v>151182896</v>
      </c>
      <c r="D82" s="182">
        <v>4687330.3499999996</v>
      </c>
      <c r="E82" s="182"/>
      <c r="F82" s="182">
        <v>26395739</v>
      </c>
      <c r="G82" s="182">
        <v>799445.67</v>
      </c>
      <c r="H82" s="182"/>
      <c r="I82" s="182">
        <v>1736384</v>
      </c>
      <c r="J82" s="182">
        <v>54981.57</v>
      </c>
      <c r="K82" s="182"/>
      <c r="L82" s="182">
        <v>90767917</v>
      </c>
      <c r="M82" s="182">
        <v>562822.41700000002</v>
      </c>
    </row>
    <row r="83" spans="2:13" s="3" customFormat="1" ht="24" customHeight="1">
      <c r="B83" s="66" t="s">
        <v>61</v>
      </c>
      <c r="C83" s="182">
        <v>4966447118</v>
      </c>
      <c r="D83" s="182">
        <v>157110199.59999999</v>
      </c>
      <c r="E83" s="182"/>
      <c r="F83" s="182">
        <v>257976956</v>
      </c>
      <c r="G83" s="182">
        <v>2579769.56</v>
      </c>
      <c r="H83" s="182"/>
      <c r="I83" s="182">
        <v>0</v>
      </c>
      <c r="J83" s="182">
        <v>0</v>
      </c>
      <c r="K83" s="182"/>
      <c r="L83" s="182">
        <v>1739479835</v>
      </c>
      <c r="M83" s="182">
        <v>15668345.067</v>
      </c>
    </row>
    <row r="84" spans="2:13" s="3" customFormat="1">
      <c r="B84" s="66" t="s">
        <v>62</v>
      </c>
      <c r="C84" s="182">
        <v>238750146</v>
      </c>
      <c r="D84" s="182">
        <v>11303822.289999999</v>
      </c>
      <c r="E84" s="182"/>
      <c r="F84" s="182">
        <v>20411201</v>
      </c>
      <c r="G84" s="182">
        <v>255140.01</v>
      </c>
      <c r="H84" s="182"/>
      <c r="I84" s="182">
        <v>0</v>
      </c>
      <c r="J84" s="182">
        <v>0</v>
      </c>
      <c r="K84" s="182"/>
      <c r="L84" s="182">
        <v>72210105</v>
      </c>
      <c r="M84" s="182">
        <v>440481.64049999998</v>
      </c>
    </row>
    <row r="85" spans="2:13" s="3" customFormat="1">
      <c r="B85" s="66" t="s">
        <v>63</v>
      </c>
      <c r="C85" s="182">
        <v>55145579</v>
      </c>
      <c r="D85" s="182">
        <v>1817820.84</v>
      </c>
      <c r="E85" s="182"/>
      <c r="F85" s="182">
        <v>1965849</v>
      </c>
      <c r="G85" s="182">
        <v>68804.759999999995</v>
      </c>
      <c r="H85" s="182"/>
      <c r="I85" s="182">
        <v>722479</v>
      </c>
      <c r="J85" s="182">
        <v>12643.41</v>
      </c>
      <c r="K85" s="182"/>
      <c r="L85" s="182">
        <v>25284807</v>
      </c>
      <c r="M85" s="182">
        <v>150424.32000000001</v>
      </c>
    </row>
    <row r="86" spans="2:13" s="3" customFormat="1">
      <c r="B86" s="66" t="s">
        <v>64</v>
      </c>
      <c r="C86" s="182">
        <v>1332824836</v>
      </c>
      <c r="D86" s="182">
        <v>40819376.280000001</v>
      </c>
      <c r="E86" s="182"/>
      <c r="F86" s="182">
        <v>97559786</v>
      </c>
      <c r="G86" s="182">
        <v>1973155.62</v>
      </c>
      <c r="H86" s="182"/>
      <c r="I86" s="182">
        <v>0</v>
      </c>
      <c r="J86" s="182">
        <v>0</v>
      </c>
      <c r="K86" s="182"/>
      <c r="L86" s="182">
        <v>335967615</v>
      </c>
      <c r="M86" s="182">
        <v>1721389.0060000001</v>
      </c>
    </row>
    <row r="87" spans="2:13" s="3" customFormat="1">
      <c r="B87" s="66" t="s">
        <v>65</v>
      </c>
      <c r="C87" s="182">
        <v>97497586</v>
      </c>
      <c r="D87" s="182">
        <v>4050118.91</v>
      </c>
      <c r="E87" s="182"/>
      <c r="F87" s="182">
        <v>4920592</v>
      </c>
      <c r="G87" s="182">
        <v>184522.22</v>
      </c>
      <c r="H87" s="182"/>
      <c r="I87" s="182">
        <v>0</v>
      </c>
      <c r="J87" s="182">
        <v>0</v>
      </c>
      <c r="K87" s="182"/>
      <c r="L87" s="182">
        <v>112895787</v>
      </c>
      <c r="M87" s="182">
        <v>693552.03899999999</v>
      </c>
    </row>
    <row r="88" spans="2:13" s="3" customFormat="1" ht="24" customHeight="1">
      <c r="B88" s="66" t="s">
        <v>66</v>
      </c>
      <c r="C88" s="182">
        <v>146692914</v>
      </c>
      <c r="D88" s="182">
        <v>2500171.09</v>
      </c>
      <c r="E88" s="182"/>
      <c r="F88" s="182">
        <v>97849037</v>
      </c>
      <c r="G88" s="182">
        <v>1712420.3</v>
      </c>
      <c r="H88" s="182"/>
      <c r="I88" s="182">
        <v>1341861</v>
      </c>
      <c r="J88" s="182">
        <v>137649.23000000001</v>
      </c>
      <c r="K88" s="182"/>
      <c r="L88" s="182">
        <v>117577538</v>
      </c>
      <c r="M88" s="182">
        <v>613242.92009999999</v>
      </c>
    </row>
    <row r="89" spans="2:13" s="3" customFormat="1">
      <c r="B89" s="66" t="s">
        <v>167</v>
      </c>
      <c r="C89" s="182">
        <v>453929900.56999999</v>
      </c>
      <c r="D89" s="182">
        <v>22108492.760000002</v>
      </c>
      <c r="E89" s="182"/>
      <c r="F89" s="182">
        <v>99030601.099999994</v>
      </c>
      <c r="G89" s="182">
        <v>3238873.95</v>
      </c>
      <c r="H89" s="182"/>
      <c r="I89" s="182">
        <v>0</v>
      </c>
      <c r="J89" s="182">
        <v>0</v>
      </c>
      <c r="K89" s="182"/>
      <c r="L89" s="182">
        <v>206028512</v>
      </c>
      <c r="M89" s="182">
        <v>1755311.38</v>
      </c>
    </row>
    <row r="90" spans="2:13" s="3" customFormat="1">
      <c r="B90" s="66" t="s">
        <v>67</v>
      </c>
      <c r="C90" s="182">
        <v>205167942</v>
      </c>
      <c r="D90" s="182">
        <v>5776776.0199999996</v>
      </c>
      <c r="E90" s="182"/>
      <c r="F90" s="182">
        <v>14287203</v>
      </c>
      <c r="G90" s="182">
        <v>171446.44</v>
      </c>
      <c r="H90" s="182"/>
      <c r="I90" s="182">
        <v>2405625</v>
      </c>
      <c r="J90" s="182">
        <v>90211.15</v>
      </c>
      <c r="K90" s="182"/>
      <c r="L90" s="182">
        <v>43236162</v>
      </c>
      <c r="M90" s="182">
        <v>315623.98259999999</v>
      </c>
    </row>
    <row r="91" spans="2:13" s="3" customFormat="1">
      <c r="B91" s="66" t="s">
        <v>168</v>
      </c>
      <c r="C91" s="182">
        <v>17789273576</v>
      </c>
      <c r="D91" s="182">
        <v>818878668.97000003</v>
      </c>
      <c r="E91" s="182"/>
      <c r="F91" s="182">
        <v>11374553</v>
      </c>
      <c r="G91" s="182">
        <v>227491.06</v>
      </c>
      <c r="H91" s="182"/>
      <c r="I91" s="182">
        <v>0</v>
      </c>
      <c r="J91" s="182">
        <v>0</v>
      </c>
      <c r="K91" s="182"/>
      <c r="L91" s="182">
        <v>4901387230</v>
      </c>
      <c r="M91" s="182">
        <v>54322499.895000003</v>
      </c>
    </row>
    <row r="92" spans="2:13" s="3" customFormat="1">
      <c r="B92" s="66" t="s">
        <v>68</v>
      </c>
      <c r="C92" s="182">
        <v>1694279180</v>
      </c>
      <c r="D92" s="182">
        <v>55920716.653999999</v>
      </c>
      <c r="E92" s="182"/>
      <c r="F92" s="182">
        <v>12900480</v>
      </c>
      <c r="G92" s="182">
        <v>445066.63</v>
      </c>
      <c r="H92" s="182"/>
      <c r="I92" s="182">
        <v>0</v>
      </c>
      <c r="J92" s="182">
        <v>0</v>
      </c>
      <c r="K92" s="182"/>
      <c r="L92" s="182">
        <v>809592828</v>
      </c>
      <c r="M92" s="182">
        <v>7639854.9305999996</v>
      </c>
    </row>
    <row r="93" spans="2:13" s="3" customFormat="1" ht="24" customHeight="1">
      <c r="B93" s="66" t="s">
        <v>69</v>
      </c>
      <c r="C93" s="182">
        <v>192414103</v>
      </c>
      <c r="D93" s="182">
        <v>6035827.2699999996</v>
      </c>
      <c r="E93" s="182"/>
      <c r="F93" s="182">
        <v>19266524</v>
      </c>
      <c r="G93" s="182">
        <v>297411.98</v>
      </c>
      <c r="H93" s="182"/>
      <c r="I93" s="182">
        <v>3263528</v>
      </c>
      <c r="J93" s="182">
        <v>110465.9</v>
      </c>
      <c r="K93" s="182"/>
      <c r="L93" s="182">
        <v>63829885</v>
      </c>
      <c r="M93" s="182">
        <v>422393.55</v>
      </c>
    </row>
    <row r="94" spans="2:13" s="3" customFormat="1">
      <c r="B94" s="66" t="s">
        <v>70</v>
      </c>
      <c r="C94" s="182">
        <v>340096258</v>
      </c>
      <c r="D94" s="182">
        <v>13444534.199999999</v>
      </c>
      <c r="E94" s="182"/>
      <c r="F94" s="182">
        <v>1617763</v>
      </c>
      <c r="G94" s="182">
        <v>30737.5</v>
      </c>
      <c r="H94" s="182"/>
      <c r="I94" s="182">
        <v>15981462</v>
      </c>
      <c r="J94" s="182">
        <v>455178.44</v>
      </c>
      <c r="K94" s="182"/>
      <c r="L94" s="182">
        <v>486260022</v>
      </c>
      <c r="M94" s="182">
        <v>4160159.3322000001</v>
      </c>
    </row>
    <row r="95" spans="2:13" s="3" customFormat="1">
      <c r="B95" s="66" t="s">
        <v>71</v>
      </c>
      <c r="C95" s="182">
        <v>1026098734</v>
      </c>
      <c r="D95" s="182">
        <v>25455039.16</v>
      </c>
      <c r="E95" s="182"/>
      <c r="F95" s="182">
        <v>172280970</v>
      </c>
      <c r="G95" s="182">
        <v>1205966.8600000001</v>
      </c>
      <c r="H95" s="182"/>
      <c r="I95" s="182">
        <v>87170428</v>
      </c>
      <c r="J95" s="182">
        <v>941434.12</v>
      </c>
      <c r="K95" s="182"/>
      <c r="L95" s="182">
        <v>238079084</v>
      </c>
      <c r="M95" s="182">
        <v>1032076.2572</v>
      </c>
    </row>
    <row r="96" spans="2:13" s="3" customFormat="1">
      <c r="B96" s="66" t="s">
        <v>169</v>
      </c>
      <c r="C96" s="182">
        <v>1703546941.5</v>
      </c>
      <c r="D96" s="182">
        <v>70012268.530000001</v>
      </c>
      <c r="E96" s="182"/>
      <c r="F96" s="182">
        <v>482363172.5</v>
      </c>
      <c r="G96" s="182">
        <v>9647263.4499999993</v>
      </c>
      <c r="H96" s="182"/>
      <c r="I96" s="182">
        <v>0</v>
      </c>
      <c r="J96" s="182">
        <v>0</v>
      </c>
      <c r="K96" s="182"/>
      <c r="L96" s="182">
        <v>446161709</v>
      </c>
      <c r="M96" s="182">
        <v>2328448.8626999999</v>
      </c>
    </row>
    <row r="97" spans="2:13" s="3" customFormat="1">
      <c r="B97" s="66" t="s">
        <v>72</v>
      </c>
      <c r="C97" s="182">
        <v>298349400</v>
      </c>
      <c r="D97" s="182">
        <v>5936312.9000000004</v>
      </c>
      <c r="E97" s="182"/>
      <c r="F97" s="182">
        <v>298344762</v>
      </c>
      <c r="G97" s="182">
        <v>6116067.6200000001</v>
      </c>
      <c r="H97" s="182"/>
      <c r="I97" s="182">
        <v>29501531</v>
      </c>
      <c r="J97" s="182">
        <v>259054.46</v>
      </c>
      <c r="K97" s="182"/>
      <c r="L97" s="182">
        <v>101150694</v>
      </c>
      <c r="M97" s="182">
        <v>693401.29099999997</v>
      </c>
    </row>
    <row r="98" spans="2:13" s="3" customFormat="1" ht="24" customHeight="1">
      <c r="B98" s="66" t="s">
        <v>73</v>
      </c>
      <c r="C98" s="182">
        <v>692801400</v>
      </c>
      <c r="D98" s="182">
        <v>17787812.190000001</v>
      </c>
      <c r="E98" s="182"/>
      <c r="F98" s="182">
        <v>9120260</v>
      </c>
      <c r="G98" s="182">
        <v>269049.68</v>
      </c>
      <c r="H98" s="182"/>
      <c r="I98" s="182">
        <v>0</v>
      </c>
      <c r="J98" s="182">
        <v>0</v>
      </c>
      <c r="K98" s="182"/>
      <c r="L98" s="182">
        <v>173354948</v>
      </c>
      <c r="M98" s="182">
        <v>1012483.357</v>
      </c>
    </row>
    <row r="99" spans="2:13" s="3" customFormat="1">
      <c r="B99" s="66" t="s">
        <v>74</v>
      </c>
      <c r="C99" s="182">
        <v>662895322</v>
      </c>
      <c r="D99" s="182">
        <v>26374895.91</v>
      </c>
      <c r="E99" s="182"/>
      <c r="F99" s="182">
        <v>66975270</v>
      </c>
      <c r="G99" s="182">
        <v>669752.69999999995</v>
      </c>
      <c r="H99" s="182"/>
      <c r="I99" s="182">
        <v>0</v>
      </c>
      <c r="J99" s="182">
        <v>0</v>
      </c>
      <c r="K99" s="182"/>
      <c r="L99" s="182">
        <v>204277225</v>
      </c>
      <c r="M99" s="182">
        <v>1097911.7420999999</v>
      </c>
    </row>
    <row r="100" spans="2:13" s="3" customFormat="1">
      <c r="B100" s="66" t="s">
        <v>75</v>
      </c>
      <c r="C100" s="182">
        <v>187828537</v>
      </c>
      <c r="D100" s="182">
        <v>3723251.27</v>
      </c>
      <c r="E100" s="182"/>
      <c r="F100" s="182">
        <v>19763537</v>
      </c>
      <c r="G100" s="182">
        <v>345739.03</v>
      </c>
      <c r="H100" s="182"/>
      <c r="I100" s="182">
        <v>1478463</v>
      </c>
      <c r="J100" s="182">
        <v>99057.03</v>
      </c>
      <c r="K100" s="182"/>
      <c r="L100" s="182">
        <v>62894530</v>
      </c>
      <c r="M100" s="182">
        <v>339630.462</v>
      </c>
    </row>
    <row r="101" spans="2:13" s="3" customFormat="1">
      <c r="B101" s="66" t="s">
        <v>76</v>
      </c>
      <c r="C101" s="182">
        <v>204675246</v>
      </c>
      <c r="D101" s="182">
        <v>8844209.2200000007</v>
      </c>
      <c r="E101" s="182"/>
      <c r="F101" s="182">
        <v>9919502</v>
      </c>
      <c r="G101" s="182">
        <v>247987.9</v>
      </c>
      <c r="H101" s="182"/>
      <c r="I101" s="182">
        <v>0</v>
      </c>
      <c r="J101" s="182">
        <v>0</v>
      </c>
      <c r="K101" s="182"/>
      <c r="L101" s="182">
        <v>71503788</v>
      </c>
      <c r="M101" s="182">
        <v>507781.72619999998</v>
      </c>
    </row>
    <row r="102" spans="2:13" s="3" customFormat="1">
      <c r="B102" s="66" t="s">
        <v>77</v>
      </c>
      <c r="C102" s="182">
        <v>97233060</v>
      </c>
      <c r="D102" s="182">
        <v>4683215.34</v>
      </c>
      <c r="E102" s="182"/>
      <c r="F102" s="182">
        <v>32622170</v>
      </c>
      <c r="G102" s="182">
        <v>1315172</v>
      </c>
      <c r="H102" s="182"/>
      <c r="I102" s="182">
        <v>0</v>
      </c>
      <c r="J102" s="182">
        <v>0</v>
      </c>
      <c r="K102" s="182"/>
      <c r="L102" s="182">
        <v>862550589</v>
      </c>
      <c r="M102" s="182">
        <v>5816177.1283</v>
      </c>
    </row>
    <row r="103" spans="2:13" s="3" customFormat="1" ht="24" customHeight="1">
      <c r="B103" s="66" t="s">
        <v>78</v>
      </c>
      <c r="C103" s="182">
        <v>377490200</v>
      </c>
      <c r="D103" s="182">
        <v>13712071.859999999</v>
      </c>
      <c r="E103" s="182"/>
      <c r="F103" s="182">
        <v>147723600</v>
      </c>
      <c r="G103" s="182">
        <v>1861317.36</v>
      </c>
      <c r="H103" s="182"/>
      <c r="I103" s="182">
        <v>0</v>
      </c>
      <c r="J103" s="182">
        <v>0</v>
      </c>
      <c r="K103" s="182"/>
      <c r="L103" s="182">
        <v>1341502762</v>
      </c>
      <c r="M103" s="182">
        <v>6724334.1600000001</v>
      </c>
    </row>
    <row r="104" spans="2:13" s="3" customFormat="1">
      <c r="B104" s="66" t="s">
        <v>79</v>
      </c>
      <c r="C104" s="182">
        <v>2691660563.29</v>
      </c>
      <c r="D104" s="182">
        <v>84303490.819999993</v>
      </c>
      <c r="E104" s="182"/>
      <c r="F104" s="182">
        <v>73156420.329999998</v>
      </c>
      <c r="G104" s="182">
        <v>2621555.94</v>
      </c>
      <c r="H104" s="182"/>
      <c r="I104" s="182">
        <v>122906523.18000001</v>
      </c>
      <c r="J104" s="182">
        <v>2311428.41</v>
      </c>
      <c r="K104" s="182"/>
      <c r="L104" s="182">
        <v>793622178</v>
      </c>
      <c r="M104" s="182">
        <v>6442765.2510000002</v>
      </c>
    </row>
    <row r="105" spans="2:13" s="3" customFormat="1">
      <c r="B105" s="66" t="s">
        <v>80</v>
      </c>
      <c r="C105" s="182">
        <v>6164470424</v>
      </c>
      <c r="D105" s="182">
        <v>183316984</v>
      </c>
      <c r="E105" s="182"/>
      <c r="F105" s="182">
        <v>354251821</v>
      </c>
      <c r="G105" s="182">
        <v>1177265</v>
      </c>
      <c r="H105" s="182"/>
      <c r="I105" s="182">
        <v>0</v>
      </c>
      <c r="J105" s="182">
        <v>0</v>
      </c>
      <c r="K105" s="182"/>
      <c r="L105" s="182">
        <v>1585647937</v>
      </c>
      <c r="M105" s="182">
        <v>13517716.045</v>
      </c>
    </row>
    <row r="106" spans="2:13" s="3" customFormat="1">
      <c r="B106" s="66" t="s">
        <v>81</v>
      </c>
      <c r="C106" s="182">
        <v>499326463</v>
      </c>
      <c r="D106" s="182">
        <v>7668218.3300000001</v>
      </c>
      <c r="E106" s="182"/>
      <c r="F106" s="182">
        <v>677248956</v>
      </c>
      <c r="G106" s="182">
        <v>10363797.77</v>
      </c>
      <c r="H106" s="182"/>
      <c r="I106" s="182">
        <v>0</v>
      </c>
      <c r="J106" s="182">
        <v>0</v>
      </c>
      <c r="K106" s="182"/>
      <c r="L106" s="182">
        <v>221907691</v>
      </c>
      <c r="M106" s="182">
        <v>1235747.2128999999</v>
      </c>
    </row>
    <row r="107" spans="2:13" s="3" customFormat="1">
      <c r="B107" s="66" t="s">
        <v>170</v>
      </c>
      <c r="C107" s="182">
        <v>32497904</v>
      </c>
      <c r="D107" s="182">
        <v>866686.75</v>
      </c>
      <c r="E107" s="182"/>
      <c r="F107" s="182">
        <v>98215</v>
      </c>
      <c r="G107" s="182">
        <v>982.15</v>
      </c>
      <c r="H107" s="182"/>
      <c r="I107" s="182">
        <v>462992</v>
      </c>
      <c r="J107" s="182">
        <v>4629.92</v>
      </c>
      <c r="K107" s="182"/>
      <c r="L107" s="182">
        <v>22772544</v>
      </c>
      <c r="M107" s="182">
        <v>104607.97139999999</v>
      </c>
    </row>
    <row r="108" spans="2:13" s="3" customFormat="1" ht="15.5">
      <c r="B108" s="63" t="str">
        <f>$B$36</f>
        <v>Table 6.4, continued</v>
      </c>
      <c r="C108" s="100"/>
      <c r="D108" s="100"/>
      <c r="E108" s="100"/>
      <c r="F108" s="100"/>
      <c r="G108" s="100"/>
      <c r="H108" s="100"/>
      <c r="I108" s="100"/>
      <c r="J108" s="100"/>
      <c r="K108" s="100"/>
      <c r="L108" s="100"/>
      <c r="M108" s="174"/>
    </row>
    <row r="109" spans="2:13" s="3" customFormat="1">
      <c r="B109" s="64" t="str">
        <f>$B$2</f>
        <v>Tangible Personal Property, Machinery &amp; Tools, Merchants' Capital, and Public Service Corporations:  Assessed Values &amp; Levies by Locality - Tax Year 2024</v>
      </c>
      <c r="C109" s="100"/>
      <c r="D109" s="100"/>
      <c r="E109" s="100"/>
      <c r="F109" s="100"/>
      <c r="G109" s="100"/>
      <c r="H109" s="100"/>
      <c r="I109" s="100"/>
      <c r="J109" s="100"/>
      <c r="K109" s="100"/>
      <c r="L109" s="100"/>
      <c r="M109" s="174"/>
    </row>
    <row r="110" spans="2:13" s="3" customFormat="1" ht="3" customHeight="1" thickBot="1">
      <c r="B110" s="64"/>
      <c r="C110" s="100"/>
      <c r="D110" s="100"/>
      <c r="E110" s="100"/>
      <c r="F110" s="100"/>
      <c r="G110" s="100"/>
      <c r="H110" s="100"/>
      <c r="I110" s="100"/>
      <c r="J110" s="100"/>
      <c r="K110" s="100"/>
      <c r="L110" s="100"/>
      <c r="M110" s="174"/>
    </row>
    <row r="111" spans="2:13" s="3" customFormat="1">
      <c r="B111" s="175"/>
      <c r="C111" s="176" t="str">
        <f>C$4</f>
        <v>Tangible Personal Property</v>
      </c>
      <c r="D111" s="176"/>
      <c r="E111" s="175"/>
      <c r="F111" s="176" t="str">
        <f>F$4</f>
        <v>Machinery and Tools</v>
      </c>
      <c r="G111" s="176"/>
      <c r="H111" s="175"/>
      <c r="I111" s="176" t="str">
        <f>I$4</f>
        <v>Merchants' Capital</v>
      </c>
      <c r="J111" s="176"/>
      <c r="K111" s="175"/>
      <c r="L111" s="176" t="str">
        <f>L$4</f>
        <v>Public Service Corporations</v>
      </c>
      <c r="M111" s="176"/>
    </row>
    <row r="112" spans="2:13" s="3" customFormat="1">
      <c r="B112" s="177" t="s">
        <v>43</v>
      </c>
      <c r="C112" s="178" t="str">
        <f>C$5</f>
        <v>Values</v>
      </c>
      <c r="D112" s="178" t="str">
        <f>D$5</f>
        <v>Levies</v>
      </c>
      <c r="E112" s="179"/>
      <c r="F112" s="178" t="str">
        <f>F$5</f>
        <v>Values</v>
      </c>
      <c r="G112" s="178" t="str">
        <f>G$5</f>
        <v>Levies</v>
      </c>
      <c r="H112" s="179"/>
      <c r="I112" s="180" t="str">
        <f>I$5</f>
        <v>Values</v>
      </c>
      <c r="J112" s="180" t="str">
        <f>J$5</f>
        <v>Levies</v>
      </c>
      <c r="K112" s="179"/>
      <c r="L112" s="181" t="str">
        <f>L$5</f>
        <v>Values</v>
      </c>
      <c r="M112" s="178" t="str">
        <f>M$5</f>
        <v>Levies</v>
      </c>
    </row>
    <row r="113" spans="2:13" s="3" customFormat="1" ht="21" customHeight="1">
      <c r="B113" s="66" t="s">
        <v>82</v>
      </c>
      <c r="C113" s="182">
        <v>569890739</v>
      </c>
      <c r="D113" s="182">
        <v>22597106.640000001</v>
      </c>
      <c r="E113" s="182"/>
      <c r="F113" s="182">
        <v>310895678</v>
      </c>
      <c r="G113" s="182">
        <v>6063573.3700000001</v>
      </c>
      <c r="H113" s="182"/>
      <c r="I113" s="182">
        <v>0</v>
      </c>
      <c r="J113" s="182">
        <v>0</v>
      </c>
      <c r="K113" s="182"/>
      <c r="L113" s="182">
        <v>166611184</v>
      </c>
      <c r="M113" s="182">
        <v>1241091.8399</v>
      </c>
    </row>
    <row r="114" spans="2:13" s="3" customFormat="1">
      <c r="B114" s="66" t="s">
        <v>83</v>
      </c>
      <c r="C114" s="182">
        <v>1204367678</v>
      </c>
      <c r="D114" s="182">
        <v>47715039.630000003</v>
      </c>
      <c r="E114" s="182"/>
      <c r="F114" s="182">
        <v>168556559</v>
      </c>
      <c r="G114" s="182">
        <v>6742262.3799999999</v>
      </c>
      <c r="H114" s="182"/>
      <c r="I114" s="182">
        <v>0</v>
      </c>
      <c r="J114" s="182">
        <v>0</v>
      </c>
      <c r="K114" s="182"/>
      <c r="L114" s="182">
        <v>570390228</v>
      </c>
      <c r="M114" s="182">
        <v>4737886.1359000001</v>
      </c>
    </row>
    <row r="115" spans="2:13" s="3" customFormat="1">
      <c r="B115" s="66" t="s">
        <v>84</v>
      </c>
      <c r="C115" s="182">
        <v>145486968</v>
      </c>
      <c r="D115" s="182">
        <v>4253433.6900000004</v>
      </c>
      <c r="E115" s="182"/>
      <c r="F115" s="182">
        <v>11309340</v>
      </c>
      <c r="G115" s="182">
        <v>122570.29</v>
      </c>
      <c r="H115" s="182"/>
      <c r="I115" s="182">
        <v>8921792</v>
      </c>
      <c r="J115" s="182">
        <v>57991.65</v>
      </c>
      <c r="K115" s="182"/>
      <c r="L115" s="182">
        <v>112785819</v>
      </c>
      <c r="M115" s="182">
        <v>565453.39339999994</v>
      </c>
    </row>
    <row r="116" spans="2:13" s="3" customFormat="1">
      <c r="B116" s="66" t="s">
        <v>85</v>
      </c>
      <c r="C116" s="182">
        <v>432958817</v>
      </c>
      <c r="D116" s="182">
        <v>11938868.460000001</v>
      </c>
      <c r="E116" s="182"/>
      <c r="F116" s="182">
        <v>6960606</v>
      </c>
      <c r="G116" s="182">
        <v>157156.09</v>
      </c>
      <c r="H116" s="182"/>
      <c r="I116" s="182">
        <v>0</v>
      </c>
      <c r="J116" s="182">
        <v>0</v>
      </c>
      <c r="K116" s="182"/>
      <c r="L116" s="182">
        <v>119109929</v>
      </c>
      <c r="M116" s="182">
        <v>812517.95409999997</v>
      </c>
    </row>
    <row r="117" spans="2:13" s="3" customFormat="1">
      <c r="B117" s="66" t="s">
        <v>86</v>
      </c>
      <c r="C117" s="182">
        <v>251969243</v>
      </c>
      <c r="D117" s="182">
        <v>5847695.8399999999</v>
      </c>
      <c r="E117" s="182"/>
      <c r="F117" s="182">
        <v>193628213</v>
      </c>
      <c r="G117" s="182">
        <v>2309554.98</v>
      </c>
      <c r="H117" s="182"/>
      <c r="I117" s="182">
        <v>0</v>
      </c>
      <c r="J117" s="182">
        <v>0</v>
      </c>
      <c r="K117" s="182"/>
      <c r="L117" s="182">
        <v>75235514</v>
      </c>
      <c r="M117" s="182">
        <v>374090.96</v>
      </c>
    </row>
    <row r="118" spans="2:13" s="3" customFormat="1" ht="24" customHeight="1">
      <c r="B118" s="66" t="s">
        <v>171</v>
      </c>
      <c r="C118" s="182">
        <v>188343335</v>
      </c>
      <c r="D118" s="182">
        <v>3240800.13</v>
      </c>
      <c r="E118" s="182"/>
      <c r="F118" s="182">
        <v>115150</v>
      </c>
      <c r="G118" s="182">
        <v>1750.28</v>
      </c>
      <c r="H118" s="182"/>
      <c r="I118" s="182">
        <v>13003570</v>
      </c>
      <c r="J118" s="182">
        <v>129892.2</v>
      </c>
      <c r="K118" s="182"/>
      <c r="L118" s="182">
        <v>104688762</v>
      </c>
      <c r="M118" s="182">
        <v>576845.07779999997</v>
      </c>
    </row>
    <row r="119" spans="2:13" s="3" customFormat="1">
      <c r="B119" s="66" t="s">
        <v>87</v>
      </c>
      <c r="C119" s="182">
        <v>219793569</v>
      </c>
      <c r="D119" s="182">
        <v>3914516.99</v>
      </c>
      <c r="E119" s="182"/>
      <c r="F119" s="182">
        <v>16403446</v>
      </c>
      <c r="G119" s="182">
        <v>328068.92</v>
      </c>
      <c r="H119" s="182"/>
      <c r="I119" s="182">
        <v>6033117</v>
      </c>
      <c r="J119" s="182">
        <v>85034.65</v>
      </c>
      <c r="K119" s="182"/>
      <c r="L119" s="182">
        <v>72152277</v>
      </c>
      <c r="M119" s="182">
        <v>538733.15130000003</v>
      </c>
    </row>
    <row r="120" spans="2:13" s="3" customFormat="1">
      <c r="B120" s="66" t="s">
        <v>88</v>
      </c>
      <c r="C120" s="182">
        <v>24123134283.5</v>
      </c>
      <c r="D120" s="182">
        <v>968176985</v>
      </c>
      <c r="E120" s="182"/>
      <c r="F120" s="182">
        <v>79919123</v>
      </c>
      <c r="G120" s="182">
        <v>2197775</v>
      </c>
      <c r="H120" s="182"/>
      <c r="I120" s="182">
        <v>0</v>
      </c>
      <c r="J120" s="182">
        <v>0</v>
      </c>
      <c r="K120" s="182"/>
      <c r="L120" s="182">
        <v>4153378017</v>
      </c>
      <c r="M120" s="182">
        <v>36039339.534900002</v>
      </c>
    </row>
    <row r="121" spans="2:13" s="3" customFormat="1">
      <c r="B121" s="66" t="s">
        <v>89</v>
      </c>
      <c r="C121" s="182">
        <v>734591605</v>
      </c>
      <c r="D121" s="182">
        <v>15396861.210000001</v>
      </c>
      <c r="E121" s="182"/>
      <c r="F121" s="182">
        <v>23521790</v>
      </c>
      <c r="G121" s="182">
        <v>446914.01</v>
      </c>
      <c r="H121" s="182"/>
      <c r="I121" s="182">
        <v>94049470</v>
      </c>
      <c r="J121" s="182">
        <v>622218.99</v>
      </c>
      <c r="K121" s="182"/>
      <c r="L121" s="182">
        <v>2440268870</v>
      </c>
      <c r="M121" s="182">
        <v>17587760.905000001</v>
      </c>
    </row>
    <row r="122" spans="2:13" s="3" customFormat="1">
      <c r="B122" s="66" t="s">
        <v>90</v>
      </c>
      <c r="C122" s="182">
        <v>118832565</v>
      </c>
      <c r="D122" s="182">
        <v>4989426.18</v>
      </c>
      <c r="E122" s="182"/>
      <c r="F122" s="182">
        <v>15353070</v>
      </c>
      <c r="G122" s="182">
        <v>280764.71999999997</v>
      </c>
      <c r="H122" s="182"/>
      <c r="I122" s="182">
        <v>12393607</v>
      </c>
      <c r="J122" s="182">
        <v>148928.75</v>
      </c>
      <c r="K122" s="182"/>
      <c r="L122" s="182">
        <v>78819961</v>
      </c>
      <c r="M122" s="182">
        <v>260105.8713</v>
      </c>
    </row>
    <row r="123" spans="2:13" s="3" customFormat="1" ht="24" customHeight="1">
      <c r="B123" s="66" t="s">
        <v>91</v>
      </c>
      <c r="C123" s="182">
        <v>212249564.62</v>
      </c>
      <c r="D123" s="182">
        <v>5953086.4199999999</v>
      </c>
      <c r="E123" s="182"/>
      <c r="F123" s="182">
        <v>7581288.5099999998</v>
      </c>
      <c r="G123" s="182">
        <v>126545.41</v>
      </c>
      <c r="H123" s="182"/>
      <c r="I123" s="182">
        <v>31105276.469999999</v>
      </c>
      <c r="J123" s="182">
        <v>267806.74</v>
      </c>
      <c r="K123" s="182"/>
      <c r="L123" s="182">
        <v>47285105</v>
      </c>
      <c r="M123" s="182">
        <v>349909.777</v>
      </c>
    </row>
    <row r="124" spans="2:13" s="3" customFormat="1">
      <c r="B124" s="66" t="s">
        <v>92</v>
      </c>
      <c r="C124" s="182">
        <v>183557082.5</v>
      </c>
      <c r="D124" s="182">
        <v>4903432.7699999996</v>
      </c>
      <c r="E124" s="182"/>
      <c r="F124" s="182">
        <v>0</v>
      </c>
      <c r="G124" s="182">
        <v>0</v>
      </c>
      <c r="H124" s="182"/>
      <c r="I124" s="182">
        <v>0</v>
      </c>
      <c r="J124" s="182">
        <v>0</v>
      </c>
      <c r="K124" s="182"/>
      <c r="L124" s="182">
        <v>23837430</v>
      </c>
      <c r="M124" s="182">
        <v>133516.36079999999</v>
      </c>
    </row>
    <row r="125" spans="2:13" s="3" customFormat="1">
      <c r="B125" s="66" t="s">
        <v>93</v>
      </c>
      <c r="C125" s="182">
        <v>2574823543</v>
      </c>
      <c r="D125" s="182">
        <v>85852779.480000004</v>
      </c>
      <c r="E125" s="182"/>
      <c r="F125" s="182">
        <v>59769195</v>
      </c>
      <c r="G125" s="182">
        <v>393636.86</v>
      </c>
      <c r="H125" s="182"/>
      <c r="I125" s="182">
        <v>84455614</v>
      </c>
      <c r="J125" s="182">
        <v>609815.54</v>
      </c>
      <c r="K125" s="182"/>
      <c r="L125" s="182">
        <v>404428066</v>
      </c>
      <c r="M125" s="182">
        <v>1675363.5919999999</v>
      </c>
    </row>
    <row r="126" spans="2:13" s="3" customFormat="1">
      <c r="B126" s="66" t="s">
        <v>94</v>
      </c>
      <c r="C126" s="182">
        <v>342182847</v>
      </c>
      <c r="D126" s="182">
        <v>6399502.79</v>
      </c>
      <c r="E126" s="182"/>
      <c r="F126" s="182">
        <v>0</v>
      </c>
      <c r="G126" s="182">
        <v>0</v>
      </c>
      <c r="H126" s="182"/>
      <c r="I126" s="182">
        <v>0</v>
      </c>
      <c r="J126" s="182">
        <v>0</v>
      </c>
      <c r="K126" s="182"/>
      <c r="L126" s="182">
        <v>117874721</v>
      </c>
      <c r="M126" s="182">
        <v>721114.65159999998</v>
      </c>
    </row>
    <row r="127" spans="2:13" s="3" customFormat="1">
      <c r="B127" s="66" t="s">
        <v>95</v>
      </c>
      <c r="C127" s="182">
        <v>1185931922</v>
      </c>
      <c r="D127" s="182">
        <v>30141799.800000001</v>
      </c>
      <c r="E127" s="182"/>
      <c r="F127" s="182">
        <v>199686044</v>
      </c>
      <c r="G127" s="182">
        <v>3632454.34</v>
      </c>
      <c r="H127" s="182"/>
      <c r="I127" s="182">
        <v>0</v>
      </c>
      <c r="J127" s="182">
        <v>0</v>
      </c>
      <c r="K127" s="182"/>
      <c r="L127" s="182">
        <v>305789239</v>
      </c>
      <c r="M127" s="182">
        <v>2301068.4284999999</v>
      </c>
    </row>
    <row r="128" spans="2:13" s="3" customFormat="1" ht="24" customHeight="1">
      <c r="B128" s="66" t="s">
        <v>96</v>
      </c>
      <c r="C128" s="182">
        <v>221066494</v>
      </c>
      <c r="D128" s="182">
        <v>5913101.5199999996</v>
      </c>
      <c r="E128" s="182"/>
      <c r="F128" s="182">
        <v>6665560</v>
      </c>
      <c r="G128" s="182">
        <v>83319.570000000007</v>
      </c>
      <c r="H128" s="182"/>
      <c r="I128" s="182">
        <v>0</v>
      </c>
      <c r="J128" s="182">
        <v>0</v>
      </c>
      <c r="K128" s="182"/>
      <c r="L128" s="182">
        <v>156745469</v>
      </c>
      <c r="M128" s="182">
        <v>1058861.3870999999</v>
      </c>
    </row>
    <row r="129" spans="2:13" s="3" customFormat="1">
      <c r="B129" s="66" t="s">
        <v>172</v>
      </c>
      <c r="C129" s="182">
        <v>471989570</v>
      </c>
      <c r="D129" s="182">
        <v>13217197.220000001</v>
      </c>
      <c r="E129" s="182"/>
      <c r="F129" s="182">
        <v>10565575</v>
      </c>
      <c r="G129" s="182">
        <v>77654.17</v>
      </c>
      <c r="H129" s="182"/>
      <c r="I129" s="182">
        <v>0</v>
      </c>
      <c r="J129" s="182">
        <v>0</v>
      </c>
      <c r="K129" s="182"/>
      <c r="L129" s="182">
        <v>244099257</v>
      </c>
      <c r="M129" s="182">
        <v>1470590.0234000001</v>
      </c>
    </row>
    <row r="130" spans="2:13" s="3" customFormat="1">
      <c r="B130" s="66" t="s">
        <v>97</v>
      </c>
      <c r="C130" s="182">
        <v>185766457.13999999</v>
      </c>
      <c r="D130" s="182">
        <v>6808087.7300000004</v>
      </c>
      <c r="E130" s="182"/>
      <c r="F130" s="182">
        <v>5663700</v>
      </c>
      <c r="G130" s="182">
        <v>113274</v>
      </c>
      <c r="H130" s="182"/>
      <c r="I130" s="182">
        <v>0</v>
      </c>
      <c r="J130" s="182">
        <v>0</v>
      </c>
      <c r="K130" s="182"/>
      <c r="L130" s="182">
        <v>76111900</v>
      </c>
      <c r="M130" s="182">
        <v>521366.51500000001</v>
      </c>
    </row>
    <row r="131" spans="2:13" s="3" customFormat="1">
      <c r="B131" s="66" t="s">
        <v>173</v>
      </c>
      <c r="C131" s="182">
        <v>156776847</v>
      </c>
      <c r="D131" s="182">
        <v>5413503.2800000003</v>
      </c>
      <c r="E131" s="182"/>
      <c r="F131" s="182">
        <v>5374943</v>
      </c>
      <c r="G131" s="182">
        <v>193497.95</v>
      </c>
      <c r="H131" s="182"/>
      <c r="I131" s="182">
        <v>6105542</v>
      </c>
      <c r="J131" s="182">
        <v>60888.07</v>
      </c>
      <c r="K131" s="182"/>
      <c r="L131" s="182">
        <v>48545274</v>
      </c>
      <c r="M131" s="182">
        <v>321313.2072</v>
      </c>
    </row>
    <row r="132" spans="2:13" s="3" customFormat="1">
      <c r="B132" s="66" t="s">
        <v>98</v>
      </c>
      <c r="C132" s="182">
        <v>132952844</v>
      </c>
      <c r="D132" s="182">
        <v>4730723.46</v>
      </c>
      <c r="E132" s="182"/>
      <c r="F132" s="182">
        <v>20192191</v>
      </c>
      <c r="G132" s="182">
        <v>270347.62</v>
      </c>
      <c r="H132" s="182"/>
      <c r="I132" s="182">
        <v>0</v>
      </c>
      <c r="J132" s="182">
        <v>0</v>
      </c>
      <c r="K132" s="182"/>
      <c r="L132" s="182">
        <v>110742092</v>
      </c>
      <c r="M132" s="182">
        <v>545843.90399999998</v>
      </c>
    </row>
    <row r="133" spans="2:13" s="3" customFormat="1" ht="24" customHeight="1">
      <c r="B133" s="66" t="s">
        <v>99</v>
      </c>
      <c r="C133" s="182">
        <v>757909940</v>
      </c>
      <c r="D133" s="182">
        <v>19138348</v>
      </c>
      <c r="E133" s="182"/>
      <c r="F133" s="182">
        <v>57278471</v>
      </c>
      <c r="G133" s="182">
        <v>1048196</v>
      </c>
      <c r="H133" s="182"/>
      <c r="I133" s="182">
        <v>67462559</v>
      </c>
      <c r="J133" s="182">
        <v>269850</v>
      </c>
      <c r="K133" s="182"/>
      <c r="L133" s="182">
        <v>207715817</v>
      </c>
      <c r="M133" s="182">
        <v>1559082.7560000001</v>
      </c>
    </row>
    <row r="134" spans="2:13" s="3" customFormat="1">
      <c r="B134" s="66" t="s">
        <v>100</v>
      </c>
      <c r="C134" s="182">
        <v>260414110</v>
      </c>
      <c r="D134" s="182">
        <v>10492425.27</v>
      </c>
      <c r="E134" s="182"/>
      <c r="F134" s="182">
        <v>25732130</v>
      </c>
      <c r="G134" s="182">
        <v>385981.95</v>
      </c>
      <c r="H134" s="182"/>
      <c r="I134" s="182">
        <v>0</v>
      </c>
      <c r="J134" s="182">
        <v>0</v>
      </c>
      <c r="K134" s="182"/>
      <c r="L134" s="182">
        <v>91001004</v>
      </c>
      <c r="M134" s="182">
        <v>685616.23</v>
      </c>
    </row>
    <row r="135" spans="2:13" s="3" customFormat="1">
      <c r="B135" s="66" t="s">
        <v>101</v>
      </c>
      <c r="C135" s="182">
        <v>293925577</v>
      </c>
      <c r="D135" s="182">
        <v>4866199.6500000004</v>
      </c>
      <c r="E135" s="182"/>
      <c r="F135" s="182">
        <v>50345749</v>
      </c>
      <c r="G135" s="182">
        <v>862053.41</v>
      </c>
      <c r="H135" s="182"/>
      <c r="I135" s="182">
        <v>0</v>
      </c>
      <c r="J135" s="182">
        <v>0</v>
      </c>
      <c r="K135" s="182"/>
      <c r="L135" s="182">
        <v>61820220</v>
      </c>
      <c r="M135" s="182">
        <v>452411.15639999998</v>
      </c>
    </row>
    <row r="136" spans="2:13" s="3" customFormat="1">
      <c r="B136" s="66" t="s">
        <v>102</v>
      </c>
      <c r="C136" s="182">
        <v>262215656</v>
      </c>
      <c r="D136" s="182">
        <v>17645866.57</v>
      </c>
      <c r="E136" s="182"/>
      <c r="F136" s="182">
        <v>54549590</v>
      </c>
      <c r="G136" s="182">
        <v>2454731.5499999998</v>
      </c>
      <c r="H136" s="182"/>
      <c r="I136" s="182">
        <v>15074840</v>
      </c>
      <c r="J136" s="182">
        <v>409897.96</v>
      </c>
      <c r="K136" s="182"/>
      <c r="L136" s="182">
        <v>450929457</v>
      </c>
      <c r="M136" s="182">
        <v>2650240.9427999998</v>
      </c>
    </row>
    <row r="137" spans="2:13" s="3" customFormat="1">
      <c r="B137" s="66" t="s">
        <v>174</v>
      </c>
      <c r="C137" s="182">
        <v>433861520</v>
      </c>
      <c r="D137" s="182">
        <v>18906627.120000001</v>
      </c>
      <c r="E137" s="182"/>
      <c r="F137" s="182">
        <v>21968071</v>
      </c>
      <c r="G137" s="182">
        <v>790850.56000000006</v>
      </c>
      <c r="H137" s="182"/>
      <c r="I137" s="182">
        <v>0</v>
      </c>
      <c r="J137" s="182">
        <v>0</v>
      </c>
      <c r="K137" s="182"/>
      <c r="L137" s="182">
        <v>120682729</v>
      </c>
      <c r="M137" s="182">
        <v>860897.06099999999</v>
      </c>
    </row>
    <row r="138" spans="2:13" s="3" customFormat="1" ht="24" customHeight="1">
      <c r="B138" s="66" t="s">
        <v>103</v>
      </c>
      <c r="C138" s="182">
        <v>186665547</v>
      </c>
      <c r="D138" s="182">
        <v>7815652.1600000001</v>
      </c>
      <c r="E138" s="182"/>
      <c r="F138" s="182">
        <v>2529200</v>
      </c>
      <c r="G138" s="182">
        <v>106226.4</v>
      </c>
      <c r="H138" s="182"/>
      <c r="I138" s="182">
        <v>55934400</v>
      </c>
      <c r="J138" s="182">
        <v>391540.8</v>
      </c>
      <c r="K138" s="182"/>
      <c r="L138" s="182">
        <v>108894403</v>
      </c>
      <c r="M138" s="182">
        <v>588833.21569999994</v>
      </c>
    </row>
    <row r="139" spans="2:13" s="3" customFormat="1">
      <c r="B139" s="66" t="s">
        <v>175</v>
      </c>
      <c r="C139" s="182">
        <v>448901520</v>
      </c>
      <c r="D139" s="182">
        <v>16960875.850000001</v>
      </c>
      <c r="E139" s="182"/>
      <c r="F139" s="182">
        <v>87489319</v>
      </c>
      <c r="G139" s="182">
        <v>1333394.19</v>
      </c>
      <c r="H139" s="182"/>
      <c r="I139" s="182">
        <v>0</v>
      </c>
      <c r="J139" s="182">
        <v>0</v>
      </c>
      <c r="K139" s="182"/>
      <c r="L139" s="182">
        <v>301076891</v>
      </c>
      <c r="M139" s="182">
        <v>2471073.3314</v>
      </c>
    </row>
    <row r="140" spans="2:13" s="3" customFormat="1">
      <c r="B140" s="66" t="s">
        <v>104</v>
      </c>
      <c r="C140" s="182">
        <v>8044510766.5500002</v>
      </c>
      <c r="D140" s="182">
        <v>275268102.94</v>
      </c>
      <c r="E140" s="182"/>
      <c r="F140" s="182">
        <v>91838557.290000007</v>
      </c>
      <c r="G140" s="182">
        <v>1836771.15</v>
      </c>
      <c r="H140" s="182"/>
      <c r="I140" s="182">
        <v>0</v>
      </c>
      <c r="J140" s="182">
        <v>0</v>
      </c>
      <c r="K140" s="182"/>
      <c r="L140" s="182">
        <v>2591645313</v>
      </c>
      <c r="M140" s="182">
        <v>23962155.685199998</v>
      </c>
    </row>
    <row r="141" spans="2:13" s="3" customFormat="1">
      <c r="B141" s="66" t="s">
        <v>105</v>
      </c>
      <c r="C141" s="182">
        <v>499373707</v>
      </c>
      <c r="D141" s="182">
        <v>11011545.439999999</v>
      </c>
      <c r="E141" s="182"/>
      <c r="F141" s="182">
        <v>350020454</v>
      </c>
      <c r="G141" s="182">
        <v>5250306.91</v>
      </c>
      <c r="H141" s="182"/>
      <c r="I141" s="182">
        <v>0</v>
      </c>
      <c r="J141" s="182">
        <v>0</v>
      </c>
      <c r="K141" s="182"/>
      <c r="L141" s="182">
        <v>124073929</v>
      </c>
      <c r="M141" s="182">
        <v>924345.7034</v>
      </c>
    </row>
    <row r="142" spans="2:13" s="3" customFormat="1">
      <c r="B142" s="66" t="s">
        <v>106</v>
      </c>
      <c r="C142" s="182">
        <v>90020545</v>
      </c>
      <c r="D142" s="182">
        <v>3404165.64</v>
      </c>
      <c r="E142" s="182"/>
      <c r="F142" s="182">
        <v>0</v>
      </c>
      <c r="G142" s="182">
        <v>0</v>
      </c>
      <c r="H142" s="182"/>
      <c r="I142" s="182">
        <v>0</v>
      </c>
      <c r="J142" s="182">
        <v>0</v>
      </c>
      <c r="K142" s="182"/>
      <c r="L142" s="182">
        <v>53569862</v>
      </c>
      <c r="M142" s="182">
        <v>326776.15820000001</v>
      </c>
    </row>
    <row r="143" spans="2:13" s="3" customFormat="1" ht="15.5">
      <c r="B143" s="63" t="str">
        <f>$B$36</f>
        <v>Table 6.4, continued</v>
      </c>
      <c r="C143" s="100"/>
      <c r="D143" s="100"/>
      <c r="E143" s="100"/>
      <c r="F143" s="100"/>
      <c r="G143" s="100"/>
      <c r="H143" s="100"/>
      <c r="I143" s="100"/>
      <c r="J143" s="100"/>
      <c r="K143" s="100"/>
      <c r="L143" s="100"/>
      <c r="M143" s="174"/>
    </row>
    <row r="144" spans="2:13" s="3" customFormat="1">
      <c r="B144" s="64" t="str">
        <f>$B$2</f>
        <v>Tangible Personal Property, Machinery &amp; Tools, Merchants' Capital, and Public Service Corporations:  Assessed Values &amp; Levies by Locality - Tax Year 2024</v>
      </c>
      <c r="C144" s="100"/>
      <c r="D144" s="100"/>
      <c r="E144" s="100"/>
      <c r="F144" s="100"/>
      <c r="G144" s="100"/>
      <c r="H144" s="100"/>
      <c r="I144" s="100"/>
      <c r="J144" s="100"/>
      <c r="K144" s="100"/>
      <c r="L144" s="100"/>
      <c r="M144" s="174"/>
    </row>
    <row r="145" spans="2:13" s="3" customFormat="1" ht="3" customHeight="1" thickBot="1">
      <c r="B145" s="64"/>
      <c r="C145" s="100"/>
      <c r="D145" s="100"/>
      <c r="E145" s="100"/>
      <c r="F145" s="100"/>
      <c r="G145" s="100"/>
      <c r="H145" s="100"/>
      <c r="I145" s="100"/>
      <c r="J145" s="100"/>
      <c r="K145" s="100"/>
      <c r="L145" s="100"/>
      <c r="M145" s="174"/>
    </row>
    <row r="146" spans="2:13" s="3" customFormat="1">
      <c r="B146" s="175"/>
      <c r="C146" s="176" t="str">
        <f>C$4</f>
        <v>Tangible Personal Property</v>
      </c>
      <c r="D146" s="176"/>
      <c r="E146" s="175"/>
      <c r="F146" s="176" t="str">
        <f>F$4</f>
        <v>Machinery and Tools</v>
      </c>
      <c r="G146" s="176"/>
      <c r="H146" s="175"/>
      <c r="I146" s="176" t="str">
        <f>I$4</f>
        <v>Merchants' Capital</v>
      </c>
      <c r="J146" s="176"/>
      <c r="K146" s="175"/>
      <c r="L146" s="176" t="str">
        <f>L$4</f>
        <v>Public Service Corporations</v>
      </c>
      <c r="M146" s="176"/>
    </row>
    <row r="147" spans="2:13" s="3" customFormat="1">
      <c r="B147" s="177" t="s">
        <v>43</v>
      </c>
      <c r="C147" s="178" t="str">
        <f>C$5</f>
        <v>Values</v>
      </c>
      <c r="D147" s="178" t="str">
        <f>D$5</f>
        <v>Levies</v>
      </c>
      <c r="E147" s="179"/>
      <c r="F147" s="178" t="str">
        <f>F$5</f>
        <v>Values</v>
      </c>
      <c r="G147" s="178" t="str">
        <f>G$5</f>
        <v>Levies</v>
      </c>
      <c r="H147" s="179"/>
      <c r="I147" s="180" t="str">
        <f>I$5</f>
        <v>Values</v>
      </c>
      <c r="J147" s="180" t="str">
        <f>J$5</f>
        <v>Levies</v>
      </c>
      <c r="K147" s="179"/>
      <c r="L147" s="181" t="str">
        <f>L$5</f>
        <v>Values</v>
      </c>
      <c r="M147" s="178" t="str">
        <f>M$5</f>
        <v>Levies</v>
      </c>
    </row>
    <row r="148" spans="2:13" s="3" customFormat="1" ht="21" customHeight="1">
      <c r="B148" s="66" t="s">
        <v>176</v>
      </c>
      <c r="C148" s="182">
        <v>109556240</v>
      </c>
      <c r="D148" s="182">
        <v>4078019.46</v>
      </c>
      <c r="E148" s="182"/>
      <c r="F148" s="182">
        <v>20123310</v>
      </c>
      <c r="G148" s="182">
        <v>80493.240000000005</v>
      </c>
      <c r="H148" s="182"/>
      <c r="I148" s="182">
        <v>3554390</v>
      </c>
      <c r="J148" s="182">
        <v>124403.65</v>
      </c>
      <c r="K148" s="182"/>
      <c r="L148" s="182">
        <v>125292698</v>
      </c>
      <c r="M148" s="182">
        <v>810031.88100000005</v>
      </c>
    </row>
    <row r="149" spans="2:13" s="3" customFormat="1">
      <c r="B149" s="66" t="s">
        <v>177</v>
      </c>
      <c r="C149" s="182">
        <v>1273012264</v>
      </c>
      <c r="D149" s="182">
        <v>43216210.009999998</v>
      </c>
      <c r="E149" s="182"/>
      <c r="F149" s="182">
        <v>106812450</v>
      </c>
      <c r="G149" s="182">
        <v>2990748.6</v>
      </c>
      <c r="H149" s="182"/>
      <c r="I149" s="182">
        <v>0</v>
      </c>
      <c r="J149" s="182">
        <v>0</v>
      </c>
      <c r="K149" s="182"/>
      <c r="L149" s="182">
        <v>534896700</v>
      </c>
      <c r="M149" s="182">
        <v>5586012.3799999999</v>
      </c>
    </row>
    <row r="150" spans="2:13" s="3" customFormat="1">
      <c r="B150" s="66" t="s">
        <v>107</v>
      </c>
      <c r="C150" s="182">
        <v>318096641</v>
      </c>
      <c r="D150" s="182">
        <v>12907978.199999999</v>
      </c>
      <c r="E150" s="182"/>
      <c r="F150" s="182">
        <v>21145754</v>
      </c>
      <c r="G150" s="182">
        <v>598551.34</v>
      </c>
      <c r="H150" s="182"/>
      <c r="I150" s="182">
        <v>0</v>
      </c>
      <c r="J150" s="182">
        <v>0</v>
      </c>
      <c r="K150" s="182"/>
      <c r="L150" s="182">
        <v>302707955</v>
      </c>
      <c r="M150" s="182">
        <v>1850260.2634999999</v>
      </c>
    </row>
    <row r="151" spans="2:13" s="3" customFormat="1">
      <c r="B151" s="66" t="s">
        <v>108</v>
      </c>
      <c r="C151" s="182">
        <v>1338099256</v>
      </c>
      <c r="D151" s="182">
        <v>31693801.25</v>
      </c>
      <c r="E151" s="182"/>
      <c r="F151" s="182">
        <v>810013335</v>
      </c>
      <c r="G151" s="182">
        <v>20655347.210000001</v>
      </c>
      <c r="H151" s="182"/>
      <c r="I151" s="182">
        <v>206388534</v>
      </c>
      <c r="J151" s="182">
        <v>1795580.68</v>
      </c>
      <c r="K151" s="182"/>
      <c r="L151" s="182">
        <v>383835677</v>
      </c>
      <c r="M151" s="182">
        <v>2820082.0436</v>
      </c>
    </row>
    <row r="152" spans="2:13" s="3" customFormat="1">
      <c r="B152" s="66" t="s">
        <v>109</v>
      </c>
      <c r="C152" s="182">
        <v>400001698</v>
      </c>
      <c r="D152" s="182">
        <v>7088973.71</v>
      </c>
      <c r="E152" s="182"/>
      <c r="F152" s="182">
        <v>70697036</v>
      </c>
      <c r="G152" s="182">
        <v>1378595.02</v>
      </c>
      <c r="H152" s="182"/>
      <c r="I152" s="182">
        <v>7853703</v>
      </c>
      <c r="J152" s="182">
        <v>51049.2</v>
      </c>
      <c r="K152" s="182"/>
      <c r="L152" s="182">
        <v>289431875</v>
      </c>
      <c r="M152" s="182">
        <v>1823420.8125</v>
      </c>
    </row>
    <row r="153" spans="2:13" s="3" customFormat="1" ht="21" customHeight="1">
      <c r="B153" s="66" t="s">
        <v>110</v>
      </c>
      <c r="C153" s="182">
        <v>229125709</v>
      </c>
      <c r="D153" s="182">
        <v>3835322.06</v>
      </c>
      <c r="E153" s="182"/>
      <c r="F153" s="182">
        <v>55100973</v>
      </c>
      <c r="G153" s="182">
        <v>633661.22</v>
      </c>
      <c r="H153" s="182"/>
      <c r="I153" s="182">
        <v>39460935</v>
      </c>
      <c r="J153" s="182">
        <v>0</v>
      </c>
      <c r="K153" s="182"/>
      <c r="L153" s="182">
        <v>115355285</v>
      </c>
      <c r="M153" s="182">
        <v>893963.42969999998</v>
      </c>
    </row>
    <row r="154" spans="2:13" s="3" customFormat="1">
      <c r="B154" s="66" t="s">
        <v>111</v>
      </c>
      <c r="C154" s="182">
        <v>671132243</v>
      </c>
      <c r="D154" s="182">
        <v>26239486.359999999</v>
      </c>
      <c r="E154" s="182"/>
      <c r="F154" s="182">
        <v>90333259</v>
      </c>
      <c r="G154" s="182">
        <v>2809377.87</v>
      </c>
      <c r="H154" s="182"/>
      <c r="I154" s="182">
        <v>63866436</v>
      </c>
      <c r="J154" s="182">
        <v>381623.31</v>
      </c>
      <c r="K154" s="182"/>
      <c r="L154" s="182">
        <v>313789883</v>
      </c>
      <c r="M154" s="182">
        <v>2032510.4124</v>
      </c>
    </row>
    <row r="155" spans="2:13" s="3" customFormat="1">
      <c r="B155" s="66" t="s">
        <v>112</v>
      </c>
      <c r="C155" s="182">
        <v>355020990</v>
      </c>
      <c r="D155" s="182">
        <v>8013738.9100000001</v>
      </c>
      <c r="E155" s="182"/>
      <c r="F155" s="182">
        <v>124541316</v>
      </c>
      <c r="G155" s="182">
        <v>1930390.4</v>
      </c>
      <c r="H155" s="182"/>
      <c r="I155" s="182">
        <v>115570002</v>
      </c>
      <c r="J155" s="182">
        <v>462280.01</v>
      </c>
      <c r="K155" s="182"/>
      <c r="L155" s="182">
        <v>318510431</v>
      </c>
      <c r="M155" s="182">
        <v>1883437.4317000001</v>
      </c>
    </row>
    <row r="156" spans="2:13" s="3" customFormat="1">
      <c r="B156" s="66" t="s">
        <v>113</v>
      </c>
      <c r="C156" s="182">
        <v>295787627</v>
      </c>
      <c r="D156" s="182">
        <v>12564493.609999999</v>
      </c>
      <c r="E156" s="182"/>
      <c r="F156" s="182">
        <v>116920545</v>
      </c>
      <c r="G156" s="182">
        <v>2806093.08</v>
      </c>
      <c r="H156" s="182"/>
      <c r="I156" s="182">
        <v>22690223</v>
      </c>
      <c r="J156" s="182">
        <v>113451.12</v>
      </c>
      <c r="K156" s="182"/>
      <c r="L156" s="182">
        <v>268952522</v>
      </c>
      <c r="M156" s="182">
        <v>1912736.9913999999</v>
      </c>
    </row>
    <row r="157" spans="2:13" s="3" customFormat="1">
      <c r="B157" s="66" t="s">
        <v>114</v>
      </c>
      <c r="C157" s="182">
        <v>397489186</v>
      </c>
      <c r="D157" s="182">
        <v>60602493.100000001</v>
      </c>
      <c r="E157" s="182"/>
      <c r="F157" s="182">
        <v>45778555</v>
      </c>
      <c r="G157" s="182">
        <v>312379.90000000002</v>
      </c>
      <c r="H157" s="182"/>
      <c r="I157" s="182">
        <v>0</v>
      </c>
      <c r="J157" s="182">
        <v>0</v>
      </c>
      <c r="K157" s="182"/>
      <c r="L157" s="182">
        <v>663160874</v>
      </c>
      <c r="M157" s="182">
        <v>4925558.7264</v>
      </c>
    </row>
    <row r="158" spans="2:13" s="3" customFormat="1" ht="21" customHeight="1">
      <c r="B158" s="66" t="s">
        <v>115</v>
      </c>
      <c r="C158" s="182">
        <v>1441055310</v>
      </c>
      <c r="D158" s="182">
        <v>79557065.609999999</v>
      </c>
      <c r="E158" s="182"/>
      <c r="F158" s="182">
        <v>0</v>
      </c>
      <c r="G158" s="182">
        <v>0</v>
      </c>
      <c r="H158" s="182"/>
      <c r="I158" s="182">
        <v>208662980</v>
      </c>
      <c r="J158" s="182">
        <v>1050075.3799999999</v>
      </c>
      <c r="K158" s="182"/>
      <c r="L158" s="182">
        <v>473311838</v>
      </c>
      <c r="M158" s="182">
        <v>4260678.4561000001</v>
      </c>
    </row>
    <row r="159" spans="2:13" s="3" customFormat="1">
      <c r="B159" s="66" t="s">
        <v>116</v>
      </c>
      <c r="C159" s="182">
        <v>84547179</v>
      </c>
      <c r="D159" s="182">
        <v>3277043.87</v>
      </c>
      <c r="E159" s="182"/>
      <c r="F159" s="182">
        <v>1988880</v>
      </c>
      <c r="G159" s="182">
        <v>19888.8</v>
      </c>
      <c r="H159" s="182"/>
      <c r="I159" s="182">
        <v>0</v>
      </c>
      <c r="J159" s="182">
        <v>0</v>
      </c>
      <c r="K159" s="182"/>
      <c r="L159" s="182">
        <v>2263210309</v>
      </c>
      <c r="M159" s="182">
        <v>16085198.581499999</v>
      </c>
    </row>
    <row r="160" spans="2:13" s="3" customFormat="1">
      <c r="B160" s="66" t="s">
        <v>117</v>
      </c>
      <c r="C160" s="182">
        <v>129331459</v>
      </c>
      <c r="D160" s="182">
        <v>7961959.6299999999</v>
      </c>
      <c r="E160" s="182"/>
      <c r="F160" s="182">
        <v>70283603</v>
      </c>
      <c r="G160" s="182">
        <v>1511288.06</v>
      </c>
      <c r="H160" s="182"/>
      <c r="I160" s="182">
        <v>16850908</v>
      </c>
      <c r="J160" s="182">
        <v>168509.08</v>
      </c>
      <c r="K160" s="182"/>
      <c r="L160" s="182">
        <v>137589287</v>
      </c>
      <c r="M160" s="182">
        <v>776602.73470000003</v>
      </c>
    </row>
    <row r="161" spans="2:13" s="3" customFormat="1">
      <c r="B161" s="66" t="s">
        <v>118</v>
      </c>
      <c r="C161" s="182">
        <v>647132592</v>
      </c>
      <c r="D161" s="182">
        <v>11174171.51</v>
      </c>
      <c r="E161" s="182"/>
      <c r="F161" s="182">
        <v>26527218</v>
      </c>
      <c r="G161" s="182">
        <v>1586358</v>
      </c>
      <c r="H161" s="182"/>
      <c r="I161" s="182">
        <v>21048500</v>
      </c>
      <c r="J161" s="182">
        <v>902694.7</v>
      </c>
      <c r="K161" s="182"/>
      <c r="L161" s="182">
        <v>241964501</v>
      </c>
      <c r="M161" s="182">
        <v>1411087.4512</v>
      </c>
    </row>
    <row r="162" spans="2:13" s="3" customFormat="1">
      <c r="B162" s="66" t="s">
        <v>119</v>
      </c>
      <c r="C162" s="182">
        <v>634147220</v>
      </c>
      <c r="D162" s="182">
        <v>26983067.030000001</v>
      </c>
      <c r="E162" s="182"/>
      <c r="F162" s="182">
        <v>85756700</v>
      </c>
      <c r="G162" s="182">
        <v>1743442.64</v>
      </c>
      <c r="H162" s="182"/>
      <c r="I162" s="182">
        <v>0</v>
      </c>
      <c r="J162" s="182">
        <v>0</v>
      </c>
      <c r="K162" s="182"/>
      <c r="L162" s="182">
        <v>1107440400</v>
      </c>
      <c r="M162" s="182">
        <v>6002990.3700000001</v>
      </c>
    </row>
    <row r="163" spans="2:13" s="3" customFormat="1" ht="21" customHeight="1">
      <c r="B163" s="66" t="s">
        <v>120</v>
      </c>
      <c r="C163" s="182">
        <v>1008190280.62</v>
      </c>
      <c r="D163" s="182">
        <v>12177296.41</v>
      </c>
      <c r="E163" s="182"/>
      <c r="F163" s="182">
        <v>240772512.59999999</v>
      </c>
      <c r="G163" s="182">
        <v>3643652.87</v>
      </c>
      <c r="H163" s="182"/>
      <c r="I163" s="182">
        <v>0</v>
      </c>
      <c r="J163" s="182">
        <v>0</v>
      </c>
      <c r="K163" s="182"/>
      <c r="L163" s="182">
        <v>225067977</v>
      </c>
      <c r="M163" s="182">
        <v>1359990.38</v>
      </c>
    </row>
    <row r="164" spans="2:13" s="3" customFormat="1">
      <c r="B164" s="66" t="s">
        <v>178</v>
      </c>
      <c r="C164" s="182">
        <v>254148870</v>
      </c>
      <c r="D164" s="182">
        <v>7514762.6200000001</v>
      </c>
      <c r="E164" s="182"/>
      <c r="F164" s="182">
        <v>19265210</v>
      </c>
      <c r="G164" s="182">
        <v>366361.87</v>
      </c>
      <c r="H164" s="182"/>
      <c r="I164" s="182">
        <v>12038270</v>
      </c>
      <c r="J164" s="182">
        <v>97021.92</v>
      </c>
      <c r="K164" s="182"/>
      <c r="L164" s="182">
        <v>67157680</v>
      </c>
      <c r="M164" s="182">
        <v>461935.91800000001</v>
      </c>
    </row>
    <row r="165" spans="2:13" s="3" customFormat="1">
      <c r="B165" s="66" t="s">
        <v>121</v>
      </c>
      <c r="C165" s="182">
        <v>464726035</v>
      </c>
      <c r="D165" s="182">
        <v>5756252.9000000004</v>
      </c>
      <c r="E165" s="182"/>
      <c r="F165" s="182">
        <v>37271465</v>
      </c>
      <c r="G165" s="182">
        <v>532342.81999999995</v>
      </c>
      <c r="H165" s="182"/>
      <c r="I165" s="182">
        <v>29619485</v>
      </c>
      <c r="J165" s="182">
        <v>797327.09</v>
      </c>
      <c r="K165" s="182"/>
      <c r="L165" s="182">
        <v>1399696053</v>
      </c>
      <c r="M165" s="182">
        <v>9656857.7331000008</v>
      </c>
    </row>
    <row r="166" spans="2:13" s="3" customFormat="1">
      <c r="B166" s="66" t="s">
        <v>122</v>
      </c>
      <c r="C166" s="182">
        <v>489354060</v>
      </c>
      <c r="D166" s="182">
        <v>10549130.689999999</v>
      </c>
      <c r="E166" s="182"/>
      <c r="F166" s="182">
        <v>197272821</v>
      </c>
      <c r="G166" s="182">
        <v>2959092.48</v>
      </c>
      <c r="H166" s="182"/>
      <c r="I166" s="182">
        <v>86127618</v>
      </c>
      <c r="J166" s="182">
        <v>482314.71</v>
      </c>
      <c r="K166" s="182"/>
      <c r="L166" s="182">
        <v>325881614</v>
      </c>
      <c r="M166" s="182">
        <v>1666211.8962000001</v>
      </c>
    </row>
    <row r="167" spans="2:13" s="3" customFormat="1">
      <c r="B167" s="66" t="s">
        <v>123</v>
      </c>
      <c r="C167" s="182">
        <v>940194819</v>
      </c>
      <c r="D167" s="182">
        <v>28738719.899999999</v>
      </c>
      <c r="E167" s="182"/>
      <c r="F167" s="182">
        <v>4299205</v>
      </c>
      <c r="G167" s="182">
        <v>162819.17000000001</v>
      </c>
      <c r="H167" s="182"/>
      <c r="I167" s="182">
        <v>0</v>
      </c>
      <c r="J167" s="182">
        <v>0</v>
      </c>
      <c r="K167" s="182"/>
      <c r="L167" s="182">
        <v>1014739598</v>
      </c>
      <c r="M167" s="182">
        <v>7713155.6465999996</v>
      </c>
    </row>
    <row r="168" spans="2:13" s="3" customFormat="1" ht="10" customHeight="1">
      <c r="B168" s="66"/>
      <c r="C168" s="82"/>
      <c r="D168" s="82"/>
      <c r="E168" s="82"/>
      <c r="F168" s="82"/>
      <c r="G168" s="82"/>
      <c r="H168" s="82"/>
      <c r="I168" s="82"/>
      <c r="J168" s="82"/>
      <c r="K168" s="82"/>
      <c r="L168" s="82"/>
      <c r="M168" s="187"/>
    </row>
    <row r="169" spans="2:13" s="3" customFormat="1">
      <c r="B169" s="106" t="s">
        <v>124</v>
      </c>
      <c r="C169" s="107">
        <f t="shared" ref="C169:J169" si="0">SUM(C58:C167)</f>
        <v>110492967272.48999</v>
      </c>
      <c r="D169" s="107">
        <f t="shared" si="0"/>
        <v>4058905638.354001</v>
      </c>
      <c r="E169" s="107"/>
      <c r="F169" s="107">
        <f t="shared" si="0"/>
        <v>8999173161.3299999</v>
      </c>
      <c r="G169" s="107">
        <f t="shared" si="0"/>
        <v>174329233.87000003</v>
      </c>
      <c r="H169" s="107"/>
      <c r="I169" s="107">
        <f t="shared" si="0"/>
        <v>1616631420.6500001</v>
      </c>
      <c r="J169" s="107">
        <f t="shared" si="0"/>
        <v>15174135.199999999</v>
      </c>
      <c r="K169" s="107"/>
      <c r="L169" s="107">
        <f t="shared" ref="L169:M169" si="1">SUM(L58:L167)</f>
        <v>48018961848.559998</v>
      </c>
      <c r="M169" s="107">
        <f t="shared" si="1"/>
        <v>367051803.7190001</v>
      </c>
    </row>
    <row r="170" spans="2:13" s="3" customFormat="1" ht="6" customHeight="1">
      <c r="B170" s="66"/>
      <c r="C170" s="82"/>
      <c r="D170" s="82"/>
      <c r="E170" s="82"/>
      <c r="F170" s="82"/>
      <c r="G170" s="82"/>
      <c r="H170" s="82"/>
      <c r="I170" s="82"/>
      <c r="J170" s="82"/>
      <c r="K170" s="82"/>
      <c r="L170" s="82"/>
      <c r="M170" s="82"/>
    </row>
    <row r="171" spans="2:13" s="3" customFormat="1">
      <c r="B171" s="106" t="s">
        <v>152</v>
      </c>
      <c r="C171" s="107">
        <f>C50</f>
        <v>31704188639.27</v>
      </c>
      <c r="D171" s="107">
        <f t="shared" ref="D171:J171" si="2">D50</f>
        <v>1263971785.7053003</v>
      </c>
      <c r="E171" s="107"/>
      <c r="F171" s="107">
        <f t="shared" si="2"/>
        <v>4236648749.0900002</v>
      </c>
      <c r="G171" s="107">
        <f t="shared" si="2"/>
        <v>107881216.87450002</v>
      </c>
      <c r="H171" s="107"/>
      <c r="I171" s="107">
        <f t="shared" si="2"/>
        <v>0</v>
      </c>
      <c r="J171" s="107">
        <f t="shared" si="2"/>
        <v>0</v>
      </c>
      <c r="K171" s="107"/>
      <c r="L171" s="107">
        <f t="shared" ref="L171:M171" si="3">L50</f>
        <v>10693035101</v>
      </c>
      <c r="M171" s="107">
        <f t="shared" si="3"/>
        <v>104469368.8837</v>
      </c>
    </row>
    <row r="172" spans="2:13" s="3" customFormat="1" ht="6" customHeight="1">
      <c r="B172" s="66"/>
      <c r="C172" s="82"/>
      <c r="D172" s="82"/>
      <c r="E172" s="82"/>
      <c r="F172" s="82"/>
      <c r="G172" s="82"/>
      <c r="H172" s="82"/>
      <c r="I172" s="82"/>
      <c r="J172" s="82"/>
      <c r="K172" s="82"/>
      <c r="L172" s="82"/>
      <c r="M172" s="82"/>
    </row>
    <row r="173" spans="2:13" s="3" customFormat="1">
      <c r="B173" s="106" t="s">
        <v>153</v>
      </c>
      <c r="C173" s="107">
        <f>C169+C171</f>
        <v>142197155911.75998</v>
      </c>
      <c r="D173" s="107">
        <f t="shared" ref="D173:J173" si="4">D169+D171</f>
        <v>5322877424.0593014</v>
      </c>
      <c r="E173" s="107"/>
      <c r="F173" s="107">
        <f t="shared" si="4"/>
        <v>13235821910.42</v>
      </c>
      <c r="G173" s="107">
        <f t="shared" si="4"/>
        <v>282210450.74450004</v>
      </c>
      <c r="H173" s="107"/>
      <c r="I173" s="107">
        <f t="shared" si="4"/>
        <v>1616631420.6500001</v>
      </c>
      <c r="J173" s="107">
        <f t="shared" si="4"/>
        <v>15174135.199999999</v>
      </c>
      <c r="K173" s="107"/>
      <c r="L173" s="107">
        <f t="shared" ref="L173:M173" si="5">L169+L171</f>
        <v>58711996949.559998</v>
      </c>
      <c r="M173" s="107">
        <f t="shared" si="5"/>
        <v>471521172.60270011</v>
      </c>
    </row>
    <row r="174" spans="2:13" s="3" customFormat="1" ht="6" customHeight="1">
      <c r="B174" s="66"/>
      <c r="C174" s="82"/>
      <c r="D174" s="82"/>
      <c r="E174" s="82"/>
      <c r="F174" s="82"/>
      <c r="G174" s="82"/>
      <c r="H174" s="82"/>
      <c r="I174" s="82"/>
      <c r="J174" s="82"/>
      <c r="K174" s="82"/>
      <c r="L174" s="82"/>
      <c r="M174" s="187"/>
    </row>
    <row r="175" spans="2:13" s="3" customFormat="1" ht="12">
      <c r="B175" s="65" t="s">
        <v>24</v>
      </c>
      <c r="C175" s="108"/>
      <c r="D175" s="108"/>
      <c r="E175" s="108"/>
      <c r="F175" s="108"/>
      <c r="G175" s="108"/>
      <c r="H175" s="108"/>
      <c r="I175" s="108"/>
      <c r="J175" s="108"/>
      <c r="K175" s="108"/>
      <c r="L175" s="108"/>
      <c r="M175" s="188"/>
    </row>
    <row r="176" spans="2:13" s="3" customFormat="1" ht="12">
      <c r="B176" s="65" t="s">
        <v>154</v>
      </c>
      <c r="C176" s="108"/>
      <c r="D176" s="108"/>
      <c r="E176" s="108"/>
      <c r="F176" s="108"/>
      <c r="G176" s="108"/>
      <c r="H176" s="108"/>
      <c r="I176" s="108"/>
      <c r="J176" s="108"/>
      <c r="K176" s="108"/>
      <c r="L176" s="108"/>
      <c r="M176" s="188"/>
    </row>
    <row r="177" spans="2:13" s="3" customFormat="1" ht="12">
      <c r="B177" s="65" t="s">
        <v>200</v>
      </c>
      <c r="C177" s="108"/>
      <c r="D177" s="108"/>
      <c r="E177" s="108"/>
      <c r="F177" s="108"/>
      <c r="G177" s="108"/>
      <c r="H177" s="108"/>
      <c r="I177" s="108"/>
      <c r="J177" s="108"/>
      <c r="K177" s="108"/>
      <c r="L177" s="108"/>
      <c r="M177" s="188"/>
    </row>
    <row r="178" spans="2:13" s="3" customFormat="1" ht="12">
      <c r="B178" s="65" t="s">
        <v>201</v>
      </c>
      <c r="C178" s="108"/>
      <c r="D178" s="108"/>
      <c r="E178" s="108"/>
      <c r="F178" s="108"/>
      <c r="G178" s="108"/>
      <c r="H178" s="108"/>
      <c r="I178" s="108"/>
      <c r="J178" s="108"/>
      <c r="K178" s="108"/>
      <c r="L178" s="108"/>
      <c r="M178" s="188"/>
    </row>
    <row r="179" spans="2:13" s="3" customFormat="1" ht="12">
      <c r="B179" s="65" t="s">
        <v>202</v>
      </c>
      <c r="C179" s="108"/>
      <c r="D179" s="108"/>
      <c r="E179" s="108"/>
      <c r="F179" s="108"/>
      <c r="G179" s="108"/>
      <c r="H179" s="108"/>
      <c r="I179" s="108"/>
      <c r="J179" s="108"/>
      <c r="K179" s="108"/>
      <c r="L179" s="108"/>
      <c r="M179" s="188"/>
    </row>
    <row r="180" spans="2:13" s="3" customFormat="1" ht="12">
      <c r="B180" s="65" t="s">
        <v>203</v>
      </c>
      <c r="C180" s="108"/>
      <c r="D180" s="108"/>
      <c r="E180" s="108"/>
      <c r="F180" s="108"/>
      <c r="G180" s="108"/>
      <c r="H180" s="108"/>
      <c r="I180" s="108"/>
      <c r="J180" s="108"/>
      <c r="K180" s="108"/>
      <c r="L180" s="108"/>
      <c r="M180" s="188"/>
    </row>
    <row r="181" spans="2:13" s="3" customFormat="1" ht="12">
      <c r="B181" s="65" t="s">
        <v>204</v>
      </c>
      <c r="C181" s="108"/>
      <c r="D181" s="108"/>
      <c r="E181" s="108"/>
      <c r="F181" s="108"/>
      <c r="G181" s="108"/>
      <c r="H181" s="108"/>
      <c r="I181" s="108"/>
      <c r="J181" s="108"/>
      <c r="K181" s="108"/>
      <c r="L181" s="108"/>
      <c r="M181" s="188"/>
    </row>
    <row r="182" spans="2:13" s="3" customFormat="1" ht="12">
      <c r="B182" s="65" t="s">
        <v>205</v>
      </c>
      <c r="C182" s="108"/>
      <c r="D182" s="108"/>
      <c r="E182" s="108"/>
      <c r="F182" s="108"/>
      <c r="G182" s="108"/>
      <c r="H182" s="108"/>
      <c r="I182" s="108"/>
      <c r="J182" s="108"/>
      <c r="K182" s="108"/>
      <c r="L182" s="108"/>
      <c r="M182" s="188"/>
    </row>
    <row r="184" spans="2:13">
      <c r="B184" s="7" t="s">
        <v>192</v>
      </c>
    </row>
    <row r="185" spans="2:13">
      <c r="B185" s="7"/>
    </row>
  </sheetData>
  <hyperlinks>
    <hyperlink ref="A1" location="TOC!A1" display="Back" xr:uid="{CE619602-E5E5-4FE4-8F33-5FB8B046AE94}"/>
  </hyperlinks>
  <pageMargins left="0.5" right="0.5" top="0.4" bottom="0.8" header="0.25" footer="0.35"/>
  <pageSetup fitToHeight="5" orientation="landscape" cellComments="asDisplayed" r:id="rId1"/>
  <headerFooter scaleWithDoc="0">
    <oddHeader>&amp;R&amp;P</oddHeader>
    <oddFooter>&amp;R&amp;G&amp;L© 2025 Virginia Department of Taxation, All Rights Reserved</oddFooter>
  </headerFooter>
  <rowBreaks count="3" manualBreakCount="3">
    <brk id="35" min="1" max="8" man="1"/>
    <brk id="107" min="1" max="8" man="1"/>
    <brk id="142" min="1" max="8" man="1"/>
  </rowBreaks>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ADBB5-CAC7-438F-88B0-AAA0BC1196A7}">
  <sheetPr codeName="Sheet33"/>
  <dimension ref="A1:Q185"/>
  <sheetViews>
    <sheetView zoomScale="105" zoomScaleNormal="105" workbookViewId="0">
      <selection activeCell="B1" sqref="B1"/>
    </sheetView>
  </sheetViews>
  <sheetFormatPr defaultRowHeight="13"/>
  <cols>
    <col min="1" max="1" width="4.19921875" style="814" customWidth="1"/>
    <col min="2" max="2" width="14.19921875" customWidth="1"/>
    <col min="3" max="3" width="5.19921875" customWidth="1"/>
    <col min="4" max="4" width="6" style="245" hidden="1" customWidth="1"/>
    <col min="5" max="5" width="11.3984375" style="786" hidden="1" customWidth="1"/>
    <col min="6" max="6" width="12.69921875" style="762" customWidth="1"/>
    <col min="7" max="7" width="10.69921875" style="772" customWidth="1"/>
    <col min="8" max="8" width="15.19921875" style="762" customWidth="1"/>
    <col min="9" max="9" width="14.19921875" style="762" customWidth="1"/>
    <col min="10" max="10" width="12.69921875" style="762" customWidth="1"/>
    <col min="11" max="11" width="14.19921875" style="762" customWidth="1"/>
    <col min="12" max="12" width="10.19921875" style="762" customWidth="1"/>
    <col min="13" max="13" width="9.19921875" style="762" customWidth="1"/>
    <col min="14" max="14" width="14.69921875" style="772" customWidth="1"/>
    <col min="15" max="15" width="14.69921875" style="777" customWidth="1"/>
    <col min="16" max="16" width="1.69921875" customWidth="1"/>
    <col min="17" max="17" width="5.19921875" customWidth="1"/>
  </cols>
  <sheetData>
    <row r="1" spans="1:17" ht="15.5">
      <c r="A1" s="813" t="s">
        <v>42</v>
      </c>
      <c r="B1" s="63" t="s">
        <v>1407</v>
      </c>
      <c r="C1" s="66"/>
      <c r="D1" s="239"/>
      <c r="E1" s="778"/>
      <c r="F1" s="752"/>
      <c r="G1" s="763"/>
      <c r="H1" s="752"/>
      <c r="I1" s="752"/>
      <c r="J1" s="752"/>
      <c r="K1" s="752"/>
      <c r="L1" s="752"/>
      <c r="M1" s="752"/>
      <c r="N1" s="763"/>
      <c r="O1" s="773"/>
      <c r="Q1" s="8"/>
    </row>
    <row r="2" spans="1:17">
      <c r="B2" s="64" t="s">
        <v>1421</v>
      </c>
      <c r="C2" s="66"/>
      <c r="D2" s="240"/>
      <c r="E2" s="779"/>
      <c r="F2" s="752"/>
      <c r="G2" s="763"/>
      <c r="H2" s="752"/>
      <c r="I2" s="752"/>
      <c r="J2" s="752"/>
      <c r="K2" s="752"/>
      <c r="L2" s="752"/>
      <c r="M2" s="752"/>
      <c r="N2" s="763"/>
      <c r="O2" s="773"/>
    </row>
    <row r="3" spans="1:17" ht="3" customHeight="1" thickBot="1">
      <c r="B3" s="64"/>
      <c r="C3" s="64"/>
      <c r="D3" s="240"/>
      <c r="E3" s="779"/>
      <c r="F3" s="752"/>
      <c r="G3" s="763"/>
      <c r="H3" s="752"/>
      <c r="I3" s="752"/>
      <c r="J3" s="752"/>
      <c r="K3" s="752"/>
      <c r="L3" s="752"/>
      <c r="M3" s="752"/>
      <c r="N3" s="763"/>
      <c r="O3" s="773"/>
    </row>
    <row r="4" spans="1:17">
      <c r="B4" s="175"/>
      <c r="C4" s="175"/>
      <c r="D4" s="749"/>
      <c r="E4" s="780"/>
      <c r="F4" s="753" t="s">
        <v>1408</v>
      </c>
      <c r="G4" s="764"/>
      <c r="H4" s="754"/>
      <c r="I4" s="755"/>
      <c r="J4" s="755"/>
      <c r="K4" s="754"/>
      <c r="L4" s="755" t="s">
        <v>1409</v>
      </c>
      <c r="M4" s="755"/>
      <c r="N4" s="774" t="s">
        <v>1410</v>
      </c>
      <c r="O4" s="774"/>
    </row>
    <row r="5" spans="1:17" ht="24" customHeight="1">
      <c r="B5" s="822" t="s">
        <v>125</v>
      </c>
      <c r="C5" s="179" t="s">
        <v>1468</v>
      </c>
      <c r="D5" s="751" t="s">
        <v>252</v>
      </c>
      <c r="E5" s="781" t="s">
        <v>1411</v>
      </c>
      <c r="F5" s="756" t="s">
        <v>1426</v>
      </c>
      <c r="G5" s="765" t="s">
        <v>1419</v>
      </c>
      <c r="H5" s="756" t="s">
        <v>1412</v>
      </c>
      <c r="I5" s="756" t="s">
        <v>1420</v>
      </c>
      <c r="J5" s="756" t="s">
        <v>1413</v>
      </c>
      <c r="K5" s="756" t="s">
        <v>1414</v>
      </c>
      <c r="L5" s="756" t="s">
        <v>1415</v>
      </c>
      <c r="M5" s="756" t="s">
        <v>1416</v>
      </c>
      <c r="N5" s="765" t="s">
        <v>1417</v>
      </c>
      <c r="O5" s="765" t="s">
        <v>1418</v>
      </c>
    </row>
    <row r="6" spans="1:17" ht="21" customHeight="1">
      <c r="B6" s="66" t="s">
        <v>255</v>
      </c>
      <c r="C6" s="187" t="s">
        <v>888</v>
      </c>
      <c r="D6" s="242" t="s">
        <v>651</v>
      </c>
      <c r="E6" s="782">
        <v>159363</v>
      </c>
      <c r="F6" s="757">
        <v>123868</v>
      </c>
      <c r="G6" s="766">
        <v>0.7772695042136506</v>
      </c>
      <c r="H6" s="802">
        <v>1825929266</v>
      </c>
      <c r="I6" s="802">
        <v>79373395.469999999</v>
      </c>
      <c r="J6" s="802">
        <v>23578530.500000004</v>
      </c>
      <c r="K6" s="802">
        <v>55794864.969999999</v>
      </c>
      <c r="L6" s="788">
        <v>640.79015944392415</v>
      </c>
      <c r="M6" s="788">
        <v>450.43808707656535</v>
      </c>
      <c r="N6" s="789">
        <v>4.347013706827787</v>
      </c>
      <c r="O6" s="789">
        <v>3.0556969543638388</v>
      </c>
    </row>
    <row r="7" spans="1:17">
      <c r="B7" s="66" t="s">
        <v>258</v>
      </c>
      <c r="C7" s="187" t="s">
        <v>1444</v>
      </c>
      <c r="D7" s="242" t="s">
        <v>652</v>
      </c>
      <c r="E7" s="782">
        <v>16512</v>
      </c>
      <c r="F7" s="757">
        <v>11374</v>
      </c>
      <c r="G7" s="766">
        <v>0.6888323643410853</v>
      </c>
      <c r="H7" s="757">
        <v>0</v>
      </c>
      <c r="I7" s="757">
        <v>0</v>
      </c>
      <c r="J7" s="757">
        <v>723990.05</v>
      </c>
      <c r="K7" s="757">
        <v>0</v>
      </c>
      <c r="L7" s="790">
        <v>0</v>
      </c>
      <c r="M7" s="790">
        <v>0</v>
      </c>
      <c r="N7" s="791" t="s">
        <v>873</v>
      </c>
      <c r="O7" s="791" t="s">
        <v>873</v>
      </c>
    </row>
    <row r="8" spans="1:17">
      <c r="B8" s="66" t="s">
        <v>261</v>
      </c>
      <c r="C8" s="187" t="s">
        <v>1445</v>
      </c>
      <c r="D8" s="242" t="s">
        <v>653</v>
      </c>
      <c r="E8" s="782">
        <v>6632</v>
      </c>
      <c r="F8" s="757" t="s">
        <v>873</v>
      </c>
      <c r="G8" s="766" t="s">
        <v>873</v>
      </c>
      <c r="H8" s="757">
        <v>45244029</v>
      </c>
      <c r="I8" s="757">
        <v>0</v>
      </c>
      <c r="J8" s="757">
        <v>662918.76</v>
      </c>
      <c r="K8" s="757">
        <v>0</v>
      </c>
      <c r="L8" s="790" t="s">
        <v>873</v>
      </c>
      <c r="M8" s="790" t="s">
        <v>873</v>
      </c>
      <c r="N8" s="791">
        <v>0</v>
      </c>
      <c r="O8" s="791">
        <v>0</v>
      </c>
    </row>
    <row r="9" spans="1:17">
      <c r="B9" s="66" t="s">
        <v>264</v>
      </c>
      <c r="C9" s="187" t="s">
        <v>888</v>
      </c>
      <c r="D9" s="242" t="s">
        <v>654</v>
      </c>
      <c r="E9" s="782">
        <v>51743</v>
      </c>
      <c r="F9" s="757">
        <v>30564</v>
      </c>
      <c r="G9" s="766">
        <v>0.59068859555881958</v>
      </c>
      <c r="H9" s="757">
        <v>278650272.72729999</v>
      </c>
      <c r="I9" s="757">
        <v>15758868.34</v>
      </c>
      <c r="J9" s="757">
        <v>3498256.3400000003</v>
      </c>
      <c r="K9" s="757">
        <v>12260612</v>
      </c>
      <c r="L9" s="790">
        <v>515.60228831304801</v>
      </c>
      <c r="M9" s="790">
        <v>401.14553068970031</v>
      </c>
      <c r="N9" s="791">
        <v>5.6554290027278586</v>
      </c>
      <c r="O9" s="791">
        <v>4.3999999999995696</v>
      </c>
    </row>
    <row r="10" spans="1:17">
      <c r="B10" s="66" t="s">
        <v>181</v>
      </c>
      <c r="C10" s="187" t="s">
        <v>888</v>
      </c>
      <c r="D10" s="242" t="s">
        <v>655</v>
      </c>
      <c r="E10" s="782">
        <v>253261</v>
      </c>
      <c r="F10" s="757">
        <v>223624</v>
      </c>
      <c r="G10" s="766">
        <v>0.88297842936733251</v>
      </c>
      <c r="H10" s="757">
        <v>2288811340</v>
      </c>
      <c r="I10" s="757">
        <v>91910847</v>
      </c>
      <c r="J10" s="757">
        <v>28590000.93</v>
      </c>
      <c r="K10" s="757">
        <v>63320846.07</v>
      </c>
      <c r="L10" s="790">
        <v>411.00618448824815</v>
      </c>
      <c r="M10" s="790">
        <v>283.15764886595355</v>
      </c>
      <c r="N10" s="791">
        <v>4.0156584945965887</v>
      </c>
      <c r="O10" s="791">
        <v>2.7665384631482999</v>
      </c>
    </row>
    <row r="11" spans="1:17" ht="24" customHeight="1">
      <c r="B11" s="66" t="s">
        <v>269</v>
      </c>
      <c r="C11" s="187" t="s">
        <v>888</v>
      </c>
      <c r="D11" s="242" t="s">
        <v>656</v>
      </c>
      <c r="E11" s="782">
        <v>18169</v>
      </c>
      <c r="F11" s="757">
        <v>15479</v>
      </c>
      <c r="G11" s="766">
        <v>0.85194562166327259</v>
      </c>
      <c r="H11" s="757">
        <v>59948677</v>
      </c>
      <c r="I11" s="757">
        <v>3849622.3600000003</v>
      </c>
      <c r="J11" s="757">
        <v>1753369.29</v>
      </c>
      <c r="K11" s="757">
        <v>2096253.07</v>
      </c>
      <c r="L11" s="790">
        <v>248.69968085793658</v>
      </c>
      <c r="M11" s="790">
        <v>135.4256134117191</v>
      </c>
      <c r="N11" s="791">
        <v>6.4215301365199435</v>
      </c>
      <c r="O11" s="791">
        <v>3.4967461750657152</v>
      </c>
    </row>
    <row r="12" spans="1:17">
      <c r="B12" s="66" t="s">
        <v>272</v>
      </c>
      <c r="C12" s="187" t="s">
        <v>888</v>
      </c>
      <c r="D12" s="242" t="s">
        <v>657</v>
      </c>
      <c r="E12" s="782">
        <v>5525</v>
      </c>
      <c r="F12" s="757">
        <v>5563</v>
      </c>
      <c r="G12" s="766">
        <v>1.0068778280542987</v>
      </c>
      <c r="H12" s="757">
        <v>49081570</v>
      </c>
      <c r="I12" s="757">
        <v>1511706.41</v>
      </c>
      <c r="J12" s="757">
        <v>545479.17000000004</v>
      </c>
      <c r="K12" s="757">
        <v>966227.23999999987</v>
      </c>
      <c r="L12" s="790">
        <v>271.74301815567139</v>
      </c>
      <c r="M12" s="790">
        <v>173.68816106417398</v>
      </c>
      <c r="N12" s="791">
        <v>3.0799878854731011</v>
      </c>
      <c r="O12" s="791">
        <v>1.9686151848850797</v>
      </c>
    </row>
    <row r="13" spans="1:17">
      <c r="B13" s="66" t="s">
        <v>275</v>
      </c>
      <c r="C13" s="187" t="s">
        <v>888</v>
      </c>
      <c r="D13" s="242" t="s">
        <v>658</v>
      </c>
      <c r="E13" s="782">
        <v>42700</v>
      </c>
      <c r="F13" s="757">
        <v>38123</v>
      </c>
      <c r="G13" s="766">
        <v>0.89281030444964871</v>
      </c>
      <c r="H13" s="757">
        <v>311838174</v>
      </c>
      <c r="I13" s="757">
        <v>6206965.7400000002</v>
      </c>
      <c r="J13" s="757">
        <v>3593575.5700000003</v>
      </c>
      <c r="K13" s="757">
        <v>2613390.17</v>
      </c>
      <c r="L13" s="790">
        <v>162.81419982687618</v>
      </c>
      <c r="M13" s="790">
        <v>68.551535031345907</v>
      </c>
      <c r="N13" s="791">
        <v>1.9904444861199064</v>
      </c>
      <c r="O13" s="791">
        <v>0.83805973350780327</v>
      </c>
    </row>
    <row r="14" spans="1:17">
      <c r="B14" s="66" t="s">
        <v>277</v>
      </c>
      <c r="C14" s="187" t="s">
        <v>888</v>
      </c>
      <c r="D14" s="242" t="s">
        <v>659</v>
      </c>
      <c r="E14" s="782">
        <v>5612</v>
      </c>
      <c r="F14" s="757">
        <v>5067</v>
      </c>
      <c r="G14" s="766">
        <v>0.90288667141838919</v>
      </c>
      <c r="H14" s="757">
        <v>34786382</v>
      </c>
      <c r="I14" s="757">
        <v>1529866.19</v>
      </c>
      <c r="J14" s="757">
        <v>570319.66</v>
      </c>
      <c r="K14" s="757">
        <v>959546.52999999991</v>
      </c>
      <c r="L14" s="790">
        <v>301.92741069666471</v>
      </c>
      <c r="M14" s="790">
        <v>189.37172488652061</v>
      </c>
      <c r="N14" s="791">
        <v>4.397888202343089</v>
      </c>
      <c r="O14" s="791">
        <v>2.7583970359435481</v>
      </c>
    </row>
    <row r="15" spans="1:17">
      <c r="B15" s="66" t="s">
        <v>280</v>
      </c>
      <c r="C15" s="187" t="s">
        <v>888</v>
      </c>
      <c r="D15" s="242" t="s">
        <v>660</v>
      </c>
      <c r="E15" s="782">
        <v>24043</v>
      </c>
      <c r="F15" s="757">
        <v>24627</v>
      </c>
      <c r="G15" s="766">
        <v>1.0242898140831012</v>
      </c>
      <c r="H15" s="757">
        <v>373108086</v>
      </c>
      <c r="I15" s="757">
        <v>13407887</v>
      </c>
      <c r="J15" s="757">
        <v>3099005.42</v>
      </c>
      <c r="K15" s="757">
        <v>10308881.58</v>
      </c>
      <c r="L15" s="790">
        <v>544.43850245665328</v>
      </c>
      <c r="M15" s="790">
        <v>418.60078694116214</v>
      </c>
      <c r="N15" s="791">
        <v>3.5935664498035029</v>
      </c>
      <c r="O15" s="791">
        <v>2.7629745821161324</v>
      </c>
    </row>
    <row r="16" spans="1:17" ht="24" customHeight="1">
      <c r="B16" s="66" t="s">
        <v>133</v>
      </c>
      <c r="C16" s="187" t="s">
        <v>888</v>
      </c>
      <c r="D16" s="242" t="s">
        <v>661</v>
      </c>
      <c r="E16" s="782">
        <v>15868</v>
      </c>
      <c r="F16" s="757">
        <v>11576</v>
      </c>
      <c r="G16" s="766">
        <v>0.72951852785480209</v>
      </c>
      <c r="H16" s="757">
        <v>185965056</v>
      </c>
      <c r="I16" s="757">
        <v>6896478.8699999992</v>
      </c>
      <c r="J16" s="757">
        <v>2020877.8699999996</v>
      </c>
      <c r="K16" s="757">
        <v>4875601</v>
      </c>
      <c r="L16" s="790">
        <v>595.75664046302688</v>
      </c>
      <c r="M16" s="790">
        <v>421.18184174153419</v>
      </c>
      <c r="N16" s="791">
        <v>3.7084810546342637</v>
      </c>
      <c r="O16" s="791">
        <v>2.6217834172028534</v>
      </c>
    </row>
    <row r="17" spans="1:15">
      <c r="B17" s="66" t="s">
        <v>519</v>
      </c>
      <c r="C17" s="187" t="s">
        <v>888</v>
      </c>
      <c r="D17" s="242" t="s">
        <v>662</v>
      </c>
      <c r="E17" s="782">
        <v>8130</v>
      </c>
      <c r="F17" s="757">
        <v>8061</v>
      </c>
      <c r="G17" s="766">
        <v>0.9915129151291513</v>
      </c>
      <c r="H17" s="757">
        <v>64156511</v>
      </c>
      <c r="I17" s="757">
        <v>2722026.61</v>
      </c>
      <c r="J17" s="757">
        <v>1048896.6099999999</v>
      </c>
      <c r="K17" s="757">
        <v>1673130</v>
      </c>
      <c r="L17" s="790">
        <v>337.67852747798037</v>
      </c>
      <c r="M17" s="790">
        <v>207.55861555638259</v>
      </c>
      <c r="N17" s="791">
        <v>4.2427908992744321</v>
      </c>
      <c r="O17" s="791">
        <v>2.6078880754597145</v>
      </c>
    </row>
    <row r="18" spans="1:15">
      <c r="B18" s="66" t="s">
        <v>288</v>
      </c>
      <c r="C18" s="187" t="s">
        <v>888</v>
      </c>
      <c r="D18" s="242" t="s">
        <v>663</v>
      </c>
      <c r="E18" s="782">
        <v>28029</v>
      </c>
      <c r="F18" s="757">
        <v>26585</v>
      </c>
      <c r="G18" s="766">
        <v>0.94848192943023302</v>
      </c>
      <c r="H18" s="757">
        <v>389075677.13999999</v>
      </c>
      <c r="I18" s="757">
        <v>8983907.1500000004</v>
      </c>
      <c r="J18" s="757">
        <v>1728832.89</v>
      </c>
      <c r="K18" s="757">
        <v>7255074.2600000007</v>
      </c>
      <c r="L18" s="790">
        <v>337.93143313898815</v>
      </c>
      <c r="M18" s="790">
        <v>272.90104419785598</v>
      </c>
      <c r="N18" s="791">
        <v>2.3090384924697687</v>
      </c>
      <c r="O18" s="791">
        <v>1.8646948874651519</v>
      </c>
    </row>
    <row r="19" spans="1:15">
      <c r="B19" s="66" t="s">
        <v>290</v>
      </c>
      <c r="C19" s="187" t="s">
        <v>1446</v>
      </c>
      <c r="D19" s="242" t="s">
        <v>664</v>
      </c>
      <c r="E19" s="782">
        <v>6797</v>
      </c>
      <c r="F19" s="757">
        <v>6747</v>
      </c>
      <c r="G19" s="766">
        <v>0.99264381344710906</v>
      </c>
      <c r="H19" s="757">
        <v>0</v>
      </c>
      <c r="I19" s="757">
        <v>1156705.78</v>
      </c>
      <c r="J19" s="757">
        <v>230012.11000000002</v>
      </c>
      <c r="K19" s="757">
        <v>926693.67</v>
      </c>
      <c r="L19" s="790">
        <v>171.44001482140212</v>
      </c>
      <c r="M19" s="790">
        <v>137.34899510893732</v>
      </c>
      <c r="N19" s="791" t="s">
        <v>873</v>
      </c>
      <c r="O19" s="791" t="s">
        <v>873</v>
      </c>
    </row>
    <row r="20" spans="1:15">
      <c r="B20" s="66" t="s">
        <v>136</v>
      </c>
      <c r="C20" s="187" t="s">
        <v>888</v>
      </c>
      <c r="D20" s="242" t="s">
        <v>665</v>
      </c>
      <c r="E20" s="782">
        <v>136793</v>
      </c>
      <c r="F20" s="757">
        <v>133552</v>
      </c>
      <c r="G20" s="766">
        <v>0.97630726718472438</v>
      </c>
      <c r="H20" s="757">
        <v>1230678276</v>
      </c>
      <c r="I20" s="757">
        <v>46579676.229999997</v>
      </c>
      <c r="J20" s="757">
        <v>15453928.880000001</v>
      </c>
      <c r="K20" s="757">
        <v>31125747.349999994</v>
      </c>
      <c r="L20" s="790">
        <v>348.77557977417035</v>
      </c>
      <c r="M20" s="790">
        <v>233.060885273152</v>
      </c>
      <c r="N20" s="791">
        <v>3.7848783990398478</v>
      </c>
      <c r="O20" s="791">
        <v>2.5291538785559902</v>
      </c>
    </row>
    <row r="21" spans="1:15" s="3" customFormat="1" ht="24" customHeight="1">
      <c r="A21" s="815"/>
      <c r="B21" s="66" t="s">
        <v>182</v>
      </c>
      <c r="C21" s="187" t="s">
        <v>888</v>
      </c>
      <c r="D21" s="242" t="s">
        <v>666</v>
      </c>
      <c r="E21" s="782">
        <v>56879</v>
      </c>
      <c r="F21" s="757">
        <v>29576</v>
      </c>
      <c r="G21" s="766">
        <v>0.51998101232440797</v>
      </c>
      <c r="H21" s="757">
        <v>270181208</v>
      </c>
      <c r="I21" s="757">
        <v>9321251.6799999997</v>
      </c>
      <c r="J21" s="757">
        <v>1522582.7599999998</v>
      </c>
      <c r="K21" s="757">
        <v>7798668.9199999999</v>
      </c>
      <c r="L21" s="790">
        <v>315.1626886664863</v>
      </c>
      <c r="M21" s="790">
        <v>263.68234108736812</v>
      </c>
      <c r="N21" s="791">
        <v>3.4500000014804875</v>
      </c>
      <c r="O21" s="791">
        <v>2.8864586762821784</v>
      </c>
    </row>
    <row r="22" spans="1:15" s="3" customFormat="1">
      <c r="A22" s="815"/>
      <c r="B22" s="66" t="s">
        <v>297</v>
      </c>
      <c r="C22" s="187" t="s">
        <v>888</v>
      </c>
      <c r="D22" s="242" t="s">
        <v>667</v>
      </c>
      <c r="E22" s="782">
        <v>22561</v>
      </c>
      <c r="F22" s="757">
        <v>26360</v>
      </c>
      <c r="G22" s="766">
        <v>1.1683879260671071</v>
      </c>
      <c r="H22" s="757">
        <v>173606952</v>
      </c>
      <c r="I22" s="757">
        <v>5040514.1899999995</v>
      </c>
      <c r="J22" s="757">
        <v>1618029.64</v>
      </c>
      <c r="K22" s="757">
        <v>3422484.55</v>
      </c>
      <c r="L22" s="790">
        <v>191.21829248861911</v>
      </c>
      <c r="M22" s="790">
        <v>129.83628793626707</v>
      </c>
      <c r="N22" s="791">
        <v>2.9034057288212742</v>
      </c>
      <c r="O22" s="791">
        <v>1.9713983285646302</v>
      </c>
    </row>
    <row r="23" spans="1:15" s="3" customFormat="1">
      <c r="A23" s="815"/>
      <c r="B23" s="66" t="s">
        <v>300</v>
      </c>
      <c r="C23" s="187" t="s">
        <v>1444</v>
      </c>
      <c r="D23" s="242" t="s">
        <v>668</v>
      </c>
      <c r="E23" s="782">
        <v>7340</v>
      </c>
      <c r="F23" s="757">
        <v>3691</v>
      </c>
      <c r="G23" s="766">
        <v>0.50286103542234328</v>
      </c>
      <c r="H23" s="757">
        <v>0</v>
      </c>
      <c r="I23" s="757">
        <v>0</v>
      </c>
      <c r="J23" s="757">
        <v>581419.49</v>
      </c>
      <c r="K23" s="757">
        <v>0</v>
      </c>
      <c r="L23" s="790">
        <v>0</v>
      </c>
      <c r="M23" s="790">
        <v>0</v>
      </c>
      <c r="N23" s="791" t="s">
        <v>873</v>
      </c>
      <c r="O23" s="791" t="s">
        <v>873</v>
      </c>
    </row>
    <row r="24" spans="1:15" s="3" customFormat="1">
      <c r="A24" s="815"/>
      <c r="B24" s="66" t="s">
        <v>302</v>
      </c>
      <c r="C24" s="187" t="s">
        <v>888</v>
      </c>
      <c r="D24" s="242" t="s">
        <v>669</v>
      </c>
      <c r="E24" s="782">
        <v>81782</v>
      </c>
      <c r="F24" s="757">
        <v>48813</v>
      </c>
      <c r="G24" s="766">
        <v>0.59686728130884548</v>
      </c>
      <c r="H24" s="757">
        <v>635206623</v>
      </c>
      <c r="I24" s="757">
        <v>19524314</v>
      </c>
      <c r="J24" s="757">
        <v>5543583.7400000002</v>
      </c>
      <c r="K24" s="757">
        <v>13980730.26</v>
      </c>
      <c r="L24" s="790">
        <v>399.98184909757646</v>
      </c>
      <c r="M24" s="790">
        <v>286.41407534878005</v>
      </c>
      <c r="N24" s="791">
        <v>3.0736949668108227</v>
      </c>
      <c r="O24" s="791">
        <v>2.2009736287022306</v>
      </c>
    </row>
    <row r="25" spans="1:15" s="3" customFormat="1">
      <c r="A25" s="815"/>
      <c r="B25" s="66" t="s">
        <v>183</v>
      </c>
      <c r="C25" s="187" t="s">
        <v>888</v>
      </c>
      <c r="D25" s="242" t="s">
        <v>670</v>
      </c>
      <c r="E25" s="782">
        <v>42913</v>
      </c>
      <c r="F25" s="757">
        <v>27862</v>
      </c>
      <c r="G25" s="766">
        <v>0.64926712185118729</v>
      </c>
      <c r="H25" s="757">
        <v>364980840</v>
      </c>
      <c r="I25" s="757">
        <v>13139310.24</v>
      </c>
      <c r="J25" s="757">
        <v>3786634.21</v>
      </c>
      <c r="K25" s="757">
        <v>9352676.0300000012</v>
      </c>
      <c r="L25" s="790">
        <v>471.58532194386623</v>
      </c>
      <c r="M25" s="790">
        <v>335.67855968702895</v>
      </c>
      <c r="N25" s="791">
        <v>3.6</v>
      </c>
      <c r="O25" s="791">
        <v>2.562511508823313</v>
      </c>
    </row>
    <row r="26" spans="1:15" s="3" customFormat="1" ht="24" customHeight="1">
      <c r="A26" s="815"/>
      <c r="B26" s="66" t="s">
        <v>306</v>
      </c>
      <c r="C26" s="187" t="s">
        <v>1446</v>
      </c>
      <c r="D26" s="242" t="s">
        <v>671</v>
      </c>
      <c r="E26" s="782">
        <v>17537</v>
      </c>
      <c r="F26" s="757">
        <v>14709</v>
      </c>
      <c r="G26" s="766">
        <v>0.83874094771055485</v>
      </c>
      <c r="H26" s="757">
        <v>0</v>
      </c>
      <c r="I26" s="757">
        <v>0</v>
      </c>
      <c r="J26" s="757">
        <v>1368392.56</v>
      </c>
      <c r="K26" s="757">
        <v>0</v>
      </c>
      <c r="L26" s="790">
        <v>0</v>
      </c>
      <c r="M26" s="790">
        <v>0</v>
      </c>
      <c r="N26" s="791" t="s">
        <v>873</v>
      </c>
      <c r="O26" s="791" t="s">
        <v>873</v>
      </c>
    </row>
    <row r="27" spans="1:15" s="3" customFormat="1">
      <c r="A27" s="815"/>
      <c r="B27" s="66" t="s">
        <v>185</v>
      </c>
      <c r="C27" s="187" t="s">
        <v>888</v>
      </c>
      <c r="D27" s="242" t="s">
        <v>672</v>
      </c>
      <c r="E27" s="782">
        <v>13268</v>
      </c>
      <c r="F27" s="757">
        <v>9871</v>
      </c>
      <c r="G27" s="766">
        <v>0.7439704552306301</v>
      </c>
      <c r="H27" s="757">
        <v>74285331</v>
      </c>
      <c r="I27" s="757">
        <v>1708581.11</v>
      </c>
      <c r="J27" s="757">
        <v>626428.01</v>
      </c>
      <c r="K27" s="757">
        <v>1082153.1000000001</v>
      </c>
      <c r="L27" s="790">
        <v>173.09098470266437</v>
      </c>
      <c r="M27" s="790">
        <v>109.62953094924528</v>
      </c>
      <c r="N27" s="791">
        <v>2.3000248999361665</v>
      </c>
      <c r="O27" s="791">
        <v>1.4567520739727202</v>
      </c>
    </row>
    <row r="28" spans="1:15" s="3" customFormat="1">
      <c r="A28" s="815"/>
      <c r="B28" s="66" t="s">
        <v>310</v>
      </c>
      <c r="C28" s="187" t="s">
        <v>888</v>
      </c>
      <c r="D28" s="242" t="s">
        <v>673</v>
      </c>
      <c r="E28" s="782">
        <v>182621</v>
      </c>
      <c r="F28" s="757">
        <v>165279</v>
      </c>
      <c r="G28" s="766">
        <v>0.90503830337146329</v>
      </c>
      <c r="H28" s="757">
        <v>1214321635</v>
      </c>
      <c r="I28" s="757">
        <v>54635235</v>
      </c>
      <c r="J28" s="757">
        <v>18572326.34</v>
      </c>
      <c r="K28" s="757">
        <v>36062908.659999996</v>
      </c>
      <c r="L28" s="790">
        <v>330.56368322654419</v>
      </c>
      <c r="M28" s="790">
        <v>218.19413633915983</v>
      </c>
      <c r="N28" s="791">
        <v>4.4992391986823161</v>
      </c>
      <c r="O28" s="791">
        <v>2.9697987436417534</v>
      </c>
    </row>
    <row r="29" spans="1:15" s="3" customFormat="1">
      <c r="A29" s="815"/>
      <c r="B29" s="66" t="s">
        <v>313</v>
      </c>
      <c r="C29" s="187" t="s">
        <v>888</v>
      </c>
      <c r="D29" s="242" t="s">
        <v>674</v>
      </c>
      <c r="E29" s="782">
        <v>245406</v>
      </c>
      <c r="F29" s="757">
        <v>184336</v>
      </c>
      <c r="G29" s="766">
        <v>0.7511470787185317</v>
      </c>
      <c r="H29" s="757">
        <v>1679723579</v>
      </c>
      <c r="I29" s="757">
        <v>87124731.99000001</v>
      </c>
      <c r="J29" s="757">
        <v>16871055.710000001</v>
      </c>
      <c r="K29" s="757">
        <v>70253676.280000001</v>
      </c>
      <c r="L29" s="790">
        <v>472.64089483334783</v>
      </c>
      <c r="M29" s="790">
        <v>381.11750433990107</v>
      </c>
      <c r="N29" s="791">
        <v>5.1868493768402359</v>
      </c>
      <c r="O29" s="791">
        <v>4.1824546108845215</v>
      </c>
    </row>
    <row r="30" spans="1:15" s="3" customFormat="1">
      <c r="A30" s="815"/>
      <c r="B30" s="66" t="s">
        <v>316</v>
      </c>
      <c r="C30" s="187" t="s">
        <v>1424</v>
      </c>
      <c r="D30" s="242" t="s">
        <v>675</v>
      </c>
      <c r="E30" s="782">
        <v>3776</v>
      </c>
      <c r="F30" s="757">
        <v>2954</v>
      </c>
      <c r="G30" s="766">
        <v>0.78230932203389836</v>
      </c>
      <c r="H30" s="757">
        <v>35222379</v>
      </c>
      <c r="I30" s="757">
        <v>928484.32</v>
      </c>
      <c r="J30" s="757">
        <v>206422.1</v>
      </c>
      <c r="K30" s="757">
        <v>722062.22</v>
      </c>
      <c r="L30" s="790">
        <v>314.31425863236291</v>
      </c>
      <c r="M30" s="790">
        <v>244.4354163845633</v>
      </c>
      <c r="N30" s="791">
        <v>2.6360636230732739</v>
      </c>
      <c r="O30" s="791">
        <v>2.0500097963286352</v>
      </c>
    </row>
    <row r="31" spans="1:15" s="3" customFormat="1" ht="24" customHeight="1">
      <c r="A31" s="815"/>
      <c r="B31" s="66" t="s">
        <v>143</v>
      </c>
      <c r="C31" s="187" t="s">
        <v>888</v>
      </c>
      <c r="D31" s="242" t="s">
        <v>676</v>
      </c>
      <c r="E31" s="782">
        <v>34475</v>
      </c>
      <c r="F31" s="757">
        <v>26022</v>
      </c>
      <c r="G31" s="766">
        <v>0.7548078317621465</v>
      </c>
      <c r="H31" s="757">
        <v>174004898</v>
      </c>
      <c r="I31" s="757">
        <v>11252323.02</v>
      </c>
      <c r="J31" s="757">
        <v>2726040.3200000003</v>
      </c>
      <c r="K31" s="757">
        <v>8526282.6999999993</v>
      </c>
      <c r="L31" s="790">
        <v>432.41576435323952</v>
      </c>
      <c r="M31" s="790">
        <v>327.65670202136653</v>
      </c>
      <c r="N31" s="791">
        <v>6.4666702772929989</v>
      </c>
      <c r="O31" s="791">
        <v>4.9000245383897179</v>
      </c>
    </row>
    <row r="32" spans="1:15" s="3" customFormat="1">
      <c r="A32" s="815"/>
      <c r="B32" s="66" t="s">
        <v>320</v>
      </c>
      <c r="C32" s="187" t="s">
        <v>888</v>
      </c>
      <c r="D32" s="242" t="s">
        <v>677</v>
      </c>
      <c r="E32" s="782">
        <v>12966</v>
      </c>
      <c r="F32" s="757">
        <v>13437</v>
      </c>
      <c r="G32" s="766">
        <v>1.0363257751041184</v>
      </c>
      <c r="H32" s="757">
        <v>152829083.37</v>
      </c>
      <c r="I32" s="757">
        <v>6342406.96</v>
      </c>
      <c r="J32" s="757">
        <v>1923431.17</v>
      </c>
      <c r="K32" s="757">
        <v>4418975.79</v>
      </c>
      <c r="L32" s="790">
        <v>472.01063927960109</v>
      </c>
      <c r="M32" s="790">
        <v>328.86624916275957</v>
      </c>
      <c r="N32" s="791">
        <v>4.1500000000948774</v>
      </c>
      <c r="O32" s="791">
        <v>2.8914495150779884</v>
      </c>
    </row>
    <row r="33" spans="1:15" s="3" customFormat="1">
      <c r="A33" s="815"/>
      <c r="B33" s="66" t="s">
        <v>144</v>
      </c>
      <c r="C33" s="187" t="s">
        <v>888</v>
      </c>
      <c r="D33" s="242" t="s">
        <v>678</v>
      </c>
      <c r="E33" s="782">
        <v>95240</v>
      </c>
      <c r="F33" s="757">
        <v>93332</v>
      </c>
      <c r="G33" s="766">
        <v>0.97996640067198659</v>
      </c>
      <c r="H33" s="757">
        <v>742637808</v>
      </c>
      <c r="I33" s="757">
        <v>39096338.539999999</v>
      </c>
      <c r="J33" s="757">
        <v>9862962.2899999991</v>
      </c>
      <c r="K33" s="757">
        <v>29233376.25</v>
      </c>
      <c r="L33" s="790">
        <v>418.89532571893881</v>
      </c>
      <c r="M33" s="790">
        <v>313.21922009600138</v>
      </c>
      <c r="N33" s="791">
        <v>5.2645230445902635</v>
      </c>
      <c r="O33" s="791">
        <v>3.9364244501271068</v>
      </c>
    </row>
    <row r="34" spans="1:15" s="3" customFormat="1">
      <c r="A34" s="815"/>
      <c r="B34" s="66" t="s">
        <v>325</v>
      </c>
      <c r="C34" s="187" t="s">
        <v>1447</v>
      </c>
      <c r="D34" s="242" t="s">
        <v>679</v>
      </c>
      <c r="E34" s="782">
        <v>17293</v>
      </c>
      <c r="F34" s="757" t="s">
        <v>873</v>
      </c>
      <c r="G34" s="766" t="s">
        <v>873</v>
      </c>
      <c r="H34" s="757">
        <v>0</v>
      </c>
      <c r="I34" s="757">
        <v>0</v>
      </c>
      <c r="J34" s="757">
        <v>625657.26</v>
      </c>
      <c r="K34" s="757">
        <v>0</v>
      </c>
      <c r="L34" s="790" t="s">
        <v>873</v>
      </c>
      <c r="M34" s="790" t="s">
        <v>873</v>
      </c>
      <c r="N34" s="791" t="s">
        <v>873</v>
      </c>
      <c r="O34" s="791" t="s">
        <v>873</v>
      </c>
    </row>
    <row r="35" spans="1:15" s="3" customFormat="1">
      <c r="A35" s="815"/>
      <c r="B35" s="66" t="s">
        <v>146</v>
      </c>
      <c r="C35" s="187" t="s">
        <v>888</v>
      </c>
      <c r="D35" s="242" t="s">
        <v>680</v>
      </c>
      <c r="E35" s="782">
        <v>233039</v>
      </c>
      <c r="F35" s="757">
        <v>225320</v>
      </c>
      <c r="G35" s="766">
        <v>0.96687678886366657</v>
      </c>
      <c r="H35" s="757">
        <v>2309920248.8099999</v>
      </c>
      <c r="I35" s="757">
        <v>62861169.159999996</v>
      </c>
      <c r="J35" s="757">
        <v>16708748.83</v>
      </c>
      <c r="K35" s="757">
        <v>46152420.329999998</v>
      </c>
      <c r="L35" s="790">
        <v>278.9861936800994</v>
      </c>
      <c r="M35" s="790">
        <v>204.83055356825847</v>
      </c>
      <c r="N35" s="791">
        <v>2.7213566872009602</v>
      </c>
      <c r="O35" s="791">
        <v>1.9980092539461616</v>
      </c>
    </row>
    <row r="36" spans="1:15" s="3" customFormat="1" ht="15.5">
      <c r="A36" s="815"/>
      <c r="B36" s="63" t="str">
        <f>B1&amp;", continued"</f>
        <v>Table 6.5, continued</v>
      </c>
      <c r="C36" s="187"/>
      <c r="D36" s="239"/>
      <c r="E36" s="778"/>
      <c r="F36" s="752"/>
      <c r="G36" s="763"/>
      <c r="H36" s="752"/>
      <c r="I36" s="752"/>
      <c r="J36" s="752"/>
      <c r="K36" s="752"/>
      <c r="L36" s="792"/>
      <c r="M36" s="792"/>
      <c r="N36" s="792"/>
      <c r="O36" s="793"/>
    </row>
    <row r="37" spans="1:15" s="3" customFormat="1">
      <c r="A37" s="815"/>
      <c r="B37" s="64" t="str">
        <f>$B$2</f>
        <v>Personal-Use Vehicles:  Personal Property Tax by Locality - Tax Year 2024</v>
      </c>
      <c r="C37" s="187"/>
      <c r="D37" s="240"/>
      <c r="E37" s="779"/>
      <c r="F37" s="752"/>
      <c r="G37" s="763"/>
      <c r="H37" s="752"/>
      <c r="I37" s="752"/>
      <c r="J37" s="752"/>
      <c r="K37" s="752"/>
      <c r="L37" s="792"/>
      <c r="M37" s="792"/>
      <c r="N37" s="792"/>
      <c r="O37" s="793"/>
    </row>
    <row r="38" spans="1:15" s="3" customFormat="1" ht="3" customHeight="1" thickBot="1">
      <c r="A38" s="815"/>
      <c r="B38" s="64"/>
      <c r="C38" s="64" t="s">
        <v>888</v>
      </c>
      <c r="D38" s="240"/>
      <c r="E38" s="779"/>
      <c r="F38" s="752"/>
      <c r="G38" s="763"/>
      <c r="H38" s="752"/>
      <c r="I38" s="752"/>
      <c r="J38" s="752"/>
      <c r="K38" s="752"/>
      <c r="L38" s="792"/>
      <c r="M38" s="792"/>
      <c r="N38" s="792"/>
      <c r="O38" s="793"/>
    </row>
    <row r="39" spans="1:15" s="3" customFormat="1">
      <c r="A39" s="815"/>
      <c r="B39" s="175"/>
      <c r="C39" s="175" t="s">
        <v>888</v>
      </c>
      <c r="D39" s="749"/>
      <c r="E39" s="780"/>
      <c r="F39" s="753" t="str">
        <f>F$4</f>
        <v>Personal-Use Vehicles</v>
      </c>
      <c r="G39" s="764"/>
      <c r="H39" s="754"/>
      <c r="I39" s="755"/>
      <c r="J39" s="755"/>
      <c r="K39" s="754"/>
      <c r="L39" s="794" t="str">
        <f>L$4</f>
        <v>Tax Per Vehicle</v>
      </c>
      <c r="M39" s="794"/>
      <c r="N39" s="794" t="str">
        <f>N$4</f>
        <v>Effective Tax Rate</v>
      </c>
      <c r="O39" s="795"/>
    </row>
    <row r="40" spans="1:15" s="3" customFormat="1" ht="24" customHeight="1">
      <c r="A40" s="815"/>
      <c r="B40" s="822" t="s">
        <v>125</v>
      </c>
      <c r="C40" s="821" t="str">
        <f t="shared" ref="C40:E40" si="0">C$5</f>
        <v>Notes</v>
      </c>
      <c r="D40" s="756" t="str">
        <f t="shared" si="0"/>
        <v>FIPS</v>
      </c>
      <c r="E40" s="756" t="str">
        <f t="shared" si="0"/>
        <v>Population</v>
      </c>
      <c r="F40" s="756" t="str">
        <f t="shared" ref="F40:O40" si="1">F$5</f>
        <v>Vehicle 
Count</v>
      </c>
      <c r="G40" s="765" t="str">
        <f t="shared" si="1"/>
        <v>Vehicles per capita⁵</v>
      </c>
      <c r="H40" s="756" t="str">
        <f t="shared" si="1"/>
        <v>Assessed 
Value</v>
      </c>
      <c r="I40" s="756" t="str">
        <f t="shared" si="1"/>
        <v>Tax 
Before PPTRA⁶</v>
      </c>
      <c r="J40" s="756" t="str">
        <f t="shared" si="1"/>
        <v>Reimbursed Tax (PPTRA)</v>
      </c>
      <c r="K40" s="756" t="str">
        <f t="shared" si="1"/>
        <v>Net Tax 
After PPTRA</v>
      </c>
      <c r="L40" s="796" t="str">
        <f t="shared" si="1"/>
        <v>Tax Before PPTRA</v>
      </c>
      <c r="M40" s="796" t="str">
        <f t="shared" si="1"/>
        <v>Tax After PPTRA</v>
      </c>
      <c r="N40" s="796" t="str">
        <f t="shared" si="1"/>
        <v>Per $100 Value, Before PPTRA</v>
      </c>
      <c r="O40" s="796" t="str">
        <f t="shared" si="1"/>
        <v>Per $100 Value, After PPTRA</v>
      </c>
    </row>
    <row r="41" spans="1:15" s="3" customFormat="1" ht="21" customHeight="1">
      <c r="A41" s="815"/>
      <c r="B41" s="66" t="s">
        <v>177</v>
      </c>
      <c r="C41" s="187" t="s">
        <v>888</v>
      </c>
      <c r="D41" s="242" t="s">
        <v>686</v>
      </c>
      <c r="E41" s="782">
        <v>99504</v>
      </c>
      <c r="F41" s="757">
        <v>84851</v>
      </c>
      <c r="G41" s="766">
        <v>0.85273958835825692</v>
      </c>
      <c r="H41" s="802">
        <v>634421180</v>
      </c>
      <c r="I41" s="802">
        <v>21179712.120000001</v>
      </c>
      <c r="J41" s="802">
        <v>8075991.7699999996</v>
      </c>
      <c r="K41" s="802">
        <v>13103720.350000001</v>
      </c>
      <c r="L41" s="788">
        <v>249.61063652756008</v>
      </c>
      <c r="M41" s="788">
        <v>154.43212631554138</v>
      </c>
      <c r="N41" s="789">
        <v>3.3384308071177577</v>
      </c>
      <c r="O41" s="789">
        <v>2.0654607322536114</v>
      </c>
    </row>
    <row r="42" spans="1:15" s="3" customFormat="1">
      <c r="A42" s="815"/>
      <c r="B42" s="66" t="s">
        <v>147</v>
      </c>
      <c r="C42" s="187" t="s">
        <v>888</v>
      </c>
      <c r="D42" s="242" t="s">
        <v>687</v>
      </c>
      <c r="E42" s="782">
        <v>25099</v>
      </c>
      <c r="F42" s="757">
        <v>24415</v>
      </c>
      <c r="G42" s="766">
        <v>0.97274791824375473</v>
      </c>
      <c r="H42" s="757">
        <v>246304996.97999999</v>
      </c>
      <c r="I42" s="757">
        <v>6672968.7800000003</v>
      </c>
      <c r="J42" s="757">
        <v>2588706.9500000002</v>
      </c>
      <c r="K42" s="757">
        <v>4084261.83</v>
      </c>
      <c r="L42" s="790">
        <v>273.31430595945119</v>
      </c>
      <c r="M42" s="790">
        <v>167.2849408150727</v>
      </c>
      <c r="N42" s="791">
        <v>2.7092299635893484</v>
      </c>
      <c r="O42" s="791">
        <v>1.6582131422740247</v>
      </c>
    </row>
    <row r="43" spans="1:15" s="3" customFormat="1">
      <c r="A43" s="815"/>
      <c r="B43" s="66" t="s">
        <v>336</v>
      </c>
      <c r="C43" s="187" t="s">
        <v>888</v>
      </c>
      <c r="D43" s="242" t="s">
        <v>688</v>
      </c>
      <c r="E43" s="782">
        <v>25971</v>
      </c>
      <c r="F43" s="757">
        <v>20848</v>
      </c>
      <c r="G43" s="766">
        <v>0.80274151938700855</v>
      </c>
      <c r="H43" s="757">
        <v>204558783</v>
      </c>
      <c r="I43" s="757">
        <v>5932204.71</v>
      </c>
      <c r="J43" s="757">
        <v>1652200.1300000001</v>
      </c>
      <c r="K43" s="757">
        <v>4280004.58</v>
      </c>
      <c r="L43" s="790">
        <v>284.54550604374521</v>
      </c>
      <c r="M43" s="790">
        <v>205.29569167306218</v>
      </c>
      <c r="N43" s="809">
        <v>2.9000000014665708</v>
      </c>
      <c r="O43" s="809">
        <v>2.0923103458236745</v>
      </c>
    </row>
    <row r="44" spans="1:15" s="3" customFormat="1">
      <c r="A44" s="815"/>
      <c r="B44" s="66" t="s">
        <v>188</v>
      </c>
      <c r="C44" s="187" t="s">
        <v>888</v>
      </c>
      <c r="D44" s="242" t="s">
        <v>689</v>
      </c>
      <c r="E44" s="782">
        <v>102572</v>
      </c>
      <c r="F44" s="757">
        <v>107743</v>
      </c>
      <c r="G44" s="766">
        <v>1.0504133681706509</v>
      </c>
      <c r="H44" s="757">
        <v>1173251540</v>
      </c>
      <c r="I44" s="757">
        <v>40026891.460000001</v>
      </c>
      <c r="J44" s="757">
        <v>10169729.629999999</v>
      </c>
      <c r="K44" s="757">
        <v>29857161.830000002</v>
      </c>
      <c r="L44" s="790">
        <v>371.50340588251674</v>
      </c>
      <c r="M44" s="790">
        <v>277.11463231950103</v>
      </c>
      <c r="N44" s="791">
        <v>3.4116206197351335</v>
      </c>
      <c r="O44" s="791">
        <v>2.5448218742589503</v>
      </c>
    </row>
    <row r="45" spans="1:15" s="3" customFormat="1">
      <c r="A45" s="815"/>
      <c r="B45" s="66" t="s">
        <v>341</v>
      </c>
      <c r="C45" s="187" t="s">
        <v>888</v>
      </c>
      <c r="D45" s="242" t="s">
        <v>690</v>
      </c>
      <c r="E45" s="782">
        <v>452965</v>
      </c>
      <c r="F45" s="757">
        <v>462142</v>
      </c>
      <c r="G45" s="766">
        <v>1.0202598434757653</v>
      </c>
      <c r="H45" s="757">
        <v>5073181843</v>
      </c>
      <c r="I45" s="757">
        <v>232569286.94</v>
      </c>
      <c r="J45" s="757">
        <v>53412867.939999998</v>
      </c>
      <c r="K45" s="757">
        <v>179156419</v>
      </c>
      <c r="L45" s="790">
        <v>503.24204885078609</v>
      </c>
      <c r="M45" s="790">
        <v>387.66530417057959</v>
      </c>
      <c r="N45" s="791">
        <v>4.5842884039510663</v>
      </c>
      <c r="O45" s="791">
        <v>3.5314409091643513</v>
      </c>
    </row>
    <row r="46" spans="1:15" s="3" customFormat="1" ht="24" customHeight="1">
      <c r="A46" s="815"/>
      <c r="B46" s="66" t="s">
        <v>344</v>
      </c>
      <c r="C46" s="187" t="s">
        <v>888</v>
      </c>
      <c r="D46" s="242" t="s">
        <v>691</v>
      </c>
      <c r="E46" s="782">
        <v>22938</v>
      </c>
      <c r="F46" s="757">
        <v>20349</v>
      </c>
      <c r="G46" s="766">
        <v>0.88713052576510598</v>
      </c>
      <c r="H46" s="757">
        <v>190793857.25</v>
      </c>
      <c r="I46" s="757">
        <v>6200800.3600000003</v>
      </c>
      <c r="J46" s="757">
        <v>1721456.8200000003</v>
      </c>
      <c r="K46" s="757">
        <v>4479343.54</v>
      </c>
      <c r="L46" s="790">
        <v>304.72260848198931</v>
      </c>
      <c r="M46" s="790">
        <v>220.12597867217062</v>
      </c>
      <c r="N46" s="791">
        <v>3.2499999996724216</v>
      </c>
      <c r="O46" s="791">
        <v>2.3477399139379265</v>
      </c>
    </row>
    <row r="47" spans="1:15" s="3" customFormat="1">
      <c r="A47" s="815"/>
      <c r="B47" s="66" t="s">
        <v>347</v>
      </c>
      <c r="C47" s="187" t="s">
        <v>888</v>
      </c>
      <c r="D47" s="242" t="s">
        <v>692</v>
      </c>
      <c r="E47" s="782">
        <v>15690</v>
      </c>
      <c r="F47" s="757">
        <v>6225</v>
      </c>
      <c r="G47" s="766">
        <v>0.3967495219885277</v>
      </c>
      <c r="H47" s="757">
        <v>88145750</v>
      </c>
      <c r="I47" s="757">
        <v>3085101.25</v>
      </c>
      <c r="J47" s="757">
        <v>773572.03</v>
      </c>
      <c r="K47" s="757">
        <v>2311529.2199999997</v>
      </c>
      <c r="L47" s="790">
        <v>495.59859437751004</v>
      </c>
      <c r="M47" s="790">
        <v>371.32999518072285</v>
      </c>
      <c r="N47" s="791">
        <v>3.5</v>
      </c>
      <c r="O47" s="791">
        <v>2.6223944092596634</v>
      </c>
    </row>
    <row r="48" spans="1:15" s="3" customFormat="1">
      <c r="A48" s="815"/>
      <c r="B48" s="66" t="s">
        <v>350</v>
      </c>
      <c r="C48" s="187" t="s">
        <v>1446</v>
      </c>
      <c r="D48" s="242" t="s">
        <v>693</v>
      </c>
      <c r="E48" s="782">
        <v>29294</v>
      </c>
      <c r="F48" s="757">
        <v>55377</v>
      </c>
      <c r="G48" s="766">
        <v>1.8903871099883935</v>
      </c>
      <c r="H48" s="757">
        <v>514245709</v>
      </c>
      <c r="I48" s="757">
        <v>0</v>
      </c>
      <c r="J48" s="757">
        <v>2622084.41</v>
      </c>
      <c r="K48" s="757">
        <v>0</v>
      </c>
      <c r="L48" s="790">
        <v>0</v>
      </c>
      <c r="M48" s="790">
        <v>0</v>
      </c>
      <c r="N48" s="791">
        <v>0</v>
      </c>
      <c r="O48" s="791">
        <v>0</v>
      </c>
    </row>
    <row r="49" spans="1:15" s="3" customFormat="1">
      <c r="A49" s="815"/>
      <c r="B49" s="66"/>
      <c r="C49" s="66" t="s">
        <v>888</v>
      </c>
      <c r="D49" s="242"/>
      <c r="E49" s="782"/>
      <c r="F49" s="757"/>
      <c r="G49" s="766"/>
      <c r="H49" s="757"/>
      <c r="I49" s="757"/>
      <c r="J49" s="757"/>
      <c r="K49" s="757"/>
      <c r="L49" s="797"/>
      <c r="M49" s="797"/>
      <c r="N49" s="797"/>
      <c r="O49" s="798"/>
    </row>
    <row r="50" spans="1:15" s="3" customFormat="1">
      <c r="A50" s="815"/>
      <c r="B50" s="106" t="s">
        <v>152</v>
      </c>
      <c r="C50" s="106" t="s">
        <v>888</v>
      </c>
      <c r="D50" s="750"/>
      <c r="E50" s="783">
        <f>SUM(E6:E35,E41:E48)</f>
        <v>2620306</v>
      </c>
      <c r="F50" s="758">
        <f>SUM(F6:F35,F41:F48)</f>
        <v>2318322</v>
      </c>
      <c r="G50" s="767">
        <v>0.8929051629941831</v>
      </c>
      <c r="H50" s="758">
        <f>SUM(H6:H35,H41:H48)</f>
        <v>23089097561.277302</v>
      </c>
      <c r="I50" s="758">
        <f>SUM(I6:I35,I41:I48)</f>
        <v>906529578.98000014</v>
      </c>
      <c r="J50" s="758">
        <f>SUM(J6:J35,J41:J48)</f>
        <v>250658318.15999994</v>
      </c>
      <c r="K50" s="758">
        <f>SUM(K6:K35,K41:K48)</f>
        <v>662455723.3499999</v>
      </c>
      <c r="L50" s="799">
        <v>405.93827296700516</v>
      </c>
      <c r="M50" s="799">
        <v>296.64352767880297</v>
      </c>
      <c r="N50" s="800">
        <v>4.0185913589875293</v>
      </c>
      <c r="O50" s="801">
        <v>2.9362651798870503</v>
      </c>
    </row>
    <row r="51" spans="1:15" ht="7" customHeight="1">
      <c r="B51" s="66"/>
      <c r="C51" s="187" t="s">
        <v>888</v>
      </c>
      <c r="D51" s="242"/>
      <c r="E51" s="782"/>
      <c r="F51" s="752"/>
      <c r="G51" s="763"/>
      <c r="H51" s="752"/>
      <c r="I51" s="752"/>
      <c r="J51" s="752"/>
      <c r="K51" s="752"/>
      <c r="L51" s="792"/>
      <c r="M51" s="792"/>
      <c r="N51" s="792"/>
      <c r="O51" s="793"/>
    </row>
    <row r="52" spans="1:15" s="10" customFormat="1" ht="7" customHeight="1">
      <c r="A52" s="817"/>
      <c r="B52" s="184"/>
      <c r="C52" s="187" t="s">
        <v>888</v>
      </c>
      <c r="D52" s="257"/>
      <c r="E52" s="784"/>
      <c r="F52" s="759"/>
      <c r="G52" s="768"/>
      <c r="H52" s="759"/>
      <c r="I52" s="759"/>
      <c r="J52" s="759"/>
      <c r="K52" s="759"/>
      <c r="L52" s="792"/>
      <c r="M52" s="792"/>
      <c r="N52" s="792"/>
      <c r="O52" s="793"/>
    </row>
    <row r="53" spans="1:15" s="3" customFormat="1" ht="15.5">
      <c r="A53" s="815"/>
      <c r="B53" s="63" t="str">
        <f>$B$36</f>
        <v>Table 6.5, continued</v>
      </c>
      <c r="C53" s="187"/>
      <c r="D53" s="239"/>
      <c r="E53" s="778"/>
      <c r="F53" s="752"/>
      <c r="G53" s="763"/>
      <c r="H53" s="752"/>
      <c r="I53" s="752"/>
      <c r="J53" s="752"/>
      <c r="K53" s="752"/>
      <c r="L53" s="792"/>
      <c r="M53" s="792"/>
      <c r="N53" s="792"/>
      <c r="O53" s="793"/>
    </row>
    <row r="54" spans="1:15" s="3" customFormat="1">
      <c r="A54" s="815"/>
      <c r="B54" s="64" t="str">
        <f>$B$2</f>
        <v>Personal-Use Vehicles:  Personal Property Tax by Locality - Tax Year 2024</v>
      </c>
      <c r="C54" s="187"/>
      <c r="D54" s="240"/>
      <c r="E54" s="779"/>
      <c r="F54" s="752"/>
      <c r="G54" s="763"/>
      <c r="H54" s="752"/>
      <c r="I54" s="752"/>
      <c r="J54" s="752"/>
      <c r="K54" s="752"/>
      <c r="L54" s="792"/>
      <c r="M54" s="792"/>
      <c r="N54" s="792"/>
      <c r="O54" s="793"/>
    </row>
    <row r="55" spans="1:15" s="3" customFormat="1" ht="3" customHeight="1" thickBot="1">
      <c r="A55" s="815"/>
      <c r="B55" s="64"/>
      <c r="C55" s="64" t="s">
        <v>888</v>
      </c>
      <c r="D55" s="240"/>
      <c r="E55" s="779"/>
      <c r="F55" s="752"/>
      <c r="G55" s="763"/>
      <c r="H55" s="752"/>
      <c r="I55" s="752"/>
      <c r="J55" s="752"/>
      <c r="K55" s="752"/>
      <c r="L55" s="792"/>
      <c r="M55" s="792"/>
      <c r="N55" s="792"/>
      <c r="O55" s="793"/>
    </row>
    <row r="56" spans="1:15" s="3" customFormat="1">
      <c r="A56" s="815"/>
      <c r="B56" s="175"/>
      <c r="C56" s="175" t="s">
        <v>888</v>
      </c>
      <c r="D56" s="749"/>
      <c r="E56" s="780"/>
      <c r="F56" s="753" t="str">
        <f>F$4</f>
        <v>Personal-Use Vehicles</v>
      </c>
      <c r="G56" s="764"/>
      <c r="H56" s="754"/>
      <c r="I56" s="755"/>
      <c r="J56" s="755"/>
      <c r="K56" s="754"/>
      <c r="L56" s="794" t="str">
        <f>L$4</f>
        <v>Tax Per Vehicle</v>
      </c>
      <c r="M56" s="794"/>
      <c r="N56" s="794" t="str">
        <f>N$4</f>
        <v>Effective Tax Rate</v>
      </c>
      <c r="O56" s="795"/>
    </row>
    <row r="57" spans="1:15" s="3" customFormat="1" ht="24" customHeight="1">
      <c r="A57" s="815"/>
      <c r="B57" s="822" t="s">
        <v>43</v>
      </c>
      <c r="C57" s="179" t="str">
        <f t="shared" ref="C57" si="2">C$5</f>
        <v>Notes</v>
      </c>
      <c r="D57" s="751" t="str">
        <f t="shared" ref="D57:E57" si="3">D$5</f>
        <v>FIPS</v>
      </c>
      <c r="E57" s="781" t="str">
        <f t="shared" si="3"/>
        <v>Population</v>
      </c>
      <c r="F57" s="756" t="str">
        <f t="shared" ref="F57:O57" si="4">F$5</f>
        <v>Vehicle 
Count</v>
      </c>
      <c r="G57" s="765" t="str">
        <f t="shared" si="4"/>
        <v>Vehicles per capita⁵</v>
      </c>
      <c r="H57" s="756" t="str">
        <f t="shared" si="4"/>
        <v>Assessed 
Value</v>
      </c>
      <c r="I57" s="756" t="str">
        <f t="shared" si="4"/>
        <v>Tax 
Before PPTRA⁶</v>
      </c>
      <c r="J57" s="756" t="str">
        <f t="shared" si="4"/>
        <v>Reimbursed Tax (PPTRA)</v>
      </c>
      <c r="K57" s="756" t="str">
        <f t="shared" si="4"/>
        <v>Net Tax 
After PPTRA</v>
      </c>
      <c r="L57" s="796" t="str">
        <f t="shared" si="4"/>
        <v>Tax Before PPTRA</v>
      </c>
      <c r="M57" s="796" t="str">
        <f t="shared" si="4"/>
        <v>Tax After PPTRA</v>
      </c>
      <c r="N57" s="796" t="str">
        <f t="shared" si="4"/>
        <v>Per $100 Value, Before PPTRA</v>
      </c>
      <c r="O57" s="796" t="str">
        <f t="shared" si="4"/>
        <v>Per $100 Value, After PPTRA</v>
      </c>
    </row>
    <row r="58" spans="1:15" s="3" customFormat="1" ht="21" customHeight="1">
      <c r="A58" s="815"/>
      <c r="B58" s="66" t="s">
        <v>254</v>
      </c>
      <c r="C58" s="187" t="s">
        <v>888</v>
      </c>
      <c r="D58" s="242" t="s">
        <v>694</v>
      </c>
      <c r="E58" s="782">
        <v>33498</v>
      </c>
      <c r="F58" s="757">
        <v>41186</v>
      </c>
      <c r="G58" s="766">
        <v>1.2295062391784584</v>
      </c>
      <c r="H58" s="802">
        <v>312031337</v>
      </c>
      <c r="I58" s="802">
        <v>14662774.5</v>
      </c>
      <c r="J58" s="802">
        <v>3055208.76</v>
      </c>
      <c r="K58" s="802">
        <v>11607565.74</v>
      </c>
      <c r="L58" s="788">
        <v>356.0135604331569</v>
      </c>
      <c r="M58" s="788">
        <v>281.83280095177975</v>
      </c>
      <c r="N58" s="789">
        <v>4.6991352346126698</v>
      </c>
      <c r="O58" s="789">
        <v>3.7200000011537302</v>
      </c>
    </row>
    <row r="59" spans="1:15" s="3" customFormat="1">
      <c r="A59" s="815"/>
      <c r="B59" s="66" t="s">
        <v>256</v>
      </c>
      <c r="C59" s="187" t="s">
        <v>1425</v>
      </c>
      <c r="D59" s="242" t="s">
        <v>695</v>
      </c>
      <c r="E59" s="782">
        <v>117790</v>
      </c>
      <c r="F59" s="757">
        <v>72300</v>
      </c>
      <c r="G59" s="766">
        <v>0.61380422786314626</v>
      </c>
      <c r="H59" s="757">
        <v>122530567</v>
      </c>
      <c r="I59" s="757">
        <v>32391207.41</v>
      </c>
      <c r="J59" s="757">
        <v>14960669.82</v>
      </c>
      <c r="K59" s="757">
        <v>17430537.59</v>
      </c>
      <c r="L59" s="790">
        <v>448.01116749654221</v>
      </c>
      <c r="M59" s="790">
        <v>241.08627372060857</v>
      </c>
      <c r="N59" s="791" t="s">
        <v>873</v>
      </c>
      <c r="O59" s="791" t="s">
        <v>873</v>
      </c>
    </row>
    <row r="60" spans="1:15" s="3" customFormat="1">
      <c r="A60" s="815"/>
      <c r="B60" s="66" t="s">
        <v>259</v>
      </c>
      <c r="C60" s="187" t="s">
        <v>888</v>
      </c>
      <c r="D60" s="242" t="s">
        <v>696</v>
      </c>
      <c r="E60" s="782">
        <v>14984</v>
      </c>
      <c r="F60" s="757">
        <v>25783</v>
      </c>
      <c r="G60" s="766">
        <v>1.7207020822210357</v>
      </c>
      <c r="H60" s="757">
        <v>136621785</v>
      </c>
      <c r="I60" s="757">
        <v>4071329.19</v>
      </c>
      <c r="J60" s="757">
        <v>1610807.8799999997</v>
      </c>
      <c r="K60" s="757">
        <v>2460521.3100000005</v>
      </c>
      <c r="L60" s="790">
        <v>157.90750455726641</v>
      </c>
      <c r="M60" s="790">
        <v>95.431924523911121</v>
      </c>
      <c r="N60" s="791">
        <v>2.9799999978041565</v>
      </c>
      <c r="O60" s="791">
        <v>1.8009728902312325</v>
      </c>
    </row>
    <row r="61" spans="1:15" s="3" customFormat="1">
      <c r="A61" s="815"/>
      <c r="B61" s="66" t="s">
        <v>262</v>
      </c>
      <c r="C61" s="187" t="s">
        <v>1424</v>
      </c>
      <c r="D61" s="242" t="s">
        <v>697</v>
      </c>
      <c r="E61" s="782">
        <v>13629</v>
      </c>
      <c r="F61" s="757">
        <v>19042</v>
      </c>
      <c r="G61" s="766">
        <v>1.3971678039474649</v>
      </c>
      <c r="H61" s="757">
        <v>139474708</v>
      </c>
      <c r="I61" s="757">
        <v>7034986.9100000001</v>
      </c>
      <c r="J61" s="757">
        <v>1019212.9700000001</v>
      </c>
      <c r="K61" s="757">
        <v>6015773.9400000004</v>
      </c>
      <c r="L61" s="790">
        <v>369.44579928578929</v>
      </c>
      <c r="M61" s="790">
        <v>315.9213286419494</v>
      </c>
      <c r="N61" s="791">
        <v>5.0439158546221874</v>
      </c>
      <c r="O61" s="791">
        <v>4.3131647495544501</v>
      </c>
    </row>
    <row r="62" spans="1:15" s="3" customFormat="1">
      <c r="A62" s="815"/>
      <c r="B62" s="66" t="s">
        <v>265</v>
      </c>
      <c r="C62" s="187" t="s">
        <v>888</v>
      </c>
      <c r="D62" s="242" t="s">
        <v>698</v>
      </c>
      <c r="E62" s="782">
        <v>31448</v>
      </c>
      <c r="F62" s="757">
        <v>35377</v>
      </c>
      <c r="G62" s="766">
        <v>1.124936402950903</v>
      </c>
      <c r="H62" s="757">
        <v>281977714</v>
      </c>
      <c r="I62" s="757">
        <v>11927249.48</v>
      </c>
      <c r="J62" s="757">
        <v>2199018.35</v>
      </c>
      <c r="K62" s="757">
        <v>9728231.1300000008</v>
      </c>
      <c r="L62" s="790">
        <v>337.14700172428417</v>
      </c>
      <c r="M62" s="790">
        <v>274.98745314752523</v>
      </c>
      <c r="N62" s="791">
        <v>4.2298553707687692</v>
      </c>
      <c r="O62" s="791">
        <v>3.4499999989360863</v>
      </c>
    </row>
    <row r="63" spans="1:15" s="3" customFormat="1" ht="21" customHeight="1">
      <c r="A63" s="815"/>
      <c r="B63" s="66" t="s">
        <v>267</v>
      </c>
      <c r="C63" s="187" t="s">
        <v>1447</v>
      </c>
      <c r="D63" s="242" t="s">
        <v>699</v>
      </c>
      <c r="E63" s="782">
        <v>16992</v>
      </c>
      <c r="F63" s="757" t="s">
        <v>873</v>
      </c>
      <c r="G63" s="766" t="s">
        <v>873</v>
      </c>
      <c r="H63" s="757">
        <v>0</v>
      </c>
      <c r="I63" s="757">
        <v>0</v>
      </c>
      <c r="J63" s="757">
        <v>1023636.7699999999</v>
      </c>
      <c r="K63" s="757">
        <v>0</v>
      </c>
      <c r="L63" s="790" t="s">
        <v>873</v>
      </c>
      <c r="M63" s="790" t="s">
        <v>873</v>
      </c>
      <c r="N63" s="791" t="s">
        <v>873</v>
      </c>
      <c r="O63" s="791" t="s">
        <v>873</v>
      </c>
    </row>
    <row r="64" spans="1:15" s="3" customFormat="1">
      <c r="A64" s="815"/>
      <c r="B64" s="66" t="s">
        <v>270</v>
      </c>
      <c r="C64" s="187" t="s">
        <v>888</v>
      </c>
      <c r="D64" s="242" t="s">
        <v>700</v>
      </c>
      <c r="E64" s="782">
        <v>245004</v>
      </c>
      <c r="F64" s="757">
        <v>155173</v>
      </c>
      <c r="G64" s="766">
        <v>0.63334884328419128</v>
      </c>
      <c r="H64" s="757">
        <v>1937755154.4000001</v>
      </c>
      <c r="I64" s="757">
        <v>96887757.719999999</v>
      </c>
      <c r="J64" s="757">
        <v>31252146.989999998</v>
      </c>
      <c r="K64" s="757">
        <v>65635610.730000004</v>
      </c>
      <c r="L64" s="790">
        <v>624.38541318399461</v>
      </c>
      <c r="M64" s="790">
        <v>422.98344898919271</v>
      </c>
      <c r="N64" s="791">
        <v>5</v>
      </c>
      <c r="O64" s="791">
        <v>3.3871983558378509</v>
      </c>
    </row>
    <row r="65" spans="1:15" s="3" customFormat="1">
      <c r="A65" s="815"/>
      <c r="B65" s="66" t="s">
        <v>273</v>
      </c>
      <c r="C65" s="187" t="s">
        <v>888</v>
      </c>
      <c r="D65" s="242" t="s">
        <v>701</v>
      </c>
      <c r="E65" s="782">
        <v>77901</v>
      </c>
      <c r="F65" s="757">
        <v>81818</v>
      </c>
      <c r="G65" s="766">
        <v>1.0502817678848795</v>
      </c>
      <c r="H65" s="757">
        <v>685329375</v>
      </c>
      <c r="I65" s="757">
        <v>17818563.75</v>
      </c>
      <c r="J65" s="757">
        <v>4295993</v>
      </c>
      <c r="K65" s="757">
        <v>13522570.75</v>
      </c>
      <c r="L65" s="790">
        <v>217.78292979539955</v>
      </c>
      <c r="M65" s="790">
        <v>165.27623200273777</v>
      </c>
      <c r="N65" s="791">
        <v>2.6</v>
      </c>
      <c r="O65" s="791">
        <v>1.973149151822071</v>
      </c>
    </row>
    <row r="66" spans="1:15" s="3" customFormat="1">
      <c r="A66" s="815"/>
      <c r="B66" s="66" t="s">
        <v>165</v>
      </c>
      <c r="C66" s="187" t="s">
        <v>888</v>
      </c>
      <c r="D66" s="242" t="s">
        <v>702</v>
      </c>
      <c r="E66" s="782">
        <v>4255</v>
      </c>
      <c r="F66" s="757">
        <v>8168</v>
      </c>
      <c r="G66" s="766">
        <v>1.9196239717978849</v>
      </c>
      <c r="H66" s="757">
        <v>77391800</v>
      </c>
      <c r="I66" s="757">
        <v>465930.53</v>
      </c>
      <c r="J66" s="757">
        <v>40275.629999999997</v>
      </c>
      <c r="K66" s="757">
        <v>425654.9</v>
      </c>
      <c r="L66" s="790">
        <v>57.043404750244861</v>
      </c>
      <c r="M66" s="790">
        <v>52.112500000000004</v>
      </c>
      <c r="N66" s="791">
        <v>0.60204121108437847</v>
      </c>
      <c r="O66" s="791">
        <v>0.55000000000000004</v>
      </c>
    </row>
    <row r="67" spans="1:15" s="3" customFormat="1">
      <c r="A67" s="815"/>
      <c r="B67" s="66" t="s">
        <v>395</v>
      </c>
      <c r="C67" s="187" t="s">
        <v>888</v>
      </c>
      <c r="D67" s="242" t="s">
        <v>703</v>
      </c>
      <c r="E67" s="782">
        <v>80880</v>
      </c>
      <c r="F67" s="757">
        <v>104981</v>
      </c>
      <c r="G67" s="766">
        <v>1.2979846686449061</v>
      </c>
      <c r="H67" s="757">
        <v>1086221107</v>
      </c>
      <c r="I67" s="757">
        <v>21762038.300000001</v>
      </c>
      <c r="J67" s="757">
        <v>6086051.2199999988</v>
      </c>
      <c r="K67" s="757">
        <v>15675987.080000002</v>
      </c>
      <c r="L67" s="790">
        <v>207.29501814614073</v>
      </c>
      <c r="M67" s="790">
        <v>149.32213524352028</v>
      </c>
      <c r="N67" s="791">
        <v>2.0034630297420652</v>
      </c>
      <c r="O67" s="791">
        <v>1.4431672316969626</v>
      </c>
    </row>
    <row r="68" spans="1:15" s="3" customFormat="1" ht="23" customHeight="1">
      <c r="A68" s="815"/>
      <c r="B68" s="66" t="s">
        <v>281</v>
      </c>
      <c r="C68" s="187" t="s">
        <v>1444</v>
      </c>
      <c r="D68" s="242" t="s">
        <v>704</v>
      </c>
      <c r="E68" s="782">
        <v>6244</v>
      </c>
      <c r="F68" s="757">
        <v>6559</v>
      </c>
      <c r="G68" s="766">
        <v>1.0504484304932735</v>
      </c>
      <c r="H68" s="757">
        <v>16302956.57</v>
      </c>
      <c r="I68" s="757">
        <v>0</v>
      </c>
      <c r="J68" s="757">
        <v>354561.14999999997</v>
      </c>
      <c r="K68" s="757">
        <v>0</v>
      </c>
      <c r="L68" s="790">
        <v>0</v>
      </c>
      <c r="M68" s="790">
        <v>0</v>
      </c>
      <c r="N68" s="790">
        <v>0</v>
      </c>
      <c r="O68" s="790">
        <v>0</v>
      </c>
    </row>
    <row r="69" spans="1:15" s="3" customFormat="1">
      <c r="A69" s="815"/>
      <c r="B69" s="66" t="s">
        <v>283</v>
      </c>
      <c r="C69" s="187" t="s">
        <v>1446</v>
      </c>
      <c r="D69" s="242" t="s">
        <v>705</v>
      </c>
      <c r="E69" s="782">
        <v>33416</v>
      </c>
      <c r="F69" s="757">
        <v>66343</v>
      </c>
      <c r="G69" s="766">
        <v>1.9853662915968397</v>
      </c>
      <c r="H69" s="757">
        <v>0</v>
      </c>
      <c r="I69" s="757">
        <v>0</v>
      </c>
      <c r="J69" s="757">
        <v>3418137.01</v>
      </c>
      <c r="K69" s="757">
        <v>0</v>
      </c>
      <c r="L69" s="790">
        <v>0</v>
      </c>
      <c r="M69" s="790">
        <v>0</v>
      </c>
      <c r="N69" s="791" t="s">
        <v>873</v>
      </c>
      <c r="O69" s="791" t="s">
        <v>873</v>
      </c>
    </row>
    <row r="70" spans="1:15" s="3" customFormat="1">
      <c r="A70" s="815"/>
      <c r="B70" s="66" t="s">
        <v>286</v>
      </c>
      <c r="C70" s="187" t="s">
        <v>888</v>
      </c>
      <c r="D70" s="242" t="s">
        <v>706</v>
      </c>
      <c r="E70" s="782">
        <v>14867</v>
      </c>
      <c r="F70" s="757">
        <v>15775</v>
      </c>
      <c r="G70" s="766">
        <v>1.0610748637922915</v>
      </c>
      <c r="H70" s="757">
        <v>114232530</v>
      </c>
      <c r="I70" s="757">
        <v>5587970.5</v>
      </c>
      <c r="J70" s="757">
        <v>1355735.8699999999</v>
      </c>
      <c r="K70" s="757">
        <v>4232234.63</v>
      </c>
      <c r="L70" s="790">
        <v>354.22950871632332</v>
      </c>
      <c r="M70" s="790">
        <v>268.2874567353407</v>
      </c>
      <c r="N70" s="791">
        <v>4.8917506248001335</v>
      </c>
      <c r="O70" s="791">
        <v>3.7049294364748815</v>
      </c>
    </row>
    <row r="71" spans="1:15" s="3" customFormat="1">
      <c r="A71" s="815"/>
      <c r="B71" s="66" t="s">
        <v>289</v>
      </c>
      <c r="C71" s="187" t="s">
        <v>888</v>
      </c>
      <c r="D71" s="242" t="s">
        <v>707</v>
      </c>
      <c r="E71" s="782">
        <v>19056</v>
      </c>
      <c r="F71" s="757">
        <v>29433</v>
      </c>
      <c r="G71" s="766">
        <v>1.5445528967254407</v>
      </c>
      <c r="H71" s="757">
        <v>196050268</v>
      </c>
      <c r="I71" s="757">
        <v>5383583.8499999996</v>
      </c>
      <c r="J71" s="757">
        <v>1598108.42</v>
      </c>
      <c r="K71" s="757">
        <v>3785475.43</v>
      </c>
      <c r="L71" s="790">
        <v>182.90979003159717</v>
      </c>
      <c r="M71" s="790">
        <v>128.61330581320289</v>
      </c>
      <c r="N71" s="791">
        <v>2.7460221834534804</v>
      </c>
      <c r="O71" s="791">
        <v>1.9308698063090637</v>
      </c>
    </row>
    <row r="72" spans="1:15" s="3" customFormat="1">
      <c r="A72" s="815"/>
      <c r="B72" s="66" t="s">
        <v>291</v>
      </c>
      <c r="C72" s="187" t="s">
        <v>888</v>
      </c>
      <c r="D72" s="242" t="s">
        <v>708</v>
      </c>
      <c r="E72" s="782">
        <v>16736</v>
      </c>
      <c r="F72" s="757">
        <v>14420</v>
      </c>
      <c r="G72" s="766">
        <v>0.86161567877629064</v>
      </c>
      <c r="H72" s="757">
        <v>115277030</v>
      </c>
      <c r="I72" s="757">
        <v>4668741.8099999996</v>
      </c>
      <c r="J72" s="757">
        <v>1136914.28</v>
      </c>
      <c r="K72" s="757">
        <v>3531827.5299999993</v>
      </c>
      <c r="L72" s="790">
        <v>323.76850277392509</v>
      </c>
      <c r="M72" s="790">
        <v>244.92562621359218</v>
      </c>
      <c r="N72" s="791">
        <v>4.0500191668713184</v>
      </c>
      <c r="O72" s="791">
        <v>3.0637738758536712</v>
      </c>
    </row>
    <row r="73" spans="1:15" s="3" customFormat="1" ht="15.5">
      <c r="A73" s="815"/>
      <c r="B73" s="63" t="str">
        <f>$B$36</f>
        <v>Table 6.5, continued</v>
      </c>
      <c r="C73" s="187"/>
      <c r="D73" s="239"/>
      <c r="E73" s="778"/>
      <c r="F73" s="752"/>
      <c r="G73" s="763"/>
      <c r="H73" s="752"/>
      <c r="I73" s="752"/>
      <c r="J73" s="752"/>
      <c r="K73" s="752"/>
      <c r="L73" s="792"/>
      <c r="M73" s="792"/>
      <c r="N73" s="792"/>
      <c r="O73" s="793"/>
    </row>
    <row r="74" spans="1:15" s="3" customFormat="1">
      <c r="A74" s="815"/>
      <c r="B74" s="64" t="str">
        <f>$B$2</f>
        <v>Personal-Use Vehicles:  Personal Property Tax by Locality - Tax Year 2024</v>
      </c>
      <c r="C74" s="187"/>
      <c r="D74" s="240"/>
      <c r="E74" s="779"/>
      <c r="F74" s="752"/>
      <c r="G74" s="763"/>
      <c r="H74" s="752"/>
      <c r="I74" s="752"/>
      <c r="J74" s="752"/>
      <c r="K74" s="752"/>
      <c r="L74" s="792"/>
      <c r="M74" s="792"/>
      <c r="N74" s="792"/>
      <c r="O74" s="793"/>
    </row>
    <row r="75" spans="1:15" s="3" customFormat="1" ht="3" customHeight="1" thickBot="1">
      <c r="A75" s="815"/>
      <c r="B75" s="64"/>
      <c r="C75" s="64" t="s">
        <v>888</v>
      </c>
      <c r="D75" s="240"/>
      <c r="E75" s="779"/>
      <c r="F75" s="752"/>
      <c r="G75" s="763"/>
      <c r="H75" s="752"/>
      <c r="I75" s="752"/>
      <c r="J75" s="752"/>
      <c r="K75" s="752"/>
      <c r="L75" s="792"/>
      <c r="M75" s="792"/>
      <c r="N75" s="792"/>
      <c r="O75" s="793"/>
    </row>
    <row r="76" spans="1:15" s="3" customFormat="1">
      <c r="A76" s="815"/>
      <c r="B76" s="175"/>
      <c r="C76" s="175" t="s">
        <v>888</v>
      </c>
      <c r="D76" s="749"/>
      <c r="E76" s="780"/>
      <c r="F76" s="753" t="str">
        <f>F$4</f>
        <v>Personal-Use Vehicles</v>
      </c>
      <c r="G76" s="764"/>
      <c r="H76" s="754"/>
      <c r="I76" s="755"/>
      <c r="J76" s="755"/>
      <c r="K76" s="754"/>
      <c r="L76" s="794" t="str">
        <f>L$4</f>
        <v>Tax Per Vehicle</v>
      </c>
      <c r="M76" s="794"/>
      <c r="N76" s="794" t="str">
        <f>N$4</f>
        <v>Effective Tax Rate</v>
      </c>
      <c r="O76" s="795"/>
    </row>
    <row r="77" spans="1:15" s="3" customFormat="1" ht="24" customHeight="1">
      <c r="A77" s="815"/>
      <c r="B77" s="822" t="s">
        <v>43</v>
      </c>
      <c r="C77" s="179" t="str">
        <f t="shared" ref="C77" si="5">C$5</f>
        <v>Notes</v>
      </c>
      <c r="D77" s="751" t="str">
        <f t="shared" ref="D77:E77" si="6">D$5</f>
        <v>FIPS</v>
      </c>
      <c r="E77" s="781" t="str">
        <f t="shared" si="6"/>
        <v>Population</v>
      </c>
      <c r="F77" s="756" t="str">
        <f t="shared" ref="F77:O77" si="7">F$5</f>
        <v>Vehicle 
Count</v>
      </c>
      <c r="G77" s="765" t="str">
        <f t="shared" si="7"/>
        <v>Vehicles per capita⁵</v>
      </c>
      <c r="H77" s="756" t="str">
        <f t="shared" si="7"/>
        <v>Assessed 
Value</v>
      </c>
      <c r="I77" s="756" t="str">
        <f t="shared" si="7"/>
        <v>Tax 
Before PPTRA⁶</v>
      </c>
      <c r="J77" s="756" t="str">
        <f t="shared" si="7"/>
        <v>Reimbursed Tax (PPTRA)</v>
      </c>
      <c r="K77" s="756" t="str">
        <f t="shared" si="7"/>
        <v>Net Tax 
After PPTRA</v>
      </c>
      <c r="L77" s="796" t="str">
        <f t="shared" si="7"/>
        <v>Tax Before PPTRA</v>
      </c>
      <c r="M77" s="796" t="str">
        <f t="shared" si="7"/>
        <v>Tax After PPTRA</v>
      </c>
      <c r="N77" s="796" t="str">
        <f t="shared" si="7"/>
        <v>Per $100 Value, Before PPTRA</v>
      </c>
      <c r="O77" s="796" t="str">
        <f t="shared" si="7"/>
        <v>Per $100 Value, After PPTRA</v>
      </c>
    </row>
    <row r="78" spans="1:15" s="3" customFormat="1" ht="21" customHeight="1">
      <c r="A78" s="815"/>
      <c r="B78" s="66" t="s">
        <v>293</v>
      </c>
      <c r="C78" s="187" t="s">
        <v>888</v>
      </c>
      <c r="D78" s="242" t="s">
        <v>709</v>
      </c>
      <c r="E78" s="782">
        <v>56472</v>
      </c>
      <c r="F78" s="757">
        <v>65445</v>
      </c>
      <c r="G78" s="766">
        <v>1.1588929026774331</v>
      </c>
      <c r="H78" s="802">
        <v>317182471</v>
      </c>
      <c r="I78" s="802">
        <v>12846001</v>
      </c>
      <c r="J78" s="802">
        <v>3456012.97</v>
      </c>
      <c r="K78" s="802">
        <v>9389988.0299999993</v>
      </c>
      <c r="L78" s="788">
        <v>196.28697379478953</v>
      </c>
      <c r="M78" s="788">
        <v>143.47907449002977</v>
      </c>
      <c r="N78" s="789">
        <v>4.0500349718254132</v>
      </c>
      <c r="O78" s="789">
        <v>2.9604372525365688</v>
      </c>
    </row>
    <row r="79" spans="1:15" s="3" customFormat="1">
      <c r="A79" s="815"/>
      <c r="B79" s="66" t="s">
        <v>295</v>
      </c>
      <c r="C79" s="187" t="s">
        <v>888</v>
      </c>
      <c r="D79" s="242" t="s">
        <v>710</v>
      </c>
      <c r="E79" s="782">
        <v>33758</v>
      </c>
      <c r="F79" s="757">
        <v>34276</v>
      </c>
      <c r="G79" s="766">
        <v>1.0153445109307424</v>
      </c>
      <c r="H79" s="757">
        <v>338108815</v>
      </c>
      <c r="I79" s="757">
        <v>11430173.1483</v>
      </c>
      <c r="J79" s="757">
        <v>2371896.5099999998</v>
      </c>
      <c r="K79" s="757">
        <v>9058276.6382999998</v>
      </c>
      <c r="L79" s="790">
        <v>333.47453461022286</v>
      </c>
      <c r="M79" s="790">
        <v>264.2746130907924</v>
      </c>
      <c r="N79" s="791">
        <v>3.3806196825421426</v>
      </c>
      <c r="O79" s="791">
        <v>2.6791009983871614</v>
      </c>
    </row>
    <row r="80" spans="1:15" s="3" customFormat="1">
      <c r="A80" s="815"/>
      <c r="B80" s="66" t="s">
        <v>298</v>
      </c>
      <c r="C80" s="187" t="s">
        <v>888</v>
      </c>
      <c r="D80" s="242" t="s">
        <v>711</v>
      </c>
      <c r="E80" s="782">
        <v>28772</v>
      </c>
      <c r="F80" s="757">
        <v>32004</v>
      </c>
      <c r="G80" s="766">
        <v>1.1123314333379675</v>
      </c>
      <c r="H80" s="757">
        <v>266537080</v>
      </c>
      <c r="I80" s="757">
        <v>7181970.9199999999</v>
      </c>
      <c r="J80" s="757">
        <v>1051551.69</v>
      </c>
      <c r="K80" s="757">
        <v>6130419.2300000004</v>
      </c>
      <c r="L80" s="790">
        <v>224.4085401824772</v>
      </c>
      <c r="M80" s="790">
        <v>191.55165698037746</v>
      </c>
      <c r="N80" s="791">
        <v>2.6945485108488469</v>
      </c>
      <c r="O80" s="791">
        <v>2.300024908354215</v>
      </c>
    </row>
    <row r="81" spans="1:15" s="3" customFormat="1">
      <c r="A81" s="815"/>
      <c r="B81" s="66" t="s">
        <v>166</v>
      </c>
      <c r="C81" s="187" t="s">
        <v>1448</v>
      </c>
      <c r="D81" s="242" t="s">
        <v>712</v>
      </c>
      <c r="E81" s="782">
        <v>6488</v>
      </c>
      <c r="F81" s="757" t="s">
        <v>873</v>
      </c>
      <c r="G81" s="787" t="s">
        <v>873</v>
      </c>
      <c r="H81" s="757">
        <v>317824570</v>
      </c>
      <c r="I81" s="757">
        <v>14655920.27</v>
      </c>
      <c r="J81" s="757">
        <v>690962.9</v>
      </c>
      <c r="K81" s="757">
        <v>13964957.369999999</v>
      </c>
      <c r="L81" s="790" t="s">
        <v>873</v>
      </c>
      <c r="M81" s="790" t="s">
        <v>873</v>
      </c>
      <c r="N81" s="791">
        <v>4.6113238727893187</v>
      </c>
      <c r="O81" s="791">
        <v>4.3939200075060274</v>
      </c>
    </row>
    <row r="82" spans="1:15" s="3" customFormat="1">
      <c r="A82" s="815"/>
      <c r="B82" s="66" t="s">
        <v>303</v>
      </c>
      <c r="C82" s="187" t="s">
        <v>888</v>
      </c>
      <c r="D82" s="242" t="s">
        <v>713</v>
      </c>
      <c r="E82" s="782">
        <v>11444</v>
      </c>
      <c r="F82" s="757">
        <v>13392</v>
      </c>
      <c r="G82" s="766">
        <v>1.1702202027263195</v>
      </c>
      <c r="H82" s="757">
        <v>107111811</v>
      </c>
      <c r="I82" s="757">
        <v>2607076</v>
      </c>
      <c r="J82" s="757">
        <v>686909.94</v>
      </c>
      <c r="K82" s="757">
        <v>1920166.06</v>
      </c>
      <c r="L82" s="790">
        <v>194.67413381123058</v>
      </c>
      <c r="M82" s="790">
        <v>143.38157556750298</v>
      </c>
      <c r="N82" s="791">
        <v>2.4339762120164319</v>
      </c>
      <c r="O82" s="791">
        <v>1.7926744418503016</v>
      </c>
    </row>
    <row r="83" spans="1:15" s="3" customFormat="1" ht="24" customHeight="1">
      <c r="A83" s="815"/>
      <c r="B83" s="66" t="s">
        <v>304</v>
      </c>
      <c r="C83" s="187" t="s">
        <v>888</v>
      </c>
      <c r="D83" s="242" t="s">
        <v>714</v>
      </c>
      <c r="E83" s="782">
        <v>394825</v>
      </c>
      <c r="F83" s="757">
        <v>335269</v>
      </c>
      <c r="G83" s="766">
        <v>0.84915848793769388</v>
      </c>
      <c r="H83" s="757">
        <v>3707409880</v>
      </c>
      <c r="I83" s="757">
        <v>119327331</v>
      </c>
      <c r="J83" s="757">
        <v>41092048.149999991</v>
      </c>
      <c r="K83" s="757">
        <v>78235282.850000009</v>
      </c>
      <c r="L83" s="790">
        <v>355.91519347151092</v>
      </c>
      <c r="M83" s="790">
        <v>233.35078056724603</v>
      </c>
      <c r="N83" s="791">
        <v>3.2186171710800968</v>
      </c>
      <c r="O83" s="791">
        <v>2.1102409871659513</v>
      </c>
    </row>
    <row r="84" spans="1:15" s="3" customFormat="1">
      <c r="A84" s="815"/>
      <c r="B84" s="66" t="s">
        <v>307</v>
      </c>
      <c r="C84" s="187" t="s">
        <v>1446</v>
      </c>
      <c r="D84" s="242" t="s">
        <v>715</v>
      </c>
      <c r="E84" s="782">
        <v>15565</v>
      </c>
      <c r="F84" s="757">
        <v>21938</v>
      </c>
      <c r="G84" s="766">
        <v>1.4094442659813684</v>
      </c>
      <c r="H84" s="757">
        <v>262878614.50999999</v>
      </c>
      <c r="I84" s="757">
        <v>0</v>
      </c>
      <c r="J84" s="757">
        <v>2483841.94</v>
      </c>
      <c r="K84" s="757">
        <v>0</v>
      </c>
      <c r="L84" s="790">
        <v>0</v>
      </c>
      <c r="M84" s="790">
        <v>0</v>
      </c>
      <c r="N84" s="791">
        <v>0</v>
      </c>
      <c r="O84" s="791">
        <v>0</v>
      </c>
    </row>
    <row r="85" spans="1:15" s="3" customFormat="1">
      <c r="A85" s="815"/>
      <c r="B85" s="66" t="s">
        <v>308</v>
      </c>
      <c r="C85" s="187" t="s">
        <v>1424</v>
      </c>
      <c r="D85" s="242" t="s">
        <v>716</v>
      </c>
      <c r="E85" s="782">
        <v>4766</v>
      </c>
      <c r="F85" s="757">
        <v>5870</v>
      </c>
      <c r="G85" s="766">
        <v>1.2316407889215275</v>
      </c>
      <c r="H85" s="757">
        <v>45574039</v>
      </c>
      <c r="I85" s="757">
        <v>1936155.94</v>
      </c>
      <c r="J85" s="757">
        <v>341055.16000000003</v>
      </c>
      <c r="K85" s="757">
        <v>1595100.78</v>
      </c>
      <c r="L85" s="790">
        <v>329.83917206132878</v>
      </c>
      <c r="M85" s="790">
        <v>271.73778194207836</v>
      </c>
      <c r="N85" s="791">
        <v>4.2483746941981595</v>
      </c>
      <c r="O85" s="791">
        <v>3.5000206586912341</v>
      </c>
    </row>
    <row r="86" spans="1:15" s="3" customFormat="1">
      <c r="A86" s="815"/>
      <c r="B86" s="66" t="s">
        <v>311</v>
      </c>
      <c r="C86" s="187" t="s">
        <v>888</v>
      </c>
      <c r="D86" s="242" t="s">
        <v>717</v>
      </c>
      <c r="E86" s="782">
        <v>55770</v>
      </c>
      <c r="F86" s="757">
        <v>66667</v>
      </c>
      <c r="G86" s="766">
        <v>1.19539178769948</v>
      </c>
      <c r="H86" s="757">
        <v>743852315</v>
      </c>
      <c r="I86" s="757">
        <v>18802403.039999999</v>
      </c>
      <c r="J86" s="757">
        <v>3367808.23</v>
      </c>
      <c r="K86" s="757">
        <v>15434594.809999999</v>
      </c>
      <c r="L86" s="790">
        <v>282.03463542682283</v>
      </c>
      <c r="M86" s="790">
        <v>231.51776456117719</v>
      </c>
      <c r="N86" s="791">
        <v>2.5277064628077413</v>
      </c>
      <c r="O86" s="791">
        <v>2.0749541943685417</v>
      </c>
    </row>
    <row r="87" spans="1:15" s="3" customFormat="1">
      <c r="A87" s="815"/>
      <c r="B87" s="66" t="s">
        <v>314</v>
      </c>
      <c r="C87" s="187" t="s">
        <v>888</v>
      </c>
      <c r="D87" s="242" t="s">
        <v>718</v>
      </c>
      <c r="E87" s="782">
        <v>9982</v>
      </c>
      <c r="F87" s="757">
        <v>10772</v>
      </c>
      <c r="G87" s="766">
        <v>1.0791424564215588</v>
      </c>
      <c r="H87" s="757">
        <v>70419719</v>
      </c>
      <c r="I87" s="757">
        <v>3168887.36</v>
      </c>
      <c r="J87" s="757">
        <v>871735.92</v>
      </c>
      <c r="K87" s="757">
        <v>2297151.44</v>
      </c>
      <c r="L87" s="790">
        <v>294.17818046787966</v>
      </c>
      <c r="M87" s="790">
        <v>213.2520831786112</v>
      </c>
      <c r="N87" s="791">
        <v>4.5000000071002839</v>
      </c>
      <c r="O87" s="791">
        <v>3.2620854962514123</v>
      </c>
    </row>
    <row r="88" spans="1:15" s="3" customFormat="1" ht="24" customHeight="1">
      <c r="A88" s="815"/>
      <c r="B88" s="66" t="s">
        <v>317</v>
      </c>
      <c r="C88" s="187" t="s">
        <v>888</v>
      </c>
      <c r="D88" s="242" t="s">
        <v>719</v>
      </c>
      <c r="E88" s="782">
        <v>13432</v>
      </c>
      <c r="F88" s="757">
        <v>14606</v>
      </c>
      <c r="G88" s="766">
        <v>1.087403216200119</v>
      </c>
      <c r="H88" s="757">
        <v>118364166</v>
      </c>
      <c r="I88" s="757">
        <v>2189748.4700000002</v>
      </c>
      <c r="J88" s="757">
        <v>817951.92999999993</v>
      </c>
      <c r="K88" s="757">
        <v>1371796.5400000003</v>
      </c>
      <c r="L88" s="790">
        <v>149.92116048199372</v>
      </c>
      <c r="M88" s="790">
        <v>93.920069834314688</v>
      </c>
      <c r="N88" s="791">
        <v>1.8500096304484588</v>
      </c>
      <c r="O88" s="791">
        <v>1.1589627049794786</v>
      </c>
    </row>
    <row r="89" spans="1:15" s="3" customFormat="1">
      <c r="A89" s="815"/>
      <c r="B89" s="66" t="s">
        <v>318</v>
      </c>
      <c r="C89" s="187" t="s">
        <v>888</v>
      </c>
      <c r="D89" s="242" t="s">
        <v>720</v>
      </c>
      <c r="E89" s="782">
        <v>28411</v>
      </c>
      <c r="F89" s="757">
        <v>43504</v>
      </c>
      <c r="G89" s="766">
        <v>1.5312379008130654</v>
      </c>
      <c r="H89" s="757">
        <v>367631169.75</v>
      </c>
      <c r="I89" s="757">
        <v>13454703.559999999</v>
      </c>
      <c r="J89" s="757">
        <v>3642692.36</v>
      </c>
      <c r="K89" s="757">
        <v>9812011.1999999993</v>
      </c>
      <c r="L89" s="790">
        <v>309.27509102611253</v>
      </c>
      <c r="M89" s="790">
        <v>225.54273630011031</v>
      </c>
      <c r="N89" s="791">
        <v>3.6598375402035668</v>
      </c>
      <c r="O89" s="791">
        <v>2.6689823952284719</v>
      </c>
    </row>
    <row r="90" spans="1:15" s="3" customFormat="1">
      <c r="A90" s="815"/>
      <c r="B90" s="66" t="s">
        <v>321</v>
      </c>
      <c r="C90" s="187" t="s">
        <v>1445</v>
      </c>
      <c r="D90" s="242" t="s">
        <v>721</v>
      </c>
      <c r="E90" s="782">
        <v>10411</v>
      </c>
      <c r="F90" s="757" t="s">
        <v>873</v>
      </c>
      <c r="G90" s="766" t="s">
        <v>873</v>
      </c>
      <c r="H90" s="757">
        <v>0</v>
      </c>
      <c r="I90" s="757">
        <v>0</v>
      </c>
      <c r="J90" s="757">
        <v>1054171.06</v>
      </c>
      <c r="K90" s="757">
        <v>0</v>
      </c>
      <c r="L90" s="790" t="s">
        <v>873</v>
      </c>
      <c r="M90" s="790" t="s">
        <v>873</v>
      </c>
      <c r="N90" s="791" t="s">
        <v>873</v>
      </c>
      <c r="O90" s="791" t="s">
        <v>873</v>
      </c>
    </row>
    <row r="91" spans="1:15" s="3" customFormat="1">
      <c r="A91" s="815"/>
      <c r="B91" s="66" t="s">
        <v>323</v>
      </c>
      <c r="C91" s="187" t="s">
        <v>888</v>
      </c>
      <c r="D91" s="242" t="s">
        <v>722</v>
      </c>
      <c r="E91" s="782">
        <v>1149595</v>
      </c>
      <c r="F91" s="757">
        <v>903288</v>
      </c>
      <c r="G91" s="766">
        <v>0.78574454481795764</v>
      </c>
      <c r="H91" s="757">
        <v>13309552293</v>
      </c>
      <c r="I91" s="757">
        <v>524289781</v>
      </c>
      <c r="J91" s="757">
        <v>211313944.15999997</v>
      </c>
      <c r="K91" s="757">
        <v>312975836.84000003</v>
      </c>
      <c r="L91" s="790">
        <v>580.42371978815174</v>
      </c>
      <c r="M91" s="790">
        <v>346.48510424139369</v>
      </c>
      <c r="N91" s="791">
        <v>3.9391992266767977</v>
      </c>
      <c r="O91" s="791">
        <v>2.3515128830036298</v>
      </c>
    </row>
    <row r="92" spans="1:15" s="3" customFormat="1">
      <c r="A92" s="815"/>
      <c r="B92" s="66" t="s">
        <v>326</v>
      </c>
      <c r="C92" s="187" t="s">
        <v>888</v>
      </c>
      <c r="D92" s="242" t="s">
        <v>723</v>
      </c>
      <c r="E92" s="782">
        <v>74563</v>
      </c>
      <c r="F92" s="757">
        <v>94140</v>
      </c>
      <c r="G92" s="766">
        <v>1.2625564958491478</v>
      </c>
      <c r="H92" s="757">
        <v>1253023793</v>
      </c>
      <c r="I92" s="757">
        <v>53595272.82</v>
      </c>
      <c r="J92" s="757">
        <v>13659496.819999998</v>
      </c>
      <c r="K92" s="757">
        <v>39935776</v>
      </c>
      <c r="L92" s="790">
        <v>569.31456150414272</v>
      </c>
      <c r="M92" s="790">
        <v>424.21686849373276</v>
      </c>
      <c r="N92" s="791">
        <v>4.277274950356829</v>
      </c>
      <c r="O92" s="791">
        <v>3.1871522490714588</v>
      </c>
    </row>
    <row r="93" spans="1:15" s="3" customFormat="1" ht="24" customHeight="1">
      <c r="A93" s="815"/>
      <c r="B93" s="66" t="s">
        <v>329</v>
      </c>
      <c r="C93" s="187" t="s">
        <v>888</v>
      </c>
      <c r="D93" s="242" t="s">
        <v>724</v>
      </c>
      <c r="E93" s="782">
        <v>15090</v>
      </c>
      <c r="F93" s="757">
        <v>17019</v>
      </c>
      <c r="G93" s="766">
        <v>1.1278330019880716</v>
      </c>
      <c r="H93" s="757">
        <v>135170387</v>
      </c>
      <c r="I93" s="757">
        <v>4325452.29</v>
      </c>
      <c r="J93" s="757">
        <v>925741.31</v>
      </c>
      <c r="K93" s="757">
        <v>3399710.98</v>
      </c>
      <c r="L93" s="790">
        <v>254.15431517715496</v>
      </c>
      <c r="M93" s="790">
        <v>199.75973793994947</v>
      </c>
      <c r="N93" s="791">
        <v>3.1999999304581408</v>
      </c>
      <c r="O93" s="791">
        <v>2.5151300188257948</v>
      </c>
    </row>
    <row r="94" spans="1:15" s="3" customFormat="1">
      <c r="A94" s="815"/>
      <c r="B94" s="66" t="s">
        <v>332</v>
      </c>
      <c r="C94" s="187" t="s">
        <v>888</v>
      </c>
      <c r="D94" s="242" t="s">
        <v>725</v>
      </c>
      <c r="E94" s="782">
        <v>28382</v>
      </c>
      <c r="F94" s="757">
        <v>21634</v>
      </c>
      <c r="G94" s="766">
        <v>0.76224367556902262</v>
      </c>
      <c r="H94" s="757">
        <v>325935296</v>
      </c>
      <c r="I94" s="757">
        <v>13362910.58</v>
      </c>
      <c r="J94" s="757">
        <v>2996570.25</v>
      </c>
      <c r="K94" s="757">
        <v>10366340.33</v>
      </c>
      <c r="L94" s="790">
        <v>617.68099195710454</v>
      </c>
      <c r="M94" s="790">
        <v>479.16891605805677</v>
      </c>
      <c r="N94" s="791">
        <v>4.0998660605324559</v>
      </c>
      <c r="O94" s="791">
        <v>3.1804902559555872</v>
      </c>
    </row>
    <row r="95" spans="1:15" s="3" customFormat="1">
      <c r="A95" s="815"/>
      <c r="B95" s="66" t="s">
        <v>519</v>
      </c>
      <c r="C95" s="187" t="s">
        <v>888</v>
      </c>
      <c r="D95" s="242" t="s">
        <v>726</v>
      </c>
      <c r="E95" s="782">
        <v>54127</v>
      </c>
      <c r="F95" s="757">
        <v>65086</v>
      </c>
      <c r="G95" s="766">
        <v>1.2024682690708888</v>
      </c>
      <c r="H95" s="757">
        <v>495676450</v>
      </c>
      <c r="I95" s="757">
        <v>9402598</v>
      </c>
      <c r="J95" s="757">
        <v>2626617.81</v>
      </c>
      <c r="K95" s="757">
        <v>6775980.1899999995</v>
      </c>
      <c r="L95" s="790">
        <v>144.46421657499309</v>
      </c>
      <c r="M95" s="790">
        <v>104.1081060443106</v>
      </c>
      <c r="N95" s="791">
        <v>1.8969224783626497</v>
      </c>
      <c r="O95" s="791">
        <v>1.3670167687006312</v>
      </c>
    </row>
    <row r="96" spans="1:15" s="3" customFormat="1">
      <c r="A96" s="815"/>
      <c r="B96" s="66" t="s">
        <v>337</v>
      </c>
      <c r="C96" s="187" t="s">
        <v>888</v>
      </c>
      <c r="D96" s="242" t="s">
        <v>727</v>
      </c>
      <c r="E96" s="782">
        <v>98977</v>
      </c>
      <c r="F96" s="757">
        <v>101200</v>
      </c>
      <c r="G96" s="766">
        <v>1.0224597633793711</v>
      </c>
      <c r="H96" s="757">
        <v>1126936257</v>
      </c>
      <c r="I96" s="757">
        <v>58962921.460000001</v>
      </c>
      <c r="J96" s="757">
        <v>12741898.460000001</v>
      </c>
      <c r="K96" s="757">
        <v>46221023</v>
      </c>
      <c r="L96" s="790">
        <v>582.63756383399209</v>
      </c>
      <c r="M96" s="790">
        <v>456.72947628458496</v>
      </c>
      <c r="N96" s="791">
        <v>5.2321434414546486</v>
      </c>
      <c r="O96" s="791">
        <v>4.1014762559014901</v>
      </c>
    </row>
    <row r="97" spans="1:15" s="3" customFormat="1">
      <c r="A97" s="815"/>
      <c r="B97" s="66" t="s">
        <v>339</v>
      </c>
      <c r="C97" s="187" t="s">
        <v>888</v>
      </c>
      <c r="D97" s="242" t="s">
        <v>728</v>
      </c>
      <c r="E97" s="782">
        <v>16605</v>
      </c>
      <c r="F97" s="757">
        <v>15569</v>
      </c>
      <c r="G97" s="766">
        <v>0.93760915386931643</v>
      </c>
      <c r="H97" s="757">
        <v>187146700</v>
      </c>
      <c r="I97" s="757">
        <v>4973581.18</v>
      </c>
      <c r="J97" s="757">
        <v>1227860.24</v>
      </c>
      <c r="K97" s="757">
        <v>3745720.94</v>
      </c>
      <c r="L97" s="790">
        <v>319.45411908279272</v>
      </c>
      <c r="M97" s="790">
        <v>240.58840901792021</v>
      </c>
      <c r="N97" s="791">
        <v>2.6575842267055738</v>
      </c>
      <c r="O97" s="791">
        <v>2.0014891740009308</v>
      </c>
    </row>
    <row r="98" spans="1:15" s="3" customFormat="1" ht="24" customHeight="1">
      <c r="A98" s="815"/>
      <c r="B98" s="66" t="s">
        <v>342</v>
      </c>
      <c r="C98" s="187" t="s">
        <v>888</v>
      </c>
      <c r="D98" s="242" t="s">
        <v>729</v>
      </c>
      <c r="E98" s="782">
        <v>39019</v>
      </c>
      <c r="F98" s="757">
        <v>44240</v>
      </c>
      <c r="G98" s="766">
        <v>1.1338066070375972</v>
      </c>
      <c r="H98" s="757">
        <v>458827191</v>
      </c>
      <c r="I98" s="757">
        <v>13533429</v>
      </c>
      <c r="J98" s="757">
        <v>2778639.73</v>
      </c>
      <c r="K98" s="757">
        <v>10754789.27</v>
      </c>
      <c r="L98" s="790">
        <v>305.90933544303795</v>
      </c>
      <c r="M98" s="790">
        <v>243.10102328209763</v>
      </c>
      <c r="N98" s="791">
        <v>2.9495699612972586</v>
      </c>
      <c r="O98" s="791">
        <v>2.3439738273924569</v>
      </c>
    </row>
    <row r="99" spans="1:15" s="3" customFormat="1">
      <c r="A99" s="815"/>
      <c r="B99" s="66" t="s">
        <v>345</v>
      </c>
      <c r="C99" s="187" t="s">
        <v>888</v>
      </c>
      <c r="D99" s="242" t="s">
        <v>730</v>
      </c>
      <c r="E99" s="782">
        <v>27486</v>
      </c>
      <c r="F99" s="757">
        <v>30320</v>
      </c>
      <c r="G99" s="766">
        <v>1.1031070363093938</v>
      </c>
      <c r="H99" s="757">
        <v>432238762</v>
      </c>
      <c r="I99" s="757">
        <v>12492679.710000001</v>
      </c>
      <c r="J99" s="757">
        <v>2853011.76</v>
      </c>
      <c r="K99" s="757">
        <v>9639667.9500000011</v>
      </c>
      <c r="L99" s="790">
        <v>412.02769492084434</v>
      </c>
      <c r="M99" s="790">
        <v>317.93100098944592</v>
      </c>
      <c r="N99" s="791">
        <v>2.8902266081356212</v>
      </c>
      <c r="O99" s="791">
        <v>2.2301720246922234</v>
      </c>
    </row>
    <row r="100" spans="1:15" s="3" customFormat="1">
      <c r="A100" s="815"/>
      <c r="B100" s="66" t="s">
        <v>348</v>
      </c>
      <c r="C100" s="187" t="s">
        <v>888</v>
      </c>
      <c r="D100" s="242" t="s">
        <v>731</v>
      </c>
      <c r="E100" s="782">
        <v>15206</v>
      </c>
      <c r="F100" s="757">
        <v>19347</v>
      </c>
      <c r="G100" s="766">
        <v>1.2723267131395501</v>
      </c>
      <c r="H100" s="757">
        <v>152262895</v>
      </c>
      <c r="I100" s="757">
        <v>3395992.1799999997</v>
      </c>
      <c r="J100" s="757">
        <v>437787.36</v>
      </c>
      <c r="K100" s="757">
        <v>2958204.82</v>
      </c>
      <c r="L100" s="790">
        <v>175.53068589445391</v>
      </c>
      <c r="M100" s="790">
        <v>152.902507882359</v>
      </c>
      <c r="N100" s="791">
        <v>2.2303478335939952</v>
      </c>
      <c r="O100" s="791">
        <v>1.9428271214730286</v>
      </c>
    </row>
    <row r="101" spans="1:15" s="3" customFormat="1">
      <c r="A101" s="815"/>
      <c r="B101" s="66" t="s">
        <v>351</v>
      </c>
      <c r="C101" s="187" t="s">
        <v>1424</v>
      </c>
      <c r="D101" s="242" t="s">
        <v>732</v>
      </c>
      <c r="E101" s="782">
        <v>21717</v>
      </c>
      <c r="F101" s="757">
        <v>20343</v>
      </c>
      <c r="G101" s="766">
        <v>0.93673159276143114</v>
      </c>
      <c r="H101" s="757">
        <v>195418656</v>
      </c>
      <c r="I101" s="757">
        <v>8794013.6600000001</v>
      </c>
      <c r="J101" s="757">
        <v>2249910.7200000002</v>
      </c>
      <c r="K101" s="757">
        <v>6544102.9399999995</v>
      </c>
      <c r="L101" s="790">
        <v>432.28696160841565</v>
      </c>
      <c r="M101" s="790">
        <v>321.68819446492648</v>
      </c>
      <c r="N101" s="791">
        <v>4.5000891112463695</v>
      </c>
      <c r="O101" s="791">
        <v>3.3487605912098788</v>
      </c>
    </row>
    <row r="102" spans="1:15" s="3" customFormat="1">
      <c r="A102" s="815"/>
      <c r="B102" s="66" t="s">
        <v>353</v>
      </c>
      <c r="C102" s="187" t="s">
        <v>888</v>
      </c>
      <c r="D102" s="242" t="s">
        <v>733</v>
      </c>
      <c r="E102" s="782">
        <v>10852</v>
      </c>
      <c r="F102" s="757">
        <v>9342</v>
      </c>
      <c r="G102" s="766">
        <v>0.86085514190932544</v>
      </c>
      <c r="H102" s="757">
        <v>70223700</v>
      </c>
      <c r="I102" s="757">
        <v>3511185</v>
      </c>
      <c r="J102" s="757">
        <v>1065419.02</v>
      </c>
      <c r="K102" s="757">
        <v>2445765.98</v>
      </c>
      <c r="L102" s="790">
        <v>375.84938985228001</v>
      </c>
      <c r="M102" s="790">
        <v>261.80325198030403</v>
      </c>
      <c r="N102" s="791">
        <v>5</v>
      </c>
      <c r="O102" s="791">
        <v>3.4828212982226798</v>
      </c>
    </row>
    <row r="103" spans="1:15" s="3" customFormat="1" ht="24" customHeight="1">
      <c r="A103" s="815"/>
      <c r="B103" s="66" t="s">
        <v>78</v>
      </c>
      <c r="C103" s="187" t="s">
        <v>1445</v>
      </c>
      <c r="D103" s="242" t="s">
        <v>734</v>
      </c>
      <c r="E103" s="782">
        <v>32817</v>
      </c>
      <c r="F103" s="757" t="s">
        <v>873</v>
      </c>
      <c r="G103" s="766" t="s">
        <v>873</v>
      </c>
      <c r="H103" s="757">
        <v>0</v>
      </c>
      <c r="I103" s="757">
        <v>0</v>
      </c>
      <c r="J103" s="757">
        <v>1503234.1699999997</v>
      </c>
      <c r="K103" s="757">
        <v>0</v>
      </c>
      <c r="L103" s="790" t="s">
        <v>873</v>
      </c>
      <c r="M103" s="790" t="s">
        <v>873</v>
      </c>
      <c r="N103" s="791" t="s">
        <v>873</v>
      </c>
      <c r="O103" s="791" t="s">
        <v>873</v>
      </c>
    </row>
    <row r="104" spans="1:15" s="3" customFormat="1">
      <c r="A104" s="815"/>
      <c r="B104" s="66" t="s">
        <v>356</v>
      </c>
      <c r="C104" s="187" t="s">
        <v>888</v>
      </c>
      <c r="D104" s="242" t="s">
        <v>735</v>
      </c>
      <c r="E104" s="782">
        <v>114420</v>
      </c>
      <c r="F104" s="757">
        <v>142817</v>
      </c>
      <c r="G104" s="766">
        <v>1.2481821359902114</v>
      </c>
      <c r="H104" s="757">
        <v>1728875187.0999999</v>
      </c>
      <c r="I104" s="757">
        <v>66724070.969999999</v>
      </c>
      <c r="J104" s="757">
        <v>15002745.33</v>
      </c>
      <c r="K104" s="757">
        <v>51721325.640000001</v>
      </c>
      <c r="L104" s="790">
        <v>467.19977992815978</v>
      </c>
      <c r="M104" s="790">
        <v>362.15104392334246</v>
      </c>
      <c r="N104" s="791">
        <v>3.8593920178773788</v>
      </c>
      <c r="O104" s="791">
        <v>2.9916170945085341</v>
      </c>
    </row>
    <row r="105" spans="1:15" s="3" customFormat="1">
      <c r="A105" s="815"/>
      <c r="B105" s="66" t="s">
        <v>358</v>
      </c>
      <c r="C105" s="187" t="s">
        <v>888</v>
      </c>
      <c r="D105" s="242" t="s">
        <v>736</v>
      </c>
      <c r="E105" s="782">
        <v>345973</v>
      </c>
      <c r="F105" s="757">
        <v>337955</v>
      </c>
      <c r="G105" s="766">
        <v>0.97682478112453863</v>
      </c>
      <c r="H105" s="757">
        <v>3806996591</v>
      </c>
      <c r="I105" s="757">
        <v>69763729</v>
      </c>
      <c r="J105" s="757">
        <v>37001783.210000001</v>
      </c>
      <c r="K105" s="757">
        <v>32761945.789999999</v>
      </c>
      <c r="L105" s="790">
        <v>206.42904824606828</v>
      </c>
      <c r="M105" s="790">
        <v>96.941740142918434</v>
      </c>
      <c r="N105" s="791">
        <v>1.8325135663353687</v>
      </c>
      <c r="O105" s="791">
        <v>0.86057197601519997</v>
      </c>
    </row>
    <row r="106" spans="1:15" s="3" customFormat="1">
      <c r="A106" s="815"/>
      <c r="B106" s="66" t="s">
        <v>360</v>
      </c>
      <c r="C106" s="187" t="s">
        <v>1447</v>
      </c>
      <c r="D106" s="242" t="s">
        <v>737</v>
      </c>
      <c r="E106" s="782">
        <v>48726</v>
      </c>
      <c r="F106" s="757" t="s">
        <v>873</v>
      </c>
      <c r="G106" s="766" t="s">
        <v>873</v>
      </c>
      <c r="H106" s="757">
        <v>0</v>
      </c>
      <c r="I106" s="757">
        <v>0</v>
      </c>
      <c r="J106" s="757">
        <v>1771828.1099999999</v>
      </c>
      <c r="K106" s="757">
        <v>0</v>
      </c>
      <c r="L106" s="790" t="s">
        <v>873</v>
      </c>
      <c r="M106" s="790" t="s">
        <v>873</v>
      </c>
      <c r="N106" s="791" t="s">
        <v>873</v>
      </c>
      <c r="O106" s="791" t="s">
        <v>873</v>
      </c>
    </row>
    <row r="107" spans="1:15" s="3" customFormat="1">
      <c r="A107" s="815"/>
      <c r="B107" s="66" t="s">
        <v>362</v>
      </c>
      <c r="C107" s="187" t="s">
        <v>1424</v>
      </c>
      <c r="D107" s="242" t="s">
        <v>738</v>
      </c>
      <c r="E107" s="782">
        <v>2285</v>
      </c>
      <c r="F107" s="757">
        <v>5044</v>
      </c>
      <c r="G107" s="766">
        <v>2.2074398249452956</v>
      </c>
      <c r="H107" s="757">
        <v>31744105</v>
      </c>
      <c r="I107" s="757">
        <v>862787.88</v>
      </c>
      <c r="J107" s="757">
        <v>167052.14000000001</v>
      </c>
      <c r="K107" s="757">
        <v>695735.74</v>
      </c>
      <c r="L107" s="790">
        <v>171.0523156225218</v>
      </c>
      <c r="M107" s="790">
        <v>137.93333465503568</v>
      </c>
      <c r="N107" s="791">
        <v>2.7179467809850051</v>
      </c>
      <c r="O107" s="791">
        <v>2.1917006007887134</v>
      </c>
    </row>
    <row r="108" spans="1:15" s="3" customFormat="1" ht="15.5">
      <c r="A108" s="815"/>
      <c r="B108" s="63" t="str">
        <f>$B$36</f>
        <v>Table 6.5, continued</v>
      </c>
      <c r="C108" s="187"/>
      <c r="D108" s="239"/>
      <c r="E108" s="778"/>
      <c r="F108" s="752"/>
      <c r="G108" s="763"/>
      <c r="H108" s="752"/>
      <c r="I108" s="752"/>
      <c r="J108" s="752"/>
      <c r="K108" s="752"/>
      <c r="L108" s="792"/>
      <c r="M108" s="792"/>
      <c r="N108" s="792"/>
      <c r="O108" s="793"/>
    </row>
    <row r="109" spans="1:15" s="3" customFormat="1">
      <c r="A109" s="815"/>
      <c r="B109" s="64" t="str">
        <f>$B$2</f>
        <v>Personal-Use Vehicles:  Personal Property Tax by Locality - Tax Year 2024</v>
      </c>
      <c r="C109" s="187"/>
      <c r="D109" s="240"/>
      <c r="E109" s="779"/>
      <c r="F109" s="752"/>
      <c r="G109" s="763"/>
      <c r="H109" s="752"/>
      <c r="I109" s="752"/>
      <c r="J109" s="752"/>
      <c r="K109" s="752"/>
      <c r="L109" s="792"/>
      <c r="M109" s="792"/>
      <c r="N109" s="792"/>
      <c r="O109" s="793"/>
    </row>
    <row r="110" spans="1:15" s="3" customFormat="1" ht="3" customHeight="1" thickBot="1">
      <c r="A110" s="815"/>
      <c r="B110" s="64"/>
      <c r="C110" s="64" t="s">
        <v>888</v>
      </c>
      <c r="D110" s="240"/>
      <c r="E110" s="779"/>
      <c r="F110" s="752"/>
      <c r="G110" s="763"/>
      <c r="H110" s="752"/>
      <c r="I110" s="752"/>
      <c r="J110" s="752"/>
      <c r="K110" s="752"/>
      <c r="L110" s="792"/>
      <c r="M110" s="792"/>
      <c r="N110" s="792"/>
      <c r="O110" s="793"/>
    </row>
    <row r="111" spans="1:15" s="3" customFormat="1">
      <c r="A111" s="815"/>
      <c r="B111" s="175"/>
      <c r="C111" s="175" t="s">
        <v>888</v>
      </c>
      <c r="D111" s="749"/>
      <c r="E111" s="780"/>
      <c r="F111" s="753" t="str">
        <f>F$4</f>
        <v>Personal-Use Vehicles</v>
      </c>
      <c r="G111" s="764"/>
      <c r="H111" s="754"/>
      <c r="I111" s="755"/>
      <c r="J111" s="755"/>
      <c r="K111" s="754"/>
      <c r="L111" s="794" t="str">
        <f>L$4</f>
        <v>Tax Per Vehicle</v>
      </c>
      <c r="M111" s="794"/>
      <c r="N111" s="794" t="str">
        <f>N$4</f>
        <v>Effective Tax Rate</v>
      </c>
      <c r="O111" s="795"/>
    </row>
    <row r="112" spans="1:15" s="3" customFormat="1" ht="24" customHeight="1">
      <c r="A112" s="815"/>
      <c r="B112" s="822" t="s">
        <v>43</v>
      </c>
      <c r="C112" s="179" t="str">
        <f t="shared" ref="C112" si="8">C$5</f>
        <v>Notes</v>
      </c>
      <c r="D112" s="751" t="str">
        <f t="shared" ref="D112:E112" si="9">D$5</f>
        <v>FIPS</v>
      </c>
      <c r="E112" s="781" t="str">
        <f t="shared" si="9"/>
        <v>Population</v>
      </c>
      <c r="F112" s="756" t="str">
        <f t="shared" ref="F112:O112" si="10">F$5</f>
        <v>Vehicle 
Count</v>
      </c>
      <c r="G112" s="765" t="str">
        <f t="shared" si="10"/>
        <v>Vehicles per capita⁵</v>
      </c>
      <c r="H112" s="756" t="str">
        <f t="shared" si="10"/>
        <v>Assessed 
Value</v>
      </c>
      <c r="I112" s="756" t="str">
        <f t="shared" si="10"/>
        <v>Tax 
Before PPTRA⁶</v>
      </c>
      <c r="J112" s="756" t="str">
        <f t="shared" si="10"/>
        <v>Reimbursed Tax (PPTRA)</v>
      </c>
      <c r="K112" s="756" t="str">
        <f t="shared" si="10"/>
        <v>Net Tax 
After PPTRA</v>
      </c>
      <c r="L112" s="796" t="str">
        <f t="shared" si="10"/>
        <v>Tax Before PPTRA</v>
      </c>
      <c r="M112" s="796" t="str">
        <f t="shared" si="10"/>
        <v>Tax After PPTRA</v>
      </c>
      <c r="N112" s="796" t="str">
        <f t="shared" si="10"/>
        <v>Per $100 Value, Before PPTRA</v>
      </c>
      <c r="O112" s="796" t="str">
        <f t="shared" si="10"/>
        <v>Per $100 Value, After PPTRA</v>
      </c>
    </row>
    <row r="113" spans="1:15" s="3" customFormat="1" ht="21" customHeight="1">
      <c r="A113" s="815"/>
      <c r="B113" s="66" t="s">
        <v>1449</v>
      </c>
      <c r="C113" s="187" t="s">
        <v>888</v>
      </c>
      <c r="D113" s="242" t="s">
        <v>739</v>
      </c>
      <c r="E113" s="782">
        <v>41048</v>
      </c>
      <c r="F113" s="757">
        <v>46625</v>
      </c>
      <c r="G113" s="766">
        <v>1.1358653283960243</v>
      </c>
      <c r="H113" s="802">
        <v>499480979</v>
      </c>
      <c r="I113" s="802">
        <v>13434449.140000001</v>
      </c>
      <c r="J113" s="802">
        <v>5115890.49</v>
      </c>
      <c r="K113" s="802">
        <v>8318558.6500000004</v>
      </c>
      <c r="L113" s="788">
        <v>288.13831935656839</v>
      </c>
      <c r="M113" s="788">
        <v>178.41412654155496</v>
      </c>
      <c r="N113" s="789">
        <v>2.6896818307069106</v>
      </c>
      <c r="O113" s="789">
        <v>1.6654405272157522</v>
      </c>
    </row>
    <row r="114" spans="1:15" s="3" customFormat="1">
      <c r="A114" s="815"/>
      <c r="B114" s="66" t="s">
        <v>83</v>
      </c>
      <c r="C114" s="187" t="s">
        <v>888</v>
      </c>
      <c r="D114" s="242" t="s">
        <v>740</v>
      </c>
      <c r="E114" s="782">
        <v>81826</v>
      </c>
      <c r="F114" s="757">
        <v>76691</v>
      </c>
      <c r="G114" s="766">
        <v>0.93724488548871998</v>
      </c>
      <c r="H114" s="757">
        <v>872976210</v>
      </c>
      <c r="I114" s="757">
        <v>35760563.840000004</v>
      </c>
      <c r="J114" s="757">
        <v>9770136.8399999999</v>
      </c>
      <c r="K114" s="757">
        <v>25990427</v>
      </c>
      <c r="L114" s="790">
        <v>466.29413933838396</v>
      </c>
      <c r="M114" s="790">
        <v>338.89800628496175</v>
      </c>
      <c r="N114" s="791">
        <v>4.096396148069144</v>
      </c>
      <c r="O114" s="791">
        <v>2.9772205361701669</v>
      </c>
    </row>
    <row r="115" spans="1:15" s="3" customFormat="1">
      <c r="A115" s="815"/>
      <c r="B115" s="66" t="s">
        <v>1450</v>
      </c>
      <c r="C115" s="187" t="s">
        <v>1446</v>
      </c>
      <c r="D115" s="242" t="s">
        <v>741</v>
      </c>
      <c r="E115" s="782">
        <v>6763</v>
      </c>
      <c r="F115" s="757">
        <v>9163</v>
      </c>
      <c r="G115" s="766">
        <v>1.3548720981812805</v>
      </c>
      <c r="H115" s="757">
        <v>0</v>
      </c>
      <c r="I115" s="757">
        <v>2547602.4900000002</v>
      </c>
      <c r="J115" s="757">
        <v>837943.32000000007</v>
      </c>
      <c r="K115" s="757">
        <v>1709659.1700000002</v>
      </c>
      <c r="L115" s="790">
        <v>278.0314842300557</v>
      </c>
      <c r="M115" s="790">
        <v>186.58290625341047</v>
      </c>
      <c r="N115" s="791" t="s">
        <v>873</v>
      </c>
      <c r="O115" s="791" t="s">
        <v>873</v>
      </c>
    </row>
    <row r="116" spans="1:15" s="3" customFormat="1">
      <c r="A116" s="815"/>
      <c r="B116" s="66" t="s">
        <v>366</v>
      </c>
      <c r="C116" s="187" t="s">
        <v>888</v>
      </c>
      <c r="D116" s="242" t="s">
        <v>742</v>
      </c>
      <c r="E116" s="782">
        <v>28250</v>
      </c>
      <c r="F116" s="757">
        <v>41495</v>
      </c>
      <c r="G116" s="766">
        <v>1.4688495575221239</v>
      </c>
      <c r="H116" s="757">
        <v>387822405</v>
      </c>
      <c r="I116" s="757">
        <v>12166518.970000001</v>
      </c>
      <c r="J116" s="757">
        <v>2147868.31</v>
      </c>
      <c r="K116" s="757">
        <v>10018650.66</v>
      </c>
      <c r="L116" s="790">
        <v>293.20445764549947</v>
      </c>
      <c r="M116" s="790">
        <v>241.44235835642849</v>
      </c>
      <c r="N116" s="791">
        <v>3.1371366927601825</v>
      </c>
      <c r="O116" s="791">
        <v>2.5833088885104512</v>
      </c>
    </row>
    <row r="117" spans="1:15" s="3" customFormat="1">
      <c r="A117" s="815"/>
      <c r="B117" s="66" t="s">
        <v>86</v>
      </c>
      <c r="C117" s="187" t="s">
        <v>1444</v>
      </c>
      <c r="D117" s="242" t="s">
        <v>743</v>
      </c>
      <c r="E117" s="782">
        <v>18826</v>
      </c>
      <c r="F117" s="757">
        <v>17857</v>
      </c>
      <c r="G117" s="766">
        <v>0.94852863061723147</v>
      </c>
      <c r="H117" s="757">
        <v>177613013</v>
      </c>
      <c r="I117" s="757">
        <v>0</v>
      </c>
      <c r="J117" s="757">
        <v>1204130.7300000002</v>
      </c>
      <c r="K117" s="757">
        <v>0</v>
      </c>
      <c r="L117" s="790">
        <v>0</v>
      </c>
      <c r="M117" s="790">
        <v>0</v>
      </c>
      <c r="N117" s="791">
        <v>0</v>
      </c>
      <c r="O117" s="791">
        <v>0</v>
      </c>
    </row>
    <row r="118" spans="1:15" s="3" customFormat="1" ht="24" customHeight="1">
      <c r="A118" s="815"/>
      <c r="B118" s="66" t="s">
        <v>171</v>
      </c>
      <c r="C118" s="187" t="s">
        <v>888</v>
      </c>
      <c r="D118" s="242" t="s">
        <v>744</v>
      </c>
      <c r="E118" s="782">
        <v>10908</v>
      </c>
      <c r="F118" s="757">
        <v>13465</v>
      </c>
      <c r="G118" s="766">
        <v>1.2344151081774843</v>
      </c>
      <c r="H118" s="757">
        <v>119752385</v>
      </c>
      <c r="I118" s="757">
        <v>2442948.65</v>
      </c>
      <c r="J118" s="757">
        <v>871017.39</v>
      </c>
      <c r="K118" s="757">
        <v>1571931.2599999998</v>
      </c>
      <c r="L118" s="790">
        <v>181.4295321203119</v>
      </c>
      <c r="M118" s="790">
        <v>116.74201708132193</v>
      </c>
      <c r="N118" s="791">
        <v>2.0399999966597742</v>
      </c>
      <c r="O118" s="791">
        <v>1.3126513179674875</v>
      </c>
    </row>
    <row r="119" spans="1:15" s="3" customFormat="1">
      <c r="A119" s="815"/>
      <c r="B119" s="66" t="s">
        <v>257</v>
      </c>
      <c r="C119" s="187" t="s">
        <v>888</v>
      </c>
      <c r="D119" s="242" t="s">
        <v>745</v>
      </c>
      <c r="E119" s="782">
        <v>21610</v>
      </c>
      <c r="F119" s="757">
        <v>17486</v>
      </c>
      <c r="G119" s="766">
        <v>0.80916242480333178</v>
      </c>
      <c r="H119" s="757">
        <v>166854088</v>
      </c>
      <c r="I119" s="757">
        <v>4052315.3899999997</v>
      </c>
      <c r="J119" s="757">
        <v>798645.55</v>
      </c>
      <c r="K119" s="757">
        <v>3253669.84</v>
      </c>
      <c r="L119" s="790">
        <v>231.7462764497312</v>
      </c>
      <c r="M119" s="790">
        <v>186.07284913645202</v>
      </c>
      <c r="N119" s="791">
        <v>2.4286581399192331</v>
      </c>
      <c r="O119" s="791">
        <v>1.9500090642070453</v>
      </c>
    </row>
    <row r="120" spans="1:15" s="3" customFormat="1">
      <c r="A120" s="815"/>
      <c r="B120" s="66" t="s">
        <v>260</v>
      </c>
      <c r="C120" s="187" t="s">
        <v>888</v>
      </c>
      <c r="D120" s="242" t="s">
        <v>746</v>
      </c>
      <c r="E120" s="782">
        <v>439217</v>
      </c>
      <c r="F120" s="757">
        <v>408054</v>
      </c>
      <c r="G120" s="766">
        <v>0.92904873900600382</v>
      </c>
      <c r="H120" s="757">
        <v>6277845536.9799995</v>
      </c>
      <c r="I120" s="757">
        <v>204173081.25</v>
      </c>
      <c r="J120" s="757">
        <v>48070701.25</v>
      </c>
      <c r="K120" s="757">
        <v>156102380</v>
      </c>
      <c r="L120" s="790">
        <v>500.3579948977341</v>
      </c>
      <c r="M120" s="790">
        <v>382.55324050248254</v>
      </c>
      <c r="N120" s="791">
        <v>3.2522794651016351</v>
      </c>
      <c r="O120" s="791">
        <v>2.486559745385104</v>
      </c>
    </row>
    <row r="121" spans="1:15" s="3" customFormat="1">
      <c r="A121" s="815"/>
      <c r="B121" s="66" t="s">
        <v>263</v>
      </c>
      <c r="C121" s="187" t="s">
        <v>888</v>
      </c>
      <c r="D121" s="242" t="s">
        <v>747</v>
      </c>
      <c r="E121" s="782">
        <v>41428</v>
      </c>
      <c r="F121" s="757">
        <v>43574</v>
      </c>
      <c r="G121" s="766">
        <v>1.0518007144926136</v>
      </c>
      <c r="H121" s="757">
        <v>450774725</v>
      </c>
      <c r="I121" s="757">
        <v>10953869.960000001</v>
      </c>
      <c r="J121" s="757">
        <v>1620227.23</v>
      </c>
      <c r="K121" s="757">
        <v>9333642.7300000004</v>
      </c>
      <c r="L121" s="790">
        <v>251.38545830082163</v>
      </c>
      <c r="M121" s="790">
        <v>214.20210974434298</v>
      </c>
      <c r="N121" s="791">
        <v>2.4300097925854209</v>
      </c>
      <c r="O121" s="791">
        <v>2.0705780986278679</v>
      </c>
    </row>
    <row r="122" spans="1:15" s="3" customFormat="1">
      <c r="A122" s="815"/>
      <c r="B122" s="66" t="s">
        <v>266</v>
      </c>
      <c r="C122" s="187" t="s">
        <v>888</v>
      </c>
      <c r="D122" s="242" t="s">
        <v>748</v>
      </c>
      <c r="E122" s="782">
        <v>12059</v>
      </c>
      <c r="F122" s="757">
        <v>12329</v>
      </c>
      <c r="G122" s="766">
        <v>1.0223899162451282</v>
      </c>
      <c r="H122" s="757">
        <v>82670773</v>
      </c>
      <c r="I122" s="757">
        <v>3141488.39</v>
      </c>
      <c r="J122" s="757">
        <v>1048232.16</v>
      </c>
      <c r="K122" s="757">
        <v>2093256.23</v>
      </c>
      <c r="L122" s="790">
        <v>254.80480087598346</v>
      </c>
      <c r="M122" s="790">
        <v>169.78313164084679</v>
      </c>
      <c r="N122" s="791">
        <v>3.799998809736544</v>
      </c>
      <c r="O122" s="791">
        <v>2.532039019400484</v>
      </c>
    </row>
    <row r="123" spans="1:15" s="3" customFormat="1" ht="24" customHeight="1">
      <c r="A123" s="815"/>
      <c r="B123" s="66" t="s">
        <v>268</v>
      </c>
      <c r="C123" s="187" t="s">
        <v>888</v>
      </c>
      <c r="D123" s="242" t="s">
        <v>749</v>
      </c>
      <c r="E123" s="782">
        <v>13982</v>
      </c>
      <c r="F123" s="757">
        <v>23183</v>
      </c>
      <c r="G123" s="766">
        <v>1.6580603633242741</v>
      </c>
      <c r="H123" s="757">
        <v>171696889.30000001</v>
      </c>
      <c r="I123" s="757">
        <v>5839354.2999999998</v>
      </c>
      <c r="J123" s="757">
        <v>1029052.9600000001</v>
      </c>
      <c r="K123" s="757">
        <v>4810301.34</v>
      </c>
      <c r="L123" s="790">
        <v>251.88087391623171</v>
      </c>
      <c r="M123" s="790">
        <v>207.492617003839</v>
      </c>
      <c r="N123" s="791">
        <v>3.4009668572370573</v>
      </c>
      <c r="O123" s="791">
        <v>2.8016240478271723</v>
      </c>
    </row>
    <row r="124" spans="1:15" s="3" customFormat="1">
      <c r="A124" s="815"/>
      <c r="B124" s="66" t="s">
        <v>271</v>
      </c>
      <c r="C124" s="187" t="s">
        <v>888</v>
      </c>
      <c r="D124" s="242" t="s">
        <v>750</v>
      </c>
      <c r="E124" s="782">
        <v>8407</v>
      </c>
      <c r="F124" s="757">
        <v>12289</v>
      </c>
      <c r="G124" s="766">
        <v>1.4617580587605568</v>
      </c>
      <c r="H124" s="757">
        <v>107724698</v>
      </c>
      <c r="I124" s="757">
        <v>4629810.2</v>
      </c>
      <c r="J124" s="757">
        <v>1000083.2000000001</v>
      </c>
      <c r="K124" s="757">
        <v>3629727</v>
      </c>
      <c r="L124" s="790">
        <v>376.74425909349827</v>
      </c>
      <c r="M124" s="790">
        <v>295.36390267719099</v>
      </c>
      <c r="N124" s="791">
        <v>4.2978168293402881</v>
      </c>
      <c r="O124" s="791">
        <v>3.369447366656809</v>
      </c>
    </row>
    <row r="125" spans="1:15" s="3" customFormat="1">
      <c r="A125" s="815"/>
      <c r="B125" s="66" t="s">
        <v>274</v>
      </c>
      <c r="C125" s="187" t="s">
        <v>888</v>
      </c>
      <c r="D125" s="242" t="s">
        <v>751</v>
      </c>
      <c r="E125" s="782">
        <v>30333</v>
      </c>
      <c r="F125" s="757">
        <v>33620</v>
      </c>
      <c r="G125" s="766">
        <v>1.1083638281739361</v>
      </c>
      <c r="H125" s="757">
        <v>284884592</v>
      </c>
      <c r="I125" s="757">
        <v>9572122.3000000007</v>
      </c>
      <c r="J125" s="757">
        <v>1454006.4400000002</v>
      </c>
      <c r="K125" s="757">
        <v>8118115.8600000003</v>
      </c>
      <c r="L125" s="790">
        <v>284.71511897679954</v>
      </c>
      <c r="M125" s="790">
        <v>241.46686079714456</v>
      </c>
      <c r="N125" s="791">
        <v>3.3600000030889703</v>
      </c>
      <c r="O125" s="791">
        <v>2.8496156296160802</v>
      </c>
    </row>
    <row r="126" spans="1:15" s="3" customFormat="1">
      <c r="A126" s="815"/>
      <c r="B126" s="66" t="s">
        <v>276</v>
      </c>
      <c r="C126" s="187" t="s">
        <v>888</v>
      </c>
      <c r="D126" s="242" t="s">
        <v>752</v>
      </c>
      <c r="E126" s="782">
        <v>10883</v>
      </c>
      <c r="F126" s="757">
        <v>12893</v>
      </c>
      <c r="G126" s="766">
        <v>1.1846917210328034</v>
      </c>
      <c r="H126" s="757">
        <v>130291305</v>
      </c>
      <c r="I126" s="757">
        <v>4097209.4400000004</v>
      </c>
      <c r="J126" s="757">
        <v>709635.55</v>
      </c>
      <c r="K126" s="757">
        <v>3387573.89</v>
      </c>
      <c r="L126" s="790">
        <v>317.78557666951065</v>
      </c>
      <c r="M126" s="790">
        <v>262.74520204762274</v>
      </c>
      <c r="N126" s="791">
        <v>3.1446530065839777</v>
      </c>
      <c r="O126" s="791">
        <v>2.5999999692995632</v>
      </c>
    </row>
    <row r="127" spans="1:15" s="3" customFormat="1">
      <c r="A127" s="815"/>
      <c r="B127" s="66" t="s">
        <v>279</v>
      </c>
      <c r="C127" s="187" t="s">
        <v>888</v>
      </c>
      <c r="D127" s="242" t="s">
        <v>753</v>
      </c>
      <c r="E127" s="782">
        <v>102125</v>
      </c>
      <c r="F127" s="757">
        <v>73072</v>
      </c>
      <c r="G127" s="766">
        <v>0.71551529987760099</v>
      </c>
      <c r="H127" s="757">
        <v>792295120</v>
      </c>
      <c r="I127" s="757">
        <v>20203615.84</v>
      </c>
      <c r="J127" s="757">
        <v>4754278.88</v>
      </c>
      <c r="K127" s="757">
        <v>15449336.960000001</v>
      </c>
      <c r="L127" s="790">
        <v>276.48915918546089</v>
      </c>
      <c r="M127" s="790">
        <v>211.42622290343772</v>
      </c>
      <c r="N127" s="791">
        <v>2.550011394743918</v>
      </c>
      <c r="O127" s="791">
        <v>1.9499472570271543</v>
      </c>
    </row>
    <row r="128" spans="1:15" s="3" customFormat="1" ht="24" customHeight="1">
      <c r="A128" s="815"/>
      <c r="B128" s="66" t="s">
        <v>282</v>
      </c>
      <c r="C128" s="187" t="s">
        <v>1424</v>
      </c>
      <c r="D128" s="242" t="s">
        <v>754</v>
      </c>
      <c r="E128" s="782">
        <v>14788</v>
      </c>
      <c r="F128" s="757">
        <v>20432</v>
      </c>
      <c r="G128" s="766">
        <v>1.3816608060589668</v>
      </c>
      <c r="H128" s="757">
        <v>199175570</v>
      </c>
      <c r="I128" s="757">
        <v>5420890.9900000002</v>
      </c>
      <c r="J128" s="757">
        <v>1708030.0799999998</v>
      </c>
      <c r="K128" s="757">
        <v>3712860.91</v>
      </c>
      <c r="L128" s="790">
        <v>265.31377202427564</v>
      </c>
      <c r="M128" s="790">
        <v>181.71793803837119</v>
      </c>
      <c r="N128" s="791">
        <v>2.7216646047504724</v>
      </c>
      <c r="O128" s="791">
        <v>1.8641146150604717</v>
      </c>
    </row>
    <row r="129" spans="1:15" s="3" customFormat="1">
      <c r="A129" s="815"/>
      <c r="B129" s="66" t="s">
        <v>172</v>
      </c>
      <c r="C129" s="187" t="s">
        <v>888</v>
      </c>
      <c r="D129" s="242" t="s">
        <v>755</v>
      </c>
      <c r="E129" s="782">
        <v>26808</v>
      </c>
      <c r="F129" s="757">
        <v>24089</v>
      </c>
      <c r="G129" s="766">
        <v>0.89857505222321699</v>
      </c>
      <c r="H129" s="757">
        <v>279321741</v>
      </c>
      <c r="I129" s="757">
        <v>8659030.5700000003</v>
      </c>
      <c r="J129" s="757">
        <v>2217883.31</v>
      </c>
      <c r="K129" s="757">
        <v>6441147.2599999998</v>
      </c>
      <c r="L129" s="790">
        <v>359.45994312756864</v>
      </c>
      <c r="M129" s="790">
        <v>267.38956619203788</v>
      </c>
      <c r="N129" s="791">
        <v>3.1000202630127527</v>
      </c>
      <c r="O129" s="791">
        <v>2.3059956725674282</v>
      </c>
    </row>
    <row r="130" spans="1:15" s="3" customFormat="1">
      <c r="A130" s="815"/>
      <c r="B130" s="66" t="s">
        <v>287</v>
      </c>
      <c r="C130" s="187" t="s">
        <v>888</v>
      </c>
      <c r="D130" s="242" t="s">
        <v>756</v>
      </c>
      <c r="E130" s="782">
        <v>12150</v>
      </c>
      <c r="F130" s="757">
        <v>16200</v>
      </c>
      <c r="G130" s="766">
        <v>1.3333333333333333</v>
      </c>
      <c r="H130" s="757">
        <v>141740200</v>
      </c>
      <c r="I130" s="757">
        <v>6949834.8700000001</v>
      </c>
      <c r="J130" s="757">
        <v>1421967.0700000003</v>
      </c>
      <c r="K130" s="757">
        <v>5527867.7999999998</v>
      </c>
      <c r="L130" s="790">
        <v>429.00215246913581</v>
      </c>
      <c r="M130" s="790">
        <v>341.22640740740741</v>
      </c>
      <c r="N130" s="791">
        <v>4.9032207306043025</v>
      </c>
      <c r="O130" s="791">
        <v>3.9</v>
      </c>
    </row>
    <row r="131" spans="1:15" s="3" customFormat="1">
      <c r="A131" s="815"/>
      <c r="B131" s="66" t="s">
        <v>173</v>
      </c>
      <c r="C131" s="187" t="s">
        <v>888</v>
      </c>
      <c r="D131" s="242" t="s">
        <v>757</v>
      </c>
      <c r="E131" s="782">
        <v>11813</v>
      </c>
      <c r="F131" s="757">
        <v>18326</v>
      </c>
      <c r="G131" s="766">
        <v>1.5513417421484805</v>
      </c>
      <c r="H131" s="757">
        <v>74439227</v>
      </c>
      <c r="I131" s="757">
        <v>2679812.17</v>
      </c>
      <c r="J131" s="757">
        <v>951494.15999999992</v>
      </c>
      <c r="K131" s="757">
        <v>1728318.01</v>
      </c>
      <c r="L131" s="790">
        <v>146.23006493506495</v>
      </c>
      <c r="M131" s="790">
        <v>94.309615300665726</v>
      </c>
      <c r="N131" s="791">
        <v>3.5999999973132444</v>
      </c>
      <c r="O131" s="791">
        <v>2.3217839298626783</v>
      </c>
    </row>
    <row r="132" spans="1:15" s="3" customFormat="1">
      <c r="A132" s="815"/>
      <c r="B132" s="66" t="s">
        <v>292</v>
      </c>
      <c r="C132" s="187" t="s">
        <v>888</v>
      </c>
      <c r="D132" s="242" t="s">
        <v>758</v>
      </c>
      <c r="E132" s="782">
        <v>15647</v>
      </c>
      <c r="F132" s="757">
        <v>14681</v>
      </c>
      <c r="G132" s="766">
        <v>0.93826292580047288</v>
      </c>
      <c r="H132" s="757">
        <v>109488794</v>
      </c>
      <c r="I132" s="757">
        <v>4114840.16</v>
      </c>
      <c r="J132" s="757">
        <v>1049790.06</v>
      </c>
      <c r="K132" s="757">
        <v>3065050.1</v>
      </c>
      <c r="L132" s="790">
        <v>280.28337034261972</v>
      </c>
      <c r="M132" s="790">
        <v>208.7766569034807</v>
      </c>
      <c r="N132" s="791">
        <v>3.7582295042906404</v>
      </c>
      <c r="O132" s="791">
        <v>2.7994189980757302</v>
      </c>
    </row>
    <row r="133" spans="1:15" s="3" customFormat="1" ht="24" customHeight="1">
      <c r="A133" s="815"/>
      <c r="B133" s="66" t="s">
        <v>294</v>
      </c>
      <c r="C133" s="187" t="s">
        <v>1445</v>
      </c>
      <c r="D133" s="242" t="s">
        <v>759</v>
      </c>
      <c r="E133" s="782">
        <v>38778</v>
      </c>
      <c r="F133" s="757" t="s">
        <v>873</v>
      </c>
      <c r="G133" s="766" t="s">
        <v>873</v>
      </c>
      <c r="H133" s="757">
        <v>0</v>
      </c>
      <c r="I133" s="757">
        <v>0</v>
      </c>
      <c r="J133" s="757">
        <v>2763073.06</v>
      </c>
      <c r="K133" s="757">
        <v>0</v>
      </c>
      <c r="L133" s="790" t="s">
        <v>873</v>
      </c>
      <c r="M133" s="790" t="s">
        <v>873</v>
      </c>
      <c r="N133" s="791" t="s">
        <v>873</v>
      </c>
      <c r="O133" s="791" t="s">
        <v>873</v>
      </c>
    </row>
    <row r="134" spans="1:15" s="3" customFormat="1">
      <c r="A134" s="815"/>
      <c r="B134" s="66" t="s">
        <v>296</v>
      </c>
      <c r="C134" s="187" t="s">
        <v>1446</v>
      </c>
      <c r="D134" s="242" t="s">
        <v>760</v>
      </c>
      <c r="E134" s="782">
        <v>23523</v>
      </c>
      <c r="F134" s="757">
        <v>24062</v>
      </c>
      <c r="G134" s="766">
        <v>1.0229137439952387</v>
      </c>
      <c r="H134" s="757">
        <v>0</v>
      </c>
      <c r="I134" s="757">
        <v>0</v>
      </c>
      <c r="J134" s="757">
        <v>1640790.8000000003</v>
      </c>
      <c r="K134" s="757">
        <v>0</v>
      </c>
      <c r="L134" s="790">
        <v>0</v>
      </c>
      <c r="M134" s="790">
        <v>0</v>
      </c>
      <c r="N134" s="790" t="s">
        <v>873</v>
      </c>
      <c r="O134" s="790" t="s">
        <v>873</v>
      </c>
    </row>
    <row r="135" spans="1:15" s="3" customFormat="1">
      <c r="A135" s="815"/>
      <c r="B135" s="66" t="s">
        <v>299</v>
      </c>
      <c r="C135" s="187" t="s">
        <v>888</v>
      </c>
      <c r="D135" s="242" t="s">
        <v>761</v>
      </c>
      <c r="E135" s="782">
        <v>16985</v>
      </c>
      <c r="F135" s="757">
        <v>19607</v>
      </c>
      <c r="G135" s="766">
        <v>1.1543715042684721</v>
      </c>
      <c r="H135" s="757">
        <v>164290593</v>
      </c>
      <c r="I135" s="757">
        <v>2809369.1403000001</v>
      </c>
      <c r="J135" s="757">
        <v>688658.56</v>
      </c>
      <c r="K135" s="757">
        <v>2120710.5803</v>
      </c>
      <c r="L135" s="790">
        <v>143.28398736675678</v>
      </c>
      <c r="M135" s="790">
        <v>108.16089051359208</v>
      </c>
      <c r="N135" s="791">
        <v>1.7100000000000002</v>
      </c>
      <c r="O135" s="791">
        <v>1.2908289766170606</v>
      </c>
    </row>
    <row r="136" spans="1:15" s="3" customFormat="1">
      <c r="A136" s="815"/>
      <c r="B136" s="66" t="s">
        <v>301</v>
      </c>
      <c r="C136" s="187" t="s">
        <v>888</v>
      </c>
      <c r="D136" s="242" t="s">
        <v>762</v>
      </c>
      <c r="E136" s="782">
        <v>58913</v>
      </c>
      <c r="F136" s="757">
        <v>81600</v>
      </c>
      <c r="G136" s="766">
        <v>1.3850932731315668</v>
      </c>
      <c r="H136" s="757">
        <v>176984392</v>
      </c>
      <c r="I136" s="757">
        <v>15928595.279999999</v>
      </c>
      <c r="J136" s="757">
        <v>4139276.63</v>
      </c>
      <c r="K136" s="757">
        <v>11789318.649999999</v>
      </c>
      <c r="L136" s="790">
        <v>195.20337352941175</v>
      </c>
      <c r="M136" s="790">
        <v>144.47694424019605</v>
      </c>
      <c r="N136" s="791">
        <v>9</v>
      </c>
      <c r="O136" s="791">
        <v>6.6612193972449267</v>
      </c>
    </row>
    <row r="137" spans="1:15" s="3" customFormat="1">
      <c r="A137" s="815"/>
      <c r="B137" s="66" t="s">
        <v>174</v>
      </c>
      <c r="C137" s="187" t="s">
        <v>888</v>
      </c>
      <c r="D137" s="242" t="s">
        <v>763</v>
      </c>
      <c r="E137" s="782">
        <v>31873</v>
      </c>
      <c r="F137" s="757">
        <v>42998</v>
      </c>
      <c r="G137" s="766">
        <v>1.349041508486807</v>
      </c>
      <c r="H137" s="757">
        <v>433081054</v>
      </c>
      <c r="I137" s="757">
        <v>15394828.76</v>
      </c>
      <c r="J137" s="757">
        <v>3022471.51</v>
      </c>
      <c r="K137" s="757">
        <v>12372357.25</v>
      </c>
      <c r="L137" s="790">
        <v>358.03592632215452</v>
      </c>
      <c r="M137" s="790">
        <v>287.74262174984881</v>
      </c>
      <c r="N137" s="791">
        <v>3.5547222899295892</v>
      </c>
      <c r="O137" s="791">
        <v>2.8568225591323144</v>
      </c>
    </row>
    <row r="138" spans="1:15" s="3" customFormat="1" ht="24" customHeight="1">
      <c r="A138" s="815"/>
      <c r="B138" s="66" t="s">
        <v>305</v>
      </c>
      <c r="C138" s="187" t="s">
        <v>1424</v>
      </c>
      <c r="D138" s="242" t="s">
        <v>764</v>
      </c>
      <c r="E138" s="782">
        <v>22548</v>
      </c>
      <c r="F138" s="757">
        <v>29051</v>
      </c>
      <c r="G138" s="766">
        <v>1.2884069540535745</v>
      </c>
      <c r="H138" s="757">
        <v>147266497</v>
      </c>
      <c r="I138" s="757">
        <v>9046313.4800000004</v>
      </c>
      <c r="J138" s="757">
        <v>1305350.32</v>
      </c>
      <c r="K138" s="757">
        <v>7740963.1600000001</v>
      </c>
      <c r="L138" s="790">
        <v>311.39421982031604</v>
      </c>
      <c r="M138" s="790">
        <v>266.46116002891466</v>
      </c>
      <c r="N138" s="791">
        <v>6.1428184035639832</v>
      </c>
      <c r="O138" s="791">
        <v>5.2564319228697345</v>
      </c>
    </row>
    <row r="139" spans="1:15" s="3" customFormat="1">
      <c r="A139" s="815"/>
      <c r="B139" s="66" t="s">
        <v>175</v>
      </c>
      <c r="C139" s="187" t="s">
        <v>888</v>
      </c>
      <c r="D139" s="242" t="s">
        <v>765</v>
      </c>
      <c r="E139" s="782">
        <v>42657</v>
      </c>
      <c r="F139" s="757">
        <v>39625</v>
      </c>
      <c r="G139" s="766">
        <v>0.92892139625383874</v>
      </c>
      <c r="H139" s="757">
        <v>377583322.07999998</v>
      </c>
      <c r="I139" s="757">
        <v>11666799.789999999</v>
      </c>
      <c r="J139" s="757">
        <v>3622664.1100000003</v>
      </c>
      <c r="K139" s="757">
        <v>8044135.6799999997</v>
      </c>
      <c r="L139" s="790">
        <v>294.43027861198738</v>
      </c>
      <c r="M139" s="790">
        <v>203.00657867507886</v>
      </c>
      <c r="N139" s="791">
        <v>3.0898609943179935</v>
      </c>
      <c r="O139" s="791">
        <v>2.130426639526112</v>
      </c>
    </row>
    <row r="140" spans="1:15" s="3" customFormat="1">
      <c r="A140" s="815"/>
      <c r="B140" s="66" t="s">
        <v>309</v>
      </c>
      <c r="C140" s="187" t="s">
        <v>888</v>
      </c>
      <c r="D140" s="242" t="s">
        <v>766</v>
      </c>
      <c r="E140" s="782">
        <v>497853</v>
      </c>
      <c r="F140" s="757">
        <v>480759</v>
      </c>
      <c r="G140" s="766">
        <v>0.96566456363625408</v>
      </c>
      <c r="H140" s="757">
        <v>6963518412</v>
      </c>
      <c r="I140" s="757">
        <v>223648220.60000002</v>
      </c>
      <c r="J140" s="757">
        <v>54287526.829999998</v>
      </c>
      <c r="K140" s="757">
        <v>169360693.77000001</v>
      </c>
      <c r="L140" s="790">
        <v>465.19819826565913</v>
      </c>
      <c r="M140" s="790">
        <v>352.27773951189681</v>
      </c>
      <c r="N140" s="791">
        <v>3.2117129210801605</v>
      </c>
      <c r="O140" s="791">
        <v>2.4321138216299727</v>
      </c>
    </row>
    <row r="141" spans="1:15" s="3" customFormat="1">
      <c r="A141" s="815"/>
      <c r="B141" s="66" t="s">
        <v>312</v>
      </c>
      <c r="C141" s="187" t="s">
        <v>888</v>
      </c>
      <c r="D141" s="242" t="s">
        <v>767</v>
      </c>
      <c r="E141" s="782">
        <v>33108</v>
      </c>
      <c r="F141" s="757">
        <v>34925</v>
      </c>
      <c r="G141" s="766">
        <v>1.0548809955297813</v>
      </c>
      <c r="H141" s="757">
        <v>311578721</v>
      </c>
      <c r="I141" s="757">
        <v>7322184.2699999996</v>
      </c>
      <c r="J141" s="757">
        <v>1594529.3199999998</v>
      </c>
      <c r="K141" s="757">
        <v>5727654.9499999993</v>
      </c>
      <c r="L141" s="790">
        <v>209.65452455261274</v>
      </c>
      <c r="M141" s="790">
        <v>163.99871009305653</v>
      </c>
      <c r="N141" s="791">
        <v>2.3500270642679735</v>
      </c>
      <c r="O141" s="791">
        <v>1.8382689715193996</v>
      </c>
    </row>
    <row r="142" spans="1:15" s="3" customFormat="1">
      <c r="A142" s="815"/>
      <c r="B142" s="66" t="s">
        <v>315</v>
      </c>
      <c r="C142" s="187" t="s">
        <v>888</v>
      </c>
      <c r="D142" s="242" t="s">
        <v>768</v>
      </c>
      <c r="E142" s="782">
        <v>7469</v>
      </c>
      <c r="F142" s="757">
        <v>7883</v>
      </c>
      <c r="G142" s="766">
        <v>1.0554291069754986</v>
      </c>
      <c r="H142" s="757">
        <v>73647545</v>
      </c>
      <c r="I142" s="757">
        <v>2798606.71</v>
      </c>
      <c r="J142" s="757">
        <v>945167.72000000009</v>
      </c>
      <c r="K142" s="757">
        <v>1853438.9899999998</v>
      </c>
      <c r="L142" s="790">
        <v>355.01797665863251</v>
      </c>
      <c r="M142" s="790">
        <v>235.11848154255992</v>
      </c>
      <c r="N142" s="791">
        <v>3.8000000000000003</v>
      </c>
      <c r="O142" s="791">
        <v>2.5166337723816863</v>
      </c>
    </row>
    <row r="143" spans="1:15" s="3" customFormat="1" ht="15.5">
      <c r="A143" s="815"/>
      <c r="B143" s="63" t="str">
        <f>$B$36</f>
        <v>Table 6.5, continued</v>
      </c>
      <c r="C143" s="63"/>
      <c r="D143" s="239"/>
      <c r="E143" s="778"/>
      <c r="F143" s="752"/>
      <c r="G143" s="763"/>
      <c r="H143" s="752"/>
      <c r="I143" s="752"/>
      <c r="J143" s="752"/>
      <c r="K143" s="752"/>
      <c r="L143" s="792"/>
      <c r="M143" s="792"/>
      <c r="N143" s="792"/>
      <c r="O143" s="793"/>
    </row>
    <row r="144" spans="1:15" s="3" customFormat="1">
      <c r="A144" s="815"/>
      <c r="B144" s="64" t="str">
        <f>$B$2</f>
        <v>Personal-Use Vehicles:  Personal Property Tax by Locality - Tax Year 2024</v>
      </c>
      <c r="C144" s="64"/>
      <c r="D144" s="240"/>
      <c r="E144" s="779"/>
      <c r="F144" s="752"/>
      <c r="G144" s="763"/>
      <c r="H144" s="752"/>
      <c r="I144" s="752"/>
      <c r="J144" s="752"/>
      <c r="K144" s="752"/>
      <c r="L144" s="792"/>
      <c r="M144" s="792"/>
      <c r="N144" s="792"/>
      <c r="O144" s="793"/>
    </row>
    <row r="145" spans="1:15" s="3" customFormat="1" ht="3" customHeight="1" thickBot="1">
      <c r="A145" s="815"/>
      <c r="B145" s="64"/>
      <c r="C145" s="64" t="s">
        <v>888</v>
      </c>
      <c r="D145" s="240"/>
      <c r="E145" s="779"/>
      <c r="F145" s="752"/>
      <c r="G145" s="763"/>
      <c r="H145" s="752"/>
      <c r="I145" s="752"/>
      <c r="J145" s="752"/>
      <c r="K145" s="752"/>
      <c r="L145" s="792"/>
      <c r="M145" s="792"/>
      <c r="N145" s="792"/>
      <c r="O145" s="793"/>
    </row>
    <row r="146" spans="1:15" s="3" customFormat="1">
      <c r="A146" s="815"/>
      <c r="B146" s="175"/>
      <c r="C146" s="175" t="s">
        <v>888</v>
      </c>
      <c r="D146" s="749"/>
      <c r="E146" s="780"/>
      <c r="F146" s="753" t="str">
        <f>F$4</f>
        <v>Personal-Use Vehicles</v>
      </c>
      <c r="G146" s="764"/>
      <c r="H146" s="754"/>
      <c r="I146" s="755"/>
      <c r="J146" s="755"/>
      <c r="K146" s="754"/>
      <c r="L146" s="794" t="str">
        <f>L$4</f>
        <v>Tax Per Vehicle</v>
      </c>
      <c r="M146" s="794"/>
      <c r="N146" s="794" t="str">
        <f>N$4</f>
        <v>Effective Tax Rate</v>
      </c>
      <c r="O146" s="795"/>
    </row>
    <row r="147" spans="1:15" s="3" customFormat="1" ht="24" customHeight="1">
      <c r="A147" s="815"/>
      <c r="B147" s="822" t="s">
        <v>43</v>
      </c>
      <c r="C147" s="179" t="str">
        <f t="shared" ref="C147" si="11">C$5</f>
        <v>Notes</v>
      </c>
      <c r="D147" s="751" t="str">
        <f t="shared" ref="D147:E147" si="12">D$5</f>
        <v>FIPS</v>
      </c>
      <c r="E147" s="781" t="str">
        <f t="shared" si="12"/>
        <v>Population</v>
      </c>
      <c r="F147" s="756" t="str">
        <f t="shared" ref="F147:O147" si="13">F$5</f>
        <v>Vehicle 
Count</v>
      </c>
      <c r="G147" s="765" t="str">
        <f t="shared" si="13"/>
        <v>Vehicles per capita⁵</v>
      </c>
      <c r="H147" s="756" t="str">
        <f t="shared" si="13"/>
        <v>Assessed 
Value</v>
      </c>
      <c r="I147" s="756" t="str">
        <f t="shared" si="13"/>
        <v>Tax 
Before PPTRA⁶</v>
      </c>
      <c r="J147" s="756" t="str">
        <f t="shared" si="13"/>
        <v>Reimbursed Tax (PPTRA)</v>
      </c>
      <c r="K147" s="756" t="str">
        <f t="shared" si="13"/>
        <v>Net Tax 
After PPTRA</v>
      </c>
      <c r="L147" s="796" t="str">
        <f t="shared" si="13"/>
        <v>Tax Before PPTRA</v>
      </c>
      <c r="M147" s="796" t="str">
        <f t="shared" si="13"/>
        <v>Tax After PPTRA</v>
      </c>
      <c r="N147" s="796" t="str">
        <f t="shared" si="13"/>
        <v>Per $100 Value, Before PPTRA</v>
      </c>
      <c r="O147" s="796" t="str">
        <f t="shared" si="13"/>
        <v>Per $100 Value, After PPTRA</v>
      </c>
    </row>
    <row r="148" spans="1:15" s="3" customFormat="1" ht="21" customHeight="1">
      <c r="A148" s="815"/>
      <c r="B148" s="66" t="s">
        <v>176</v>
      </c>
      <c r="C148" s="187" t="s">
        <v>1446</v>
      </c>
      <c r="D148" s="242" t="s">
        <v>769</v>
      </c>
      <c r="E148" s="782">
        <v>9290</v>
      </c>
      <c r="F148" s="757">
        <v>7538</v>
      </c>
      <c r="G148" s="766">
        <v>0.81141011840688915</v>
      </c>
      <c r="H148" s="802">
        <v>0</v>
      </c>
      <c r="I148" s="802">
        <v>0</v>
      </c>
      <c r="J148" s="802">
        <v>803954.61999999988</v>
      </c>
      <c r="K148" s="802">
        <v>0</v>
      </c>
      <c r="L148" s="788" t="s">
        <v>1452</v>
      </c>
      <c r="M148" s="788" t="s">
        <v>1452</v>
      </c>
      <c r="N148" s="788" t="s">
        <v>1452</v>
      </c>
      <c r="O148" s="788" t="s">
        <v>1452</v>
      </c>
    </row>
    <row r="149" spans="1:15" s="3" customFormat="1">
      <c r="A149" s="815"/>
      <c r="B149" s="66" t="s">
        <v>177</v>
      </c>
      <c r="C149" s="187" t="s">
        <v>888</v>
      </c>
      <c r="D149" s="242" t="s">
        <v>770</v>
      </c>
      <c r="E149" s="782">
        <v>96497</v>
      </c>
      <c r="F149" s="757">
        <v>122315</v>
      </c>
      <c r="G149" s="766">
        <v>1.2675523591406987</v>
      </c>
      <c r="H149" s="757">
        <v>1031294614</v>
      </c>
      <c r="I149" s="757">
        <v>34715714.270000003</v>
      </c>
      <c r="J149" s="757">
        <v>12229856.639999999</v>
      </c>
      <c r="K149" s="757">
        <v>22485857.630000003</v>
      </c>
      <c r="L149" s="790">
        <v>283.82221534562404</v>
      </c>
      <c r="M149" s="790">
        <v>183.83565081960515</v>
      </c>
      <c r="N149" s="791">
        <v>3.3662266629465787</v>
      </c>
      <c r="O149" s="791">
        <v>2.1803524739439784</v>
      </c>
    </row>
    <row r="150" spans="1:15" s="3" customFormat="1">
      <c r="A150" s="815"/>
      <c r="B150" s="66" t="s">
        <v>322</v>
      </c>
      <c r="C150" s="187" t="s">
        <v>888</v>
      </c>
      <c r="D150" s="242" t="s">
        <v>771</v>
      </c>
      <c r="E150" s="782">
        <v>22583</v>
      </c>
      <c r="F150" s="757">
        <v>32207</v>
      </c>
      <c r="G150" s="766">
        <v>1.4261612717530887</v>
      </c>
      <c r="H150" s="757">
        <v>261014403</v>
      </c>
      <c r="I150" s="757">
        <v>9435182.7100000009</v>
      </c>
      <c r="J150" s="757">
        <v>2449624.33</v>
      </c>
      <c r="K150" s="757">
        <v>6985558.3800000008</v>
      </c>
      <c r="L150" s="790">
        <v>292.95441084236347</v>
      </c>
      <c r="M150" s="790">
        <v>216.89565560281929</v>
      </c>
      <c r="N150" s="791">
        <v>3.614813053055927</v>
      </c>
      <c r="O150" s="791">
        <v>2.6763114600997713</v>
      </c>
    </row>
    <row r="151" spans="1:15" s="3" customFormat="1">
      <c r="A151" s="815"/>
      <c r="B151" s="66" t="s">
        <v>324</v>
      </c>
      <c r="C151" s="187" t="s">
        <v>888</v>
      </c>
      <c r="D151" s="242" t="s">
        <v>772</v>
      </c>
      <c r="E151" s="782">
        <v>87051</v>
      </c>
      <c r="F151" s="757">
        <v>105826</v>
      </c>
      <c r="G151" s="766">
        <v>1.2156781656729962</v>
      </c>
      <c r="H151" s="757">
        <v>745074394</v>
      </c>
      <c r="I151" s="757">
        <v>19744695.899999999</v>
      </c>
      <c r="J151" s="757">
        <v>5860515.2699999996</v>
      </c>
      <c r="K151" s="757">
        <v>13884180.629999999</v>
      </c>
      <c r="L151" s="790">
        <v>186.5769839169958</v>
      </c>
      <c r="M151" s="790">
        <v>131.19819921380378</v>
      </c>
      <c r="N151" s="791">
        <v>2.6500301257165466</v>
      </c>
      <c r="O151" s="791">
        <v>1.863462325615769</v>
      </c>
    </row>
    <row r="152" spans="1:15" s="3" customFormat="1">
      <c r="A152" s="815"/>
      <c r="B152" s="66" t="s">
        <v>327</v>
      </c>
      <c r="C152" s="187" t="s">
        <v>1444</v>
      </c>
      <c r="D152" s="242" t="s">
        <v>773</v>
      </c>
      <c r="E152" s="782">
        <v>24965</v>
      </c>
      <c r="F152" s="757">
        <v>38734</v>
      </c>
      <c r="G152" s="766">
        <v>1.5515321450030042</v>
      </c>
      <c r="H152" s="757">
        <v>315578706</v>
      </c>
      <c r="I152" s="757">
        <v>0</v>
      </c>
      <c r="J152" s="757">
        <v>1437002.73</v>
      </c>
      <c r="K152" s="757">
        <v>0</v>
      </c>
      <c r="L152" s="790">
        <v>0</v>
      </c>
      <c r="M152" s="790">
        <v>0</v>
      </c>
      <c r="N152" s="791">
        <v>0</v>
      </c>
      <c r="O152" s="791">
        <v>0</v>
      </c>
    </row>
    <row r="153" spans="1:15" s="3" customFormat="1" ht="21" customHeight="1">
      <c r="A153" s="815"/>
      <c r="B153" s="66" t="s">
        <v>330</v>
      </c>
      <c r="C153" s="187" t="s">
        <v>888</v>
      </c>
      <c r="D153" s="242" t="s">
        <v>774</v>
      </c>
      <c r="E153" s="782">
        <v>21274</v>
      </c>
      <c r="F153" s="757">
        <v>15726</v>
      </c>
      <c r="G153" s="766">
        <v>0.73921218388643417</v>
      </c>
      <c r="H153" s="757">
        <v>189294161.19999999</v>
      </c>
      <c r="I153" s="757">
        <v>3123353.66</v>
      </c>
      <c r="J153" s="757">
        <v>734025.76</v>
      </c>
      <c r="K153" s="757">
        <v>2389327.9000000004</v>
      </c>
      <c r="L153" s="790">
        <v>198.61081393870026</v>
      </c>
      <c r="M153" s="790">
        <v>151.93487854508459</v>
      </c>
      <c r="N153" s="791">
        <v>1.6500000001056558</v>
      </c>
      <c r="O153" s="791">
        <v>1.2622301104551978</v>
      </c>
    </row>
    <row r="154" spans="1:15" s="3" customFormat="1">
      <c r="A154" s="815"/>
      <c r="B154" s="66" t="s">
        <v>333</v>
      </c>
      <c r="C154" s="187" t="s">
        <v>888</v>
      </c>
      <c r="D154" s="242" t="s">
        <v>775</v>
      </c>
      <c r="E154" s="782">
        <v>44942</v>
      </c>
      <c r="F154" s="757">
        <v>50871</v>
      </c>
      <c r="G154" s="766">
        <v>1.131925592986516</v>
      </c>
      <c r="H154" s="757">
        <v>455290804</v>
      </c>
      <c r="I154" s="757">
        <v>18727527.43</v>
      </c>
      <c r="J154" s="757">
        <v>3647828.6999999997</v>
      </c>
      <c r="K154" s="757">
        <v>15079698.73</v>
      </c>
      <c r="L154" s="790">
        <v>368.13759175168565</v>
      </c>
      <c r="M154" s="790">
        <v>296.43016119203475</v>
      </c>
      <c r="N154" s="791">
        <v>4.1133111553028421</v>
      </c>
      <c r="O154" s="791">
        <v>3.312102638031758</v>
      </c>
    </row>
    <row r="155" spans="1:15" s="3" customFormat="1">
      <c r="A155" s="815"/>
      <c r="B155" s="66" t="s">
        <v>335</v>
      </c>
      <c r="C155" s="187" t="s">
        <v>1453</v>
      </c>
      <c r="D155" s="242" t="s">
        <v>776</v>
      </c>
      <c r="E155" s="782">
        <v>28790</v>
      </c>
      <c r="F155" s="757">
        <v>26164</v>
      </c>
      <c r="G155" s="766">
        <v>0.90878777353247653</v>
      </c>
      <c r="H155" s="757">
        <v>241983898</v>
      </c>
      <c r="I155" s="757">
        <v>556587.02</v>
      </c>
      <c r="J155" s="757">
        <v>1804316.06</v>
      </c>
      <c r="K155" s="757" t="s">
        <v>873</v>
      </c>
      <c r="L155" s="790" t="s">
        <v>873</v>
      </c>
      <c r="M155" s="790" t="s">
        <v>873</v>
      </c>
      <c r="N155" s="791" t="s">
        <v>873</v>
      </c>
      <c r="O155" s="791" t="s">
        <v>873</v>
      </c>
    </row>
    <row r="156" spans="1:15" s="3" customFormat="1">
      <c r="A156" s="815"/>
      <c r="B156" s="66" t="s">
        <v>338</v>
      </c>
      <c r="C156" s="187" t="s">
        <v>888</v>
      </c>
      <c r="D156" s="242" t="s">
        <v>777</v>
      </c>
      <c r="E156" s="782">
        <v>17769</v>
      </c>
      <c r="F156" s="757">
        <v>24285</v>
      </c>
      <c r="G156" s="766">
        <v>1.3667060611176769</v>
      </c>
      <c r="H156" s="757">
        <v>187871265</v>
      </c>
      <c r="I156" s="757">
        <v>7754657.7999999998</v>
      </c>
      <c r="J156" s="757">
        <v>2346260.8000000003</v>
      </c>
      <c r="K156" s="757">
        <v>5408397</v>
      </c>
      <c r="L156" s="790">
        <v>319.3188305538398</v>
      </c>
      <c r="M156" s="790">
        <v>222.70525015441632</v>
      </c>
      <c r="N156" s="791">
        <v>4.1276444271560102</v>
      </c>
      <c r="O156" s="791">
        <v>2.8787781888837554</v>
      </c>
    </row>
    <row r="157" spans="1:15" s="3" customFormat="1">
      <c r="A157" s="815"/>
      <c r="B157" s="66" t="s">
        <v>340</v>
      </c>
      <c r="C157" s="187" t="s">
        <v>1444</v>
      </c>
      <c r="D157" s="242" t="s">
        <v>778</v>
      </c>
      <c r="E157" s="782">
        <v>149920</v>
      </c>
      <c r="F157" s="757">
        <v>186853</v>
      </c>
      <c r="G157" s="766">
        <v>1.2463513874066168</v>
      </c>
      <c r="H157" s="757">
        <v>0</v>
      </c>
      <c r="I157" s="757">
        <v>0</v>
      </c>
      <c r="J157" s="757">
        <v>14509421.92</v>
      </c>
      <c r="K157" s="757">
        <v>0</v>
      </c>
      <c r="L157" s="790">
        <v>0</v>
      </c>
      <c r="M157" s="790">
        <v>0</v>
      </c>
      <c r="N157" s="791" t="s">
        <v>873</v>
      </c>
      <c r="O157" s="791" t="s">
        <v>873</v>
      </c>
    </row>
    <row r="158" spans="1:15" s="3" customFormat="1" ht="21" customHeight="1">
      <c r="A158" s="815"/>
      <c r="B158" s="66" t="s">
        <v>343</v>
      </c>
      <c r="C158" s="187" t="s">
        <v>888</v>
      </c>
      <c r="D158" s="242" t="s">
        <v>779</v>
      </c>
      <c r="E158" s="782">
        <v>167455</v>
      </c>
      <c r="F158" s="757">
        <v>135552</v>
      </c>
      <c r="G158" s="766">
        <v>0.80948314472544858</v>
      </c>
      <c r="H158" s="757">
        <v>1078146270</v>
      </c>
      <c r="I158" s="757">
        <v>42187533.030000001</v>
      </c>
      <c r="J158" s="757">
        <v>12542261.390000001</v>
      </c>
      <c r="K158" s="757">
        <v>29645271.640000001</v>
      </c>
      <c r="L158" s="790">
        <v>311.22766930771957</v>
      </c>
      <c r="M158" s="790">
        <v>218.70036325542966</v>
      </c>
      <c r="N158" s="791">
        <v>3.9129693441317572</v>
      </c>
      <c r="O158" s="791">
        <v>2.7496521079649057</v>
      </c>
    </row>
    <row r="159" spans="1:15" s="3" customFormat="1">
      <c r="A159" s="815"/>
      <c r="B159" s="66" t="s">
        <v>346</v>
      </c>
      <c r="C159" s="187" t="s">
        <v>888</v>
      </c>
      <c r="D159" s="242" t="s">
        <v>780</v>
      </c>
      <c r="E159" s="782">
        <v>6558</v>
      </c>
      <c r="F159" s="757">
        <v>7219</v>
      </c>
      <c r="G159" s="766">
        <v>1.1007929246721562</v>
      </c>
      <c r="H159" s="757">
        <v>60552617</v>
      </c>
      <c r="I159" s="757">
        <v>2422104.6800000002</v>
      </c>
      <c r="J159" s="757">
        <v>677907.13</v>
      </c>
      <c r="K159" s="757">
        <v>1744197.5500000003</v>
      </c>
      <c r="L159" s="790">
        <v>335.51803296855525</v>
      </c>
      <c r="M159" s="790">
        <v>241.61207230918413</v>
      </c>
      <c r="N159" s="791">
        <v>4</v>
      </c>
      <c r="O159" s="791">
        <v>2.8804660085954668</v>
      </c>
    </row>
    <row r="160" spans="1:15" s="3" customFormat="1">
      <c r="A160" s="815"/>
      <c r="B160" s="66" t="s">
        <v>349</v>
      </c>
      <c r="C160" s="187" t="s">
        <v>888</v>
      </c>
      <c r="D160" s="242" t="s">
        <v>781</v>
      </c>
      <c r="E160" s="782">
        <v>9897</v>
      </c>
      <c r="F160" s="757">
        <v>10050</v>
      </c>
      <c r="G160" s="766">
        <v>1.0154592300697181</v>
      </c>
      <c r="H160" s="757">
        <v>66017494</v>
      </c>
      <c r="I160" s="757">
        <v>3201848.46</v>
      </c>
      <c r="J160" s="757">
        <v>1093152.3</v>
      </c>
      <c r="K160" s="757">
        <v>2108696.16</v>
      </c>
      <c r="L160" s="790">
        <v>318.59188656716418</v>
      </c>
      <c r="M160" s="790">
        <v>209.82051343283584</v>
      </c>
      <c r="N160" s="791">
        <v>4.8500000015147506</v>
      </c>
      <c r="O160" s="791">
        <v>3.1941475391356122</v>
      </c>
    </row>
    <row r="161" spans="1:15" s="3" customFormat="1">
      <c r="A161" s="815"/>
      <c r="B161" s="66" t="s">
        <v>352</v>
      </c>
      <c r="C161" s="187" t="s">
        <v>888</v>
      </c>
      <c r="D161" s="242" t="s">
        <v>782</v>
      </c>
      <c r="E161" s="782">
        <v>38572</v>
      </c>
      <c r="F161" s="757">
        <v>43833</v>
      </c>
      <c r="G161" s="766">
        <v>1.1363942756403609</v>
      </c>
      <c r="H161" s="757">
        <v>382921604</v>
      </c>
      <c r="I161" s="757">
        <v>7658432.0800000001</v>
      </c>
      <c r="J161" s="757">
        <v>2758262.14</v>
      </c>
      <c r="K161" s="757">
        <v>4900169.9399999995</v>
      </c>
      <c r="L161" s="790">
        <v>174.71841033011657</v>
      </c>
      <c r="M161" s="790">
        <v>111.79179932927245</v>
      </c>
      <c r="N161" s="791">
        <v>2</v>
      </c>
      <c r="O161" s="791">
        <v>1.2796796756340756</v>
      </c>
    </row>
    <row r="162" spans="1:15" s="3" customFormat="1">
      <c r="A162" s="815"/>
      <c r="B162" s="66" t="s">
        <v>354</v>
      </c>
      <c r="C162" s="187" t="s">
        <v>888</v>
      </c>
      <c r="D162" s="242" t="s">
        <v>783</v>
      </c>
      <c r="E162" s="782">
        <v>41732</v>
      </c>
      <c r="F162" s="757">
        <v>53943</v>
      </c>
      <c r="G162" s="766">
        <v>1.2926051950541551</v>
      </c>
      <c r="H162" s="757">
        <v>555025615</v>
      </c>
      <c r="I162" s="757">
        <v>21064210.690000001</v>
      </c>
      <c r="J162" s="757">
        <v>4541219.6300000008</v>
      </c>
      <c r="K162" s="757">
        <v>16522991.060000001</v>
      </c>
      <c r="L162" s="790">
        <v>390.49015979830563</v>
      </c>
      <c r="M162" s="790">
        <v>306.30463748771854</v>
      </c>
      <c r="N162" s="791">
        <v>3.7951781180405519</v>
      </c>
      <c r="O162" s="791">
        <v>2.9769781093796905</v>
      </c>
    </row>
    <row r="163" spans="1:15" s="3" customFormat="1" ht="21" customHeight="1">
      <c r="A163" s="815"/>
      <c r="B163" s="66" t="s">
        <v>355</v>
      </c>
      <c r="C163" s="187" t="s">
        <v>888</v>
      </c>
      <c r="D163" s="242" t="s">
        <v>784</v>
      </c>
      <c r="E163" s="782">
        <v>53369</v>
      </c>
      <c r="F163" s="757">
        <v>54614</v>
      </c>
      <c r="G163" s="766">
        <v>1.0233281493001556</v>
      </c>
      <c r="H163" s="757">
        <v>521412695.5</v>
      </c>
      <c r="I163" s="757">
        <v>15015237.289999999</v>
      </c>
      <c r="J163" s="757">
        <v>2559285.96</v>
      </c>
      <c r="K163" s="757">
        <v>12455951.33</v>
      </c>
      <c r="L163" s="790">
        <v>274.93385011169295</v>
      </c>
      <c r="M163" s="790">
        <v>228.07249661259019</v>
      </c>
      <c r="N163" s="791">
        <v>2.8797222276303396</v>
      </c>
      <c r="O163" s="791">
        <v>2.3888853181941752</v>
      </c>
    </row>
    <row r="164" spans="1:15" s="3" customFormat="1">
      <c r="A164" s="815"/>
      <c r="B164" s="66" t="s">
        <v>357</v>
      </c>
      <c r="C164" s="187" t="s">
        <v>888</v>
      </c>
      <c r="D164" s="242" t="s">
        <v>785</v>
      </c>
      <c r="E164" s="782">
        <v>19487</v>
      </c>
      <c r="F164" s="757">
        <v>21756</v>
      </c>
      <c r="G164" s="766">
        <v>1.1164365987581464</v>
      </c>
      <c r="H164" s="757">
        <v>171825310</v>
      </c>
      <c r="I164" s="757">
        <v>7137338.7000000002</v>
      </c>
      <c r="J164" s="757">
        <v>1139678.67</v>
      </c>
      <c r="K164" s="757">
        <v>5997660.0300000003</v>
      </c>
      <c r="L164" s="790">
        <v>328.06300330943191</v>
      </c>
      <c r="M164" s="790">
        <v>275.67843491450634</v>
      </c>
      <c r="N164" s="791">
        <v>4.1538343216142017</v>
      </c>
      <c r="O164" s="791">
        <v>3.4905567928263888</v>
      </c>
    </row>
    <row r="165" spans="1:15" s="3" customFormat="1">
      <c r="A165" s="815"/>
      <c r="B165" s="66" t="s">
        <v>359</v>
      </c>
      <c r="C165" s="187" t="s">
        <v>888</v>
      </c>
      <c r="D165" s="242" t="s">
        <v>786</v>
      </c>
      <c r="E165" s="782">
        <v>34820</v>
      </c>
      <c r="F165" s="757">
        <v>27659</v>
      </c>
      <c r="G165" s="766">
        <v>0.79434233199310744</v>
      </c>
      <c r="H165" s="757">
        <v>286376505</v>
      </c>
      <c r="I165" s="757">
        <v>4725508.9000000004</v>
      </c>
      <c r="J165" s="757">
        <v>1380233.2799999998</v>
      </c>
      <c r="K165" s="757">
        <v>3345275.62</v>
      </c>
      <c r="L165" s="790">
        <v>170.84887016884198</v>
      </c>
      <c r="M165" s="790">
        <v>120.94709208575871</v>
      </c>
      <c r="N165" s="791">
        <v>1.6501035586002422</v>
      </c>
      <c r="O165" s="791">
        <v>1.1681389924079144</v>
      </c>
    </row>
    <row r="166" spans="1:15" s="3" customFormat="1">
      <c r="A166" s="815"/>
      <c r="B166" s="66" t="s">
        <v>361</v>
      </c>
      <c r="C166" s="187" t="s">
        <v>1424</v>
      </c>
      <c r="D166" s="242" t="s">
        <v>787</v>
      </c>
      <c r="E166" s="782">
        <v>27915</v>
      </c>
      <c r="F166" s="757">
        <v>45488</v>
      </c>
      <c r="G166" s="766">
        <v>1.6295181801898622</v>
      </c>
      <c r="H166" s="757">
        <v>372405849</v>
      </c>
      <c r="I166" s="757">
        <v>8675637.3300000001</v>
      </c>
      <c r="J166" s="757">
        <v>1500813.8399999999</v>
      </c>
      <c r="K166" s="757">
        <v>7174823.4900000002</v>
      </c>
      <c r="L166" s="790">
        <v>190.72364865459022</v>
      </c>
      <c r="M166" s="790">
        <v>157.73002747977489</v>
      </c>
      <c r="N166" s="791">
        <v>2.3296189770639182</v>
      </c>
      <c r="O166" s="791">
        <v>1.926614071520665</v>
      </c>
    </row>
    <row r="167" spans="1:15" s="3" customFormat="1">
      <c r="A167" s="815"/>
      <c r="B167" s="66" t="s">
        <v>363</v>
      </c>
      <c r="C167" s="187" t="s">
        <v>888</v>
      </c>
      <c r="D167" s="242" t="s">
        <v>788</v>
      </c>
      <c r="E167" s="782">
        <v>72789</v>
      </c>
      <c r="F167" s="757">
        <v>65117</v>
      </c>
      <c r="G167" s="766">
        <v>0.89459945870942037</v>
      </c>
      <c r="H167" s="757">
        <v>833681120</v>
      </c>
      <c r="I167" s="757">
        <v>28365488.579999998</v>
      </c>
      <c r="J167" s="757">
        <v>8741680.129999999</v>
      </c>
      <c r="K167" s="757">
        <v>19623808.449999999</v>
      </c>
      <c r="L167" s="790">
        <v>435.60803753244159</v>
      </c>
      <c r="M167" s="790">
        <v>301.36229325675322</v>
      </c>
      <c r="N167" s="791">
        <v>3.4024386422472896</v>
      </c>
      <c r="O167" s="791">
        <v>2.3538746385428517</v>
      </c>
    </row>
    <row r="168" spans="1:15" s="3" customFormat="1" ht="6" customHeight="1">
      <c r="A168" s="815"/>
      <c r="B168" s="66"/>
      <c r="C168" s="66"/>
      <c r="D168" s="242"/>
      <c r="E168" s="782"/>
      <c r="F168" s="225"/>
      <c r="G168" s="769"/>
      <c r="H168" s="225"/>
      <c r="I168" s="225"/>
      <c r="J168" s="225"/>
      <c r="K168" s="225"/>
      <c r="L168" s="225"/>
      <c r="M168" s="225"/>
      <c r="N168" s="769"/>
      <c r="O168" s="775"/>
    </row>
    <row r="169" spans="1:15" s="3" customFormat="1">
      <c r="A169" s="815"/>
      <c r="B169" s="106" t="s">
        <v>124</v>
      </c>
      <c r="C169" s="106"/>
      <c r="D169" s="750"/>
      <c r="E169" s="760">
        <f t="shared" ref="E169" si="14">SUM(E58:E167)</f>
        <v>6190889</v>
      </c>
      <c r="F169" s="760">
        <f t="shared" ref="F169:J169" si="15">SUM(F58:F167)</f>
        <v>5919229</v>
      </c>
      <c r="G169" s="770">
        <v>0.98054426301092468</v>
      </c>
      <c r="H169" s="760">
        <f t="shared" ref="H169" si="16">SUM(H58:H167)</f>
        <v>63324685357.389999</v>
      </c>
      <c r="I169" s="760">
        <f t="shared" si="15"/>
        <v>2162218244.8686008</v>
      </c>
      <c r="J169" s="760">
        <f t="shared" si="15"/>
        <v>690206482.61999989</v>
      </c>
      <c r="K169" s="760">
        <f t="shared" ref="K169" si="17">SUM(K58:K167)</f>
        <v>1507227275.3586011</v>
      </c>
      <c r="L169" s="760">
        <v>388.72630420379136</v>
      </c>
      <c r="M169" s="760">
        <v>270.3627344439011</v>
      </c>
      <c r="N169" s="770">
        <v>3.4198394700339128</v>
      </c>
      <c r="O169" s="770">
        <v>2.3928923936411035</v>
      </c>
    </row>
    <row r="170" spans="1:15" s="3" customFormat="1" ht="6" customHeight="1">
      <c r="A170" s="815"/>
      <c r="B170" s="66"/>
      <c r="C170" s="66"/>
      <c r="D170" s="242"/>
      <c r="E170" s="225"/>
      <c r="F170" s="225"/>
      <c r="G170" s="769"/>
      <c r="H170" s="225"/>
      <c r="I170" s="225"/>
      <c r="J170" s="225"/>
      <c r="K170" s="225"/>
      <c r="L170" s="225"/>
      <c r="M170" s="225"/>
      <c r="N170" s="769"/>
      <c r="O170" s="769"/>
    </row>
    <row r="171" spans="1:15" s="3" customFormat="1">
      <c r="A171" s="815"/>
      <c r="B171" s="106" t="s">
        <v>152</v>
      </c>
      <c r="C171" s="106"/>
      <c r="D171" s="750"/>
      <c r="E171" s="760">
        <f>E50</f>
        <v>2620306</v>
      </c>
      <c r="F171" s="760">
        <f>F50</f>
        <v>2318322</v>
      </c>
      <c r="G171" s="770">
        <f t="shared" ref="G171:M171" si="18">G50</f>
        <v>0.8929051629941831</v>
      </c>
      <c r="H171" s="760">
        <f t="shared" ref="H171" si="19">H50</f>
        <v>23089097561.277302</v>
      </c>
      <c r="I171" s="760">
        <f t="shared" si="18"/>
        <v>906529578.98000014</v>
      </c>
      <c r="J171" s="760">
        <f t="shared" si="18"/>
        <v>250658318.15999994</v>
      </c>
      <c r="K171" s="760">
        <f t="shared" ref="K171" si="20">K50</f>
        <v>662455723.3499999</v>
      </c>
      <c r="L171" s="760">
        <f t="shared" si="18"/>
        <v>405.93827296700516</v>
      </c>
      <c r="M171" s="760">
        <f t="shared" si="18"/>
        <v>296.64352767880297</v>
      </c>
      <c r="N171" s="770">
        <f t="shared" ref="N171:O171" si="21">N50</f>
        <v>4.0185913589875293</v>
      </c>
      <c r="O171" s="770">
        <f t="shared" si="21"/>
        <v>2.9362651798870503</v>
      </c>
    </row>
    <row r="172" spans="1:15" s="3" customFormat="1" ht="6" customHeight="1">
      <c r="A172" s="815"/>
      <c r="B172" s="66"/>
      <c r="C172" s="66"/>
      <c r="D172" s="242"/>
      <c r="E172" s="225"/>
      <c r="F172" s="225"/>
      <c r="G172" s="769"/>
      <c r="H172" s="225"/>
      <c r="I172" s="225"/>
      <c r="J172" s="225"/>
      <c r="K172" s="225"/>
      <c r="L172" s="225"/>
      <c r="M172" s="225"/>
      <c r="N172" s="769"/>
      <c r="O172" s="769"/>
    </row>
    <row r="173" spans="1:15" s="3" customFormat="1">
      <c r="A173" s="815"/>
      <c r="B173" s="106" t="s">
        <v>153</v>
      </c>
      <c r="C173" s="106"/>
      <c r="D173" s="750"/>
      <c r="E173" s="760">
        <f>E169+E171</f>
        <v>8811195</v>
      </c>
      <c r="F173" s="760">
        <f>F169+F171</f>
        <v>8237551</v>
      </c>
      <c r="G173" s="770">
        <v>0.95418691731249805</v>
      </c>
      <c r="H173" s="760">
        <f t="shared" ref="H173" si="22">H169+H171</f>
        <v>86413782918.667297</v>
      </c>
      <c r="I173" s="760">
        <f t="shared" ref="I173:J173" si="23">I169+I171</f>
        <v>3068747823.8486009</v>
      </c>
      <c r="J173" s="760">
        <f t="shared" si="23"/>
        <v>940864800.77999985</v>
      </c>
      <c r="K173" s="760">
        <f t="shared" ref="K173" si="24">K169+K171</f>
        <v>2169682998.708601</v>
      </c>
      <c r="L173" s="760">
        <v>393.68189021831392</v>
      </c>
      <c r="M173" s="760">
        <v>277.92937212475653</v>
      </c>
      <c r="N173" s="770">
        <v>3.5790705651530872</v>
      </c>
      <c r="O173" s="770">
        <v>2.5373960610334607</v>
      </c>
    </row>
    <row r="174" spans="1:15" s="3" customFormat="1" ht="6" customHeight="1">
      <c r="A174" s="815"/>
      <c r="B174" s="66"/>
      <c r="C174" s="65"/>
      <c r="D174" s="242"/>
      <c r="E174" s="782"/>
      <c r="F174" s="225"/>
      <c r="G174" s="769"/>
      <c r="H174" s="225"/>
      <c r="I174" s="225"/>
      <c r="J174" s="225"/>
      <c r="K174" s="225"/>
      <c r="L174" s="225"/>
      <c r="M174" s="225"/>
      <c r="N174" s="769"/>
      <c r="O174" s="775"/>
    </row>
    <row r="175" spans="1:15" s="3" customFormat="1" ht="10.5" customHeight="1">
      <c r="A175" s="815"/>
      <c r="B175" s="65" t="s">
        <v>24</v>
      </c>
      <c r="C175" s="65"/>
      <c r="D175" s="244"/>
      <c r="E175" s="785"/>
      <c r="F175" s="761"/>
      <c r="G175" s="771"/>
      <c r="H175" s="761"/>
      <c r="I175" s="761"/>
      <c r="J175" s="761"/>
      <c r="K175" s="761"/>
      <c r="L175" s="761"/>
      <c r="M175" s="761"/>
      <c r="N175" s="771"/>
      <c r="O175" s="776"/>
    </row>
    <row r="176" spans="1:15" s="3" customFormat="1" ht="25" customHeight="1">
      <c r="A176" s="815"/>
      <c r="B176" s="844" t="s">
        <v>1475</v>
      </c>
      <c r="C176" s="830"/>
      <c r="D176" s="830"/>
      <c r="E176" s="830"/>
      <c r="F176" s="830"/>
      <c r="G176" s="830"/>
      <c r="H176" s="830"/>
      <c r="I176" s="830"/>
      <c r="J176" s="830"/>
      <c r="K176" s="830"/>
      <c r="L176" s="830"/>
      <c r="M176" s="830"/>
      <c r="N176" s="830"/>
      <c r="O176" s="830"/>
    </row>
    <row r="177" spans="1:15" s="3" customFormat="1" ht="25" customHeight="1">
      <c r="A177" s="815"/>
      <c r="B177" s="855" t="s">
        <v>1451</v>
      </c>
      <c r="C177" s="830"/>
      <c r="D177" s="830"/>
      <c r="E177" s="830"/>
      <c r="F177" s="830"/>
      <c r="G177" s="830"/>
      <c r="H177" s="830"/>
      <c r="I177" s="830"/>
      <c r="J177" s="830"/>
      <c r="K177" s="830"/>
      <c r="L177" s="830"/>
      <c r="M177" s="830"/>
      <c r="N177" s="830"/>
      <c r="O177" s="830"/>
    </row>
    <row r="178" spans="1:15" s="3" customFormat="1" ht="10.5" customHeight="1">
      <c r="A178" s="815"/>
      <c r="B178" s="65" t="s">
        <v>1476</v>
      </c>
      <c r="C178" s="65"/>
      <c r="D178" s="244"/>
      <c r="E178" s="785"/>
      <c r="F178" s="761"/>
      <c r="G178" s="771"/>
      <c r="H178" s="761"/>
      <c r="I178" s="761"/>
      <c r="J178" s="761"/>
      <c r="K178" s="761"/>
      <c r="L178" s="761"/>
      <c r="M178" s="761"/>
      <c r="N178" s="771"/>
      <c r="O178" s="776"/>
    </row>
    <row r="179" spans="1:15" s="3" customFormat="1" ht="10.5" customHeight="1">
      <c r="A179" s="815"/>
      <c r="B179" s="65" t="s">
        <v>1477</v>
      </c>
      <c r="C179" s="65"/>
      <c r="D179" s="244"/>
      <c r="E179" s="785"/>
      <c r="F179" s="761"/>
      <c r="G179" s="771"/>
      <c r="H179" s="761"/>
      <c r="I179" s="761"/>
      <c r="J179" s="761"/>
      <c r="K179" s="761"/>
      <c r="L179" s="761"/>
      <c r="M179" s="761"/>
      <c r="N179" s="771"/>
      <c r="O179" s="776"/>
    </row>
    <row r="180" spans="1:15" s="3" customFormat="1" ht="10.5" customHeight="1">
      <c r="A180" s="815"/>
      <c r="B180" s="65" t="s">
        <v>1478</v>
      </c>
      <c r="C180" s="65"/>
      <c r="D180" s="244"/>
      <c r="E180" s="785"/>
      <c r="F180" s="761"/>
      <c r="G180" s="771"/>
      <c r="H180" s="761"/>
      <c r="I180" s="761"/>
      <c r="J180" s="761"/>
      <c r="K180" s="761"/>
      <c r="L180" s="761"/>
      <c r="M180" s="761"/>
      <c r="N180" s="771"/>
      <c r="O180" s="776"/>
    </row>
    <row r="181" spans="1:15" s="3" customFormat="1" ht="10.5" customHeight="1">
      <c r="A181" s="815"/>
      <c r="B181" s="65" t="s">
        <v>1422</v>
      </c>
      <c r="C181" s="65"/>
      <c r="D181" s="244"/>
      <c r="E181" s="785"/>
      <c r="F181" s="761"/>
      <c r="G181" s="771"/>
      <c r="H181" s="761"/>
      <c r="I181" s="761"/>
      <c r="J181" s="761"/>
      <c r="K181" s="761"/>
      <c r="L181" s="761"/>
      <c r="M181" s="761"/>
      <c r="N181" s="771"/>
      <c r="O181" s="776"/>
    </row>
    <row r="182" spans="1:15" s="3" customFormat="1" ht="10.5" customHeight="1">
      <c r="A182" s="815"/>
      <c r="B182" s="65" t="s">
        <v>1423</v>
      </c>
      <c r="C182" s="65"/>
      <c r="D182" s="244"/>
      <c r="E182" s="785"/>
      <c r="F182" s="761"/>
      <c r="G182" s="771"/>
      <c r="H182" s="761"/>
      <c r="I182" s="761"/>
      <c r="J182" s="761"/>
      <c r="K182" s="761"/>
      <c r="L182" s="761"/>
      <c r="M182" s="761"/>
      <c r="N182" s="771"/>
      <c r="O182" s="776"/>
    </row>
    <row r="183" spans="1:15">
      <c r="B183" s="66"/>
    </row>
    <row r="184" spans="1:15">
      <c r="B184" s="7" t="s">
        <v>192</v>
      </c>
    </row>
    <row r="185" spans="1:15">
      <c r="B185" s="7"/>
    </row>
  </sheetData>
  <mergeCells count="2">
    <mergeCell ref="B177:O177"/>
    <mergeCell ref="B176:O176"/>
  </mergeCells>
  <hyperlinks>
    <hyperlink ref="A1" location="TOC!A1" display="Back" xr:uid="{2F27EBB1-A272-493B-A36E-5AB98A9F2454}"/>
  </hyperlinks>
  <pageMargins left="0.5" right="0.5" top="0.4" bottom="0.8" header="0.25" footer="0.35"/>
  <pageSetup scale="96" fitToHeight="5" orientation="landscape" cellComments="asDisplayed" r:id="rId1"/>
  <headerFooter scaleWithDoc="0">
    <oddHeader>&amp;R&amp;P</oddHeader>
    <oddFooter>&amp;R&amp;G&amp;L© 2025 Virginia Department of Taxation, All Rights Reserved</oddFooter>
  </headerFooter>
  <rowBreaks count="4" manualBreakCount="4">
    <brk id="35" min="1" max="14" man="1"/>
    <brk id="72" min="1" max="14" man="1"/>
    <brk id="107" min="1" max="14" man="1"/>
    <brk id="142" min="1" max="14" man="1"/>
  </rowBreaks>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0B936-4B9A-4279-9852-4F8D1673AFF0}">
  <sheetPr codeName="Sheet8">
    <pageSetUpPr fitToPage="1"/>
  </sheetPr>
  <dimension ref="A1:G30"/>
  <sheetViews>
    <sheetView zoomScaleNormal="100" workbookViewId="0"/>
  </sheetViews>
  <sheetFormatPr defaultRowHeight="13"/>
  <cols>
    <col min="1" max="1" width="4.19921875" customWidth="1"/>
    <col min="2" max="4" width="15.69921875" customWidth="1"/>
    <col min="5" max="5" width="90.69921875" customWidth="1"/>
    <col min="6" max="6" width="1.69921875" customWidth="1"/>
    <col min="7" max="7" width="5.19921875" customWidth="1"/>
  </cols>
  <sheetData>
    <row r="1" spans="1:7" ht="15.5">
      <c r="A1" s="813" t="s">
        <v>42</v>
      </c>
      <c r="B1" s="63" t="s">
        <v>217</v>
      </c>
      <c r="C1" s="66"/>
      <c r="D1" s="66"/>
      <c r="E1" s="66"/>
      <c r="G1" s="8"/>
    </row>
    <row r="2" spans="1:7" ht="14.5">
      <c r="B2" s="167" t="s">
        <v>218</v>
      </c>
      <c r="C2" s="66"/>
      <c r="D2" s="66"/>
      <c r="E2" s="66"/>
    </row>
    <row r="3" spans="1:7" ht="13.5" thickBot="1">
      <c r="B3" s="66"/>
      <c r="C3" s="66"/>
      <c r="D3" s="66"/>
      <c r="E3" s="66"/>
    </row>
    <row r="4" spans="1:7" ht="45" customHeight="1">
      <c r="B4" s="168" t="s">
        <v>219</v>
      </c>
      <c r="C4" s="168"/>
      <c r="D4" s="168"/>
      <c r="E4" s="169"/>
    </row>
    <row r="5" spans="1:7" ht="18" customHeight="1">
      <c r="B5" s="170" t="s">
        <v>220</v>
      </c>
      <c r="C5" s="171" t="s">
        <v>221</v>
      </c>
      <c r="D5" s="172"/>
      <c r="E5" s="172"/>
    </row>
    <row r="6" spans="1:7" ht="1" customHeight="1">
      <c r="B6" s="173">
        <v>2007</v>
      </c>
      <c r="C6" s="81">
        <v>143332331.22493362</v>
      </c>
      <c r="D6" s="81"/>
      <c r="E6" s="81"/>
    </row>
    <row r="7" spans="1:7" ht="1" customHeight="1">
      <c r="B7" s="173">
        <v>2008</v>
      </c>
      <c r="C7" s="81">
        <v>213829116.38640201</v>
      </c>
      <c r="D7" s="81"/>
      <c r="E7" s="81"/>
    </row>
    <row r="8" spans="1:7" ht="1" customHeight="1">
      <c r="B8" s="173">
        <v>2009</v>
      </c>
      <c r="C8" s="81">
        <v>175364334.91890469</v>
      </c>
      <c r="D8" s="81"/>
      <c r="E8" s="81"/>
    </row>
    <row r="9" spans="1:7" ht="1" customHeight="1">
      <c r="B9" s="173">
        <v>2010</v>
      </c>
      <c r="C9" s="81">
        <v>143554116.64843339</v>
      </c>
      <c r="D9" s="81"/>
      <c r="E9" s="81"/>
    </row>
    <row r="10" spans="1:7" ht="1" customHeight="1">
      <c r="B10" s="173">
        <v>2011</v>
      </c>
      <c r="C10" s="81">
        <v>150273915</v>
      </c>
      <c r="D10" s="81"/>
      <c r="E10" s="81"/>
    </row>
    <row r="11" spans="1:7">
      <c r="B11" s="173">
        <v>2013</v>
      </c>
      <c r="C11" s="82">
        <v>161434467.78945559</v>
      </c>
      <c r="D11" s="82"/>
      <c r="E11" s="82"/>
    </row>
    <row r="12" spans="1:7">
      <c r="B12" s="173">
        <v>2014</v>
      </c>
      <c r="C12" s="82">
        <v>208366102.08833417</v>
      </c>
      <c r="D12" s="82"/>
      <c r="E12" s="82"/>
    </row>
    <row r="13" spans="1:7">
      <c r="B13" s="173">
        <v>2015</v>
      </c>
      <c r="C13" s="82">
        <v>210994603.36485529</v>
      </c>
      <c r="D13" s="82"/>
      <c r="E13" s="82"/>
    </row>
    <row r="14" spans="1:7">
      <c r="B14" s="173">
        <v>2016</v>
      </c>
      <c r="C14" s="82">
        <v>223074819.58170167</v>
      </c>
      <c r="D14" s="82"/>
      <c r="E14" s="82"/>
    </row>
    <row r="15" spans="1:7">
      <c r="B15" s="173">
        <v>2017</v>
      </c>
      <c r="C15" s="82">
        <v>244370076.32769448</v>
      </c>
      <c r="D15" s="82"/>
      <c r="E15" s="82"/>
    </row>
    <row r="16" spans="1:7">
      <c r="B16" s="173">
        <v>2018</v>
      </c>
      <c r="C16" s="82">
        <v>314543689.44675058</v>
      </c>
      <c r="D16" s="82"/>
      <c r="E16" s="82"/>
    </row>
    <row r="17" spans="2:5">
      <c r="B17" s="173">
        <v>2019</v>
      </c>
      <c r="C17" s="82">
        <v>352673576.32049298</v>
      </c>
      <c r="D17" s="82"/>
      <c r="E17" s="82"/>
    </row>
    <row r="18" spans="2:5">
      <c r="B18" s="173">
        <v>2020</v>
      </c>
      <c r="C18" s="82">
        <v>362781521.93254882</v>
      </c>
      <c r="D18" s="82"/>
      <c r="E18" s="82"/>
    </row>
    <row r="19" spans="2:5">
      <c r="B19" s="173">
        <v>2021</v>
      </c>
      <c r="C19" s="82">
        <v>378603136.2884649</v>
      </c>
      <c r="D19" s="82"/>
      <c r="E19" s="82"/>
    </row>
    <row r="20" spans="2:5">
      <c r="B20" s="173">
        <v>2022</v>
      </c>
      <c r="C20" s="82">
        <v>406492802.46544868</v>
      </c>
      <c r="D20" s="82"/>
      <c r="E20" s="82"/>
    </row>
    <row r="21" spans="2:5" s="3" customFormat="1">
      <c r="B21" s="173">
        <v>2023</v>
      </c>
      <c r="C21" s="82">
        <v>477274945.34478736</v>
      </c>
      <c r="D21" s="66"/>
      <c r="E21" s="66"/>
    </row>
    <row r="22" spans="2:5" s="3" customFormat="1">
      <c r="B22" s="173">
        <v>2024</v>
      </c>
      <c r="C22" s="82">
        <v>508206726.9331491</v>
      </c>
      <c r="D22" s="66"/>
      <c r="E22" s="66"/>
    </row>
    <row r="23" spans="2:5" s="3" customFormat="1">
      <c r="B23" s="173">
        <v>2025</v>
      </c>
      <c r="C23" s="82">
        <v>510938624.19840384</v>
      </c>
      <c r="D23" s="66"/>
      <c r="E23" s="66"/>
    </row>
    <row r="24" spans="2:5" s="3" customFormat="1">
      <c r="B24" s="66"/>
      <c r="C24" s="66"/>
      <c r="D24" s="66"/>
      <c r="E24" s="66"/>
    </row>
    <row r="25" spans="2:5" s="3" customFormat="1" ht="12">
      <c r="B25" s="65" t="s">
        <v>24</v>
      </c>
      <c r="C25" s="65"/>
      <c r="D25" s="65"/>
      <c r="E25" s="65"/>
    </row>
    <row r="26" spans="2:5" s="3" customFormat="1" ht="24.5" customHeight="1">
      <c r="B26" s="844" t="s">
        <v>222</v>
      </c>
      <c r="C26" s="845"/>
      <c r="D26" s="845"/>
      <c r="E26" s="845"/>
    </row>
    <row r="27" spans="2:5" s="3" customFormat="1" ht="49" customHeight="1">
      <c r="B27" s="844" t="s">
        <v>1394</v>
      </c>
      <c r="C27" s="845"/>
      <c r="D27" s="845"/>
      <c r="E27" s="845"/>
    </row>
    <row r="29" spans="2:5">
      <c r="B29" s="7" t="s">
        <v>223</v>
      </c>
    </row>
    <row r="30" spans="2:5">
      <c r="B30" s="7"/>
    </row>
  </sheetData>
  <mergeCells count="2">
    <mergeCell ref="B27:E27"/>
    <mergeCell ref="B26:E26"/>
  </mergeCells>
  <hyperlinks>
    <hyperlink ref="A1" location="TOC!A1" display="Back" xr:uid="{5E0A1784-0C1E-4370-BFF6-D43914026AA5}"/>
  </hyperlinks>
  <pageMargins left="0.5" right="0.5" top="0.4" bottom="0.8" header="0.25" footer="0.35"/>
  <pageSetup orientation="landscape" cellComments="asDisplayed" r:id="rId1"/>
  <headerFooter scaleWithDoc="0">
    <oddHeader>&amp;R&amp;P</oddHeader>
    <oddFooter>&amp;R&amp;G&amp;L© 2025 Virginia Department of Taxation, All Rights Reserved</oddFoot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27EA6-B2CD-4DB0-8A5A-FEAC28DF154A}">
  <sheetPr codeName="Sheet10">
    <pageSetUpPr fitToPage="1"/>
  </sheetPr>
  <dimension ref="A1:E21"/>
  <sheetViews>
    <sheetView zoomScaleNormal="100" workbookViewId="0"/>
  </sheetViews>
  <sheetFormatPr defaultRowHeight="13"/>
  <cols>
    <col min="1" max="1" width="2.69921875" customWidth="1"/>
    <col min="2" max="2" width="80.09765625" customWidth="1"/>
    <col min="3" max="3" width="27.69921875" customWidth="1"/>
    <col min="4" max="4" width="1.69921875" customWidth="1"/>
    <col min="5" max="5" width="5.19921875" bestFit="1" customWidth="1"/>
  </cols>
  <sheetData>
    <row r="1" spans="1:5" ht="18.5">
      <c r="A1" s="32" t="s">
        <v>224</v>
      </c>
      <c r="B1" s="18"/>
      <c r="E1" s="8" t="s">
        <v>42</v>
      </c>
    </row>
    <row r="2" spans="1:5" ht="18.5">
      <c r="A2" s="18"/>
      <c r="B2" s="18"/>
    </row>
    <row r="3" spans="1:5" ht="18.5">
      <c r="A3" s="18"/>
      <c r="B3" s="18" t="s">
        <v>225</v>
      </c>
    </row>
    <row r="4" spans="1:5" ht="18.5">
      <c r="A4" s="19"/>
      <c r="B4" s="20" t="s">
        <v>226</v>
      </c>
      <c r="C4" s="6"/>
    </row>
    <row r="5" spans="1:5" ht="18.5">
      <c r="A5" s="21"/>
      <c r="B5" s="22" t="s">
        <v>234</v>
      </c>
      <c r="C5" s="16"/>
    </row>
    <row r="6" spans="1:5" ht="18.5">
      <c r="A6" s="18"/>
      <c r="B6" s="23"/>
      <c r="C6" s="5"/>
    </row>
    <row r="7" spans="1:5" ht="18.5">
      <c r="A7" s="18"/>
      <c r="B7" s="24" t="s">
        <v>227</v>
      </c>
      <c r="C7" s="5"/>
    </row>
    <row r="8" spans="1:5" ht="18.5">
      <c r="A8" s="18"/>
      <c r="B8" s="25" t="s">
        <v>226</v>
      </c>
      <c r="C8" s="5"/>
    </row>
    <row r="9" spans="1:5" ht="18.5">
      <c r="A9" s="18"/>
      <c r="B9" s="25" t="s">
        <v>228</v>
      </c>
      <c r="C9" s="5"/>
    </row>
    <row r="10" spans="1:5" ht="18.5">
      <c r="A10" s="18"/>
      <c r="B10" s="25" t="s">
        <v>229</v>
      </c>
      <c r="C10" s="5"/>
    </row>
    <row r="11" spans="1:5" ht="18.5">
      <c r="A11" s="18"/>
      <c r="B11" s="26" t="s">
        <v>230</v>
      </c>
      <c r="C11" s="4"/>
    </row>
    <row r="12" spans="1:5" ht="18.5">
      <c r="A12" s="18"/>
      <c r="B12" s="26"/>
      <c r="C12" s="4"/>
    </row>
    <row r="13" spans="1:5" ht="18.5">
      <c r="A13" s="18"/>
      <c r="B13" s="27" t="s">
        <v>231</v>
      </c>
      <c r="C13" s="4"/>
    </row>
    <row r="14" spans="1:5" ht="18.5">
      <c r="A14" s="18"/>
      <c r="B14" s="28"/>
      <c r="C14" s="4"/>
    </row>
    <row r="15" spans="1:5" ht="18.5">
      <c r="A15" s="18"/>
      <c r="B15" s="28"/>
      <c r="C15" s="4"/>
    </row>
    <row r="16" spans="1:5" ht="55.5">
      <c r="A16" s="18"/>
      <c r="B16" s="29" t="s">
        <v>232</v>
      </c>
      <c r="C16" s="4"/>
    </row>
    <row r="17" spans="1:3" ht="18.5">
      <c r="A17" s="18"/>
      <c r="B17" s="27" t="s">
        <v>233</v>
      </c>
      <c r="C17" s="4"/>
    </row>
    <row r="18" spans="1:3" ht="19" thickBot="1">
      <c r="A18" s="30"/>
      <c r="B18" s="31"/>
      <c r="C18" s="17"/>
    </row>
    <row r="19" spans="1:3" ht="13.5" thickTop="1"/>
    <row r="20" spans="1:3">
      <c r="A20" s="7"/>
    </row>
    <row r="21" spans="1:3">
      <c r="A21" s="7"/>
    </row>
  </sheetData>
  <hyperlinks>
    <hyperlink ref="E1" location="TOC!A1" display="Back" xr:uid="{45040278-8B68-4725-ADA5-DC33986DF83B}"/>
    <hyperlink ref="B13" r:id="rId1" xr:uid="{6DC94F0E-539B-47DD-8BB2-57DEA47F9940}"/>
    <hyperlink ref="B17" r:id="rId2" xr:uid="{3F699D13-DC4C-45E8-B58D-4A1DA0664452}"/>
  </hyperlinks>
  <printOptions horizontalCentered="1" verticalCentered="1"/>
  <pageMargins left="0.5" right="0.5" top="0.4" bottom="0.8" header="0.25" footer="0.35"/>
  <pageSetup orientation="landscape" cellComments="asDisplayed" r:id="rId3"/>
  <headerFooter scaleWithDoc="0">
    <oddHeader>&amp;R&amp;P</oddHeader>
    <oddFooter>&amp;R&amp;G&amp;L© 2025 Virginia Department of Taxation, All Rights Reserved</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9F39D-9186-4482-9284-D4DEBA089850}">
  <sheetPr codeName="Sheet3">
    <pageSetUpPr fitToPage="1"/>
  </sheetPr>
  <dimension ref="A1:U58"/>
  <sheetViews>
    <sheetView zoomScale="95" zoomScaleNormal="95" workbookViewId="0"/>
  </sheetViews>
  <sheetFormatPr defaultRowHeight="13"/>
  <cols>
    <col min="1" max="1" width="4.5" customWidth="1"/>
    <col min="2" max="2" width="40.69921875" customWidth="1"/>
    <col min="3" max="12" width="0.296875" customWidth="1"/>
    <col min="13" max="14" width="16.69921875" customWidth="1"/>
    <col min="15" max="15" width="1.69921875" customWidth="1"/>
    <col min="16" max="16" width="10.69921875" customWidth="1"/>
    <col min="17" max="17" width="8.69921875" hidden="1" customWidth="1"/>
    <col min="18" max="18" width="2.69921875" customWidth="1"/>
    <col min="19" max="19" width="87.3984375" customWidth="1"/>
    <col min="20" max="20" width="1.69921875" customWidth="1"/>
    <col min="21" max="21" width="5.19921875" customWidth="1"/>
  </cols>
  <sheetData>
    <row r="1" spans="1:21" ht="15.5">
      <c r="A1" s="813" t="s">
        <v>42</v>
      </c>
      <c r="B1" s="607" t="s">
        <v>1173</v>
      </c>
      <c r="C1" s="608"/>
      <c r="D1" s="608"/>
      <c r="E1" s="608"/>
      <c r="F1" s="608"/>
      <c r="G1" s="608"/>
      <c r="H1" s="608"/>
      <c r="I1" s="608"/>
      <c r="J1" s="608"/>
      <c r="K1" s="608"/>
      <c r="L1" s="608"/>
      <c r="M1" s="608"/>
      <c r="N1" s="608"/>
      <c r="O1" s="609"/>
      <c r="P1" s="610"/>
      <c r="Q1" s="610"/>
      <c r="R1" s="66"/>
      <c r="S1" s="66"/>
      <c r="U1" s="8"/>
    </row>
    <row r="2" spans="1:21">
      <c r="B2" s="609" t="s">
        <v>1174</v>
      </c>
      <c r="C2" s="608"/>
      <c r="D2" s="608"/>
      <c r="E2" s="608"/>
      <c r="F2" s="608"/>
      <c r="G2" s="608"/>
      <c r="H2" s="608"/>
      <c r="I2" s="608"/>
      <c r="J2" s="608"/>
      <c r="K2" s="608"/>
      <c r="L2" s="608"/>
      <c r="M2" s="608"/>
      <c r="N2" s="608"/>
      <c r="O2" s="609"/>
      <c r="P2" s="610"/>
      <c r="Q2" s="610"/>
      <c r="R2" s="66"/>
      <c r="S2" s="66"/>
    </row>
    <row r="3" spans="1:21">
      <c r="B3" s="611"/>
      <c r="C3" s="609"/>
      <c r="D3" s="609"/>
      <c r="E3" s="609"/>
      <c r="F3" s="609"/>
      <c r="G3" s="609"/>
      <c r="H3" s="609"/>
      <c r="I3" s="609"/>
      <c r="J3" s="609"/>
      <c r="K3" s="609"/>
      <c r="L3" s="609"/>
      <c r="M3" s="609"/>
      <c r="N3" s="609"/>
      <c r="O3" s="609"/>
      <c r="P3" s="612" t="str">
        <f>RIGHT(N4,4)&amp;"/"&amp;RIGHT(M4,4)</f>
        <v>2025/2024</v>
      </c>
      <c r="Q3" s="669"/>
      <c r="R3" s="66"/>
      <c r="S3" s="66"/>
    </row>
    <row r="4" spans="1:21">
      <c r="B4" s="613" t="s">
        <v>1175</v>
      </c>
      <c r="C4" s="614">
        <v>2014</v>
      </c>
      <c r="D4" s="614" t="s">
        <v>1133</v>
      </c>
      <c r="E4" s="614" t="s">
        <v>1134</v>
      </c>
      <c r="F4" s="614" t="s">
        <v>1135</v>
      </c>
      <c r="G4" s="614" t="s">
        <v>1136</v>
      </c>
      <c r="H4" s="614" t="s">
        <v>1137</v>
      </c>
      <c r="I4" s="615" t="s">
        <v>1138</v>
      </c>
      <c r="J4" s="615" t="s">
        <v>1139</v>
      </c>
      <c r="K4" s="615" t="s">
        <v>1140</v>
      </c>
      <c r="L4" s="615" t="s">
        <v>1141</v>
      </c>
      <c r="M4" s="616" t="s">
        <v>1142</v>
      </c>
      <c r="N4" s="616" t="s">
        <v>1223</v>
      </c>
      <c r="O4" s="609"/>
      <c r="P4" s="617" t="s">
        <v>1143</v>
      </c>
      <c r="Q4" s="679" t="s">
        <v>1216</v>
      </c>
      <c r="R4" s="172"/>
      <c r="S4" s="169"/>
    </row>
    <row r="5" spans="1:21">
      <c r="B5" s="357"/>
      <c r="C5" s="618"/>
      <c r="D5" s="618"/>
      <c r="E5" s="618"/>
      <c r="F5" s="618"/>
      <c r="G5" s="618"/>
      <c r="H5" s="618"/>
      <c r="I5" s="618"/>
      <c r="J5" s="618"/>
      <c r="K5" s="618"/>
      <c r="L5" s="619"/>
      <c r="M5" s="619"/>
      <c r="N5" s="619"/>
      <c r="O5" s="609"/>
      <c r="P5" s="609"/>
      <c r="Q5" s="680"/>
      <c r="R5" s="743"/>
      <c r="S5" s="743"/>
    </row>
    <row r="6" spans="1:21">
      <c r="B6" s="613" t="s">
        <v>1176</v>
      </c>
      <c r="C6" s="620"/>
      <c r="D6" s="620"/>
      <c r="E6" s="620"/>
      <c r="F6" s="620"/>
      <c r="G6" s="620"/>
      <c r="H6" s="620"/>
      <c r="I6" s="620"/>
      <c r="J6" s="620"/>
      <c r="K6" s="620"/>
      <c r="L6" s="621"/>
      <c r="M6" s="621"/>
      <c r="N6" s="621"/>
      <c r="O6" s="609"/>
      <c r="P6" s="622"/>
      <c r="Q6" s="681"/>
      <c r="R6" s="81"/>
      <c r="S6" s="81"/>
    </row>
    <row r="7" spans="1:21">
      <c r="B7" s="623" t="s">
        <v>1213</v>
      </c>
      <c r="C7" s="624"/>
      <c r="D7" s="624"/>
      <c r="E7" s="624"/>
      <c r="F7" s="624"/>
      <c r="G7" s="624"/>
      <c r="H7" s="625">
        <v>29641000</v>
      </c>
      <c r="I7" s="624">
        <v>25949000</v>
      </c>
      <c r="J7" s="624">
        <v>29336000</v>
      </c>
      <c r="K7" s="624">
        <v>30170000</v>
      </c>
      <c r="L7" s="624">
        <v>30120000</v>
      </c>
      <c r="M7" s="624">
        <v>31319000</v>
      </c>
      <c r="N7" s="624">
        <v>33365000</v>
      </c>
      <c r="O7" s="609"/>
      <c r="P7" s="626">
        <f>IFERROR((N7/M7)-1,"")</f>
        <v>6.5327756314058627E-2</v>
      </c>
      <c r="Q7" s="682"/>
      <c r="R7" s="81"/>
      <c r="S7" s="81"/>
    </row>
    <row r="8" spans="1:21">
      <c r="B8" s="623" t="s">
        <v>1177</v>
      </c>
      <c r="C8" s="608">
        <v>757490742.09000015</v>
      </c>
      <c r="D8" s="608">
        <v>831906887.15999985</v>
      </c>
      <c r="E8" s="608">
        <v>764948013.7700001</v>
      </c>
      <c r="F8" s="608">
        <v>826960822.31000006</v>
      </c>
      <c r="G8" s="608">
        <v>861897138.17999983</v>
      </c>
      <c r="H8" s="608">
        <v>943391000</v>
      </c>
      <c r="I8" s="608">
        <f>ROUND(1456048948.77-254758722.16-189640608.54,-3)</f>
        <v>1011650000</v>
      </c>
      <c r="J8" s="608">
        <v>1515692000</v>
      </c>
      <c r="K8" s="608">
        <v>1978697000</v>
      </c>
      <c r="L8" s="608">
        <v>2031120000</v>
      </c>
      <c r="M8" s="608">
        <v>1907065000</v>
      </c>
      <c r="N8" s="608">
        <v>1878586000</v>
      </c>
      <c r="O8" s="609"/>
      <c r="P8" s="626">
        <f t="shared" ref="P8:P16" si="0">IFERROR((N8/M8)-1,"")</f>
        <v>-1.4933418630198814E-2</v>
      </c>
      <c r="Q8" s="683">
        <f>M8/$M$41</f>
        <v>6.4715578280156102E-2</v>
      </c>
      <c r="R8" s="81"/>
      <c r="S8" s="81"/>
    </row>
    <row r="9" spans="1:21">
      <c r="B9" s="623" t="s">
        <v>1178</v>
      </c>
      <c r="C9" s="608">
        <v>11253348000</v>
      </c>
      <c r="D9" s="608">
        <v>12328675000</v>
      </c>
      <c r="E9" s="608">
        <v>12555624000</v>
      </c>
      <c r="F9" s="608">
        <v>13052887000</v>
      </c>
      <c r="G9" s="608">
        <v>14105766000</v>
      </c>
      <c r="H9" s="608">
        <v>15226471000</v>
      </c>
      <c r="I9" s="627">
        <f>ROUND(172944264.74+1634338.44+14076560.05+-12000+-2591+85344535.6+47636381.35+1347009257.04+-1782372432.02+1926281006.61+13205120102.82+-16589175.92+245232938.82+137254190.49+-31965054.43,-3)</f>
        <v>15351592000</v>
      </c>
      <c r="J9" s="608">
        <f>ROUND(17303666344.54,-3)</f>
        <v>17303666000</v>
      </c>
      <c r="K9" s="608">
        <v>20410203000</v>
      </c>
      <c r="L9" s="608">
        <v>18983555000</v>
      </c>
      <c r="M9" s="608">
        <v>20310406000</v>
      </c>
      <c r="N9" s="608">
        <v>21892442000</v>
      </c>
      <c r="O9" s="609"/>
      <c r="P9" s="626">
        <f t="shared" si="0"/>
        <v>7.7892879147762883E-2</v>
      </c>
      <c r="Q9" s="683">
        <f>M9/$M$41</f>
        <v>0.6892264654821687</v>
      </c>
      <c r="R9" s="81"/>
      <c r="S9" s="81"/>
    </row>
    <row r="10" spans="1:21">
      <c r="B10" s="623" t="s">
        <v>1179</v>
      </c>
      <c r="C10" s="608"/>
      <c r="D10" s="608"/>
      <c r="E10" s="608"/>
      <c r="F10" s="608"/>
      <c r="G10" s="608"/>
      <c r="H10" s="608">
        <v>191000</v>
      </c>
      <c r="I10" s="608">
        <f>ROUND(10996+69278.18,-3)</f>
        <v>80000</v>
      </c>
      <c r="J10" s="608">
        <v>810000</v>
      </c>
      <c r="K10" s="608">
        <v>27000</v>
      </c>
      <c r="L10" s="608">
        <v>0</v>
      </c>
      <c r="M10" s="608">
        <v>0</v>
      </c>
      <c r="N10" s="608">
        <v>990000</v>
      </c>
      <c r="O10" s="609"/>
      <c r="P10" s="626" t="str">
        <f t="shared" si="0"/>
        <v/>
      </c>
      <c r="Q10" s="682"/>
      <c r="R10" s="81"/>
      <c r="S10" s="81"/>
    </row>
    <row r="11" spans="1:21">
      <c r="B11" s="623" t="s">
        <v>1180</v>
      </c>
      <c r="C11" s="608"/>
      <c r="D11" s="608"/>
      <c r="E11" s="608"/>
      <c r="F11" s="608"/>
      <c r="G11" s="608"/>
      <c r="H11" s="608">
        <v>372107000</v>
      </c>
      <c r="I11" s="608">
        <f>ROUND(39715917.44+-6507.25+-48621.15+487130322.81+-59669923.88,-3)</f>
        <v>467121000</v>
      </c>
      <c r="J11" s="608">
        <v>656756000</v>
      </c>
      <c r="K11" s="608">
        <v>634000000</v>
      </c>
      <c r="L11" s="608">
        <v>415504000</v>
      </c>
      <c r="M11" s="608">
        <v>392017000</v>
      </c>
      <c r="N11" s="608">
        <v>455768000</v>
      </c>
      <c r="O11" s="609"/>
      <c r="P11" s="626">
        <f t="shared" si="0"/>
        <v>0.16262304951060802</v>
      </c>
      <c r="Q11" s="682"/>
      <c r="R11" s="82"/>
      <c r="S11" s="82"/>
    </row>
    <row r="12" spans="1:21">
      <c r="B12" s="623" t="s">
        <v>1181</v>
      </c>
      <c r="C12" s="608"/>
      <c r="D12" s="608"/>
      <c r="E12" s="608"/>
      <c r="F12" s="608"/>
      <c r="G12" s="608"/>
      <c r="H12" s="608">
        <v>6738000</v>
      </c>
      <c r="I12" s="608">
        <f>ROUND(6074046.59+-46849.18+0+560500.22,-3)</f>
        <v>6588000</v>
      </c>
      <c r="J12" s="608">
        <v>7769000</v>
      </c>
      <c r="K12" s="608">
        <v>8542000</v>
      </c>
      <c r="L12" s="608">
        <v>8465000</v>
      </c>
      <c r="M12" s="608">
        <v>8501000</v>
      </c>
      <c r="N12" s="608">
        <v>8903000</v>
      </c>
      <c r="O12" s="609"/>
      <c r="P12" s="626">
        <f t="shared" si="0"/>
        <v>4.7288554287730822E-2</v>
      </c>
      <c r="Q12" s="682"/>
      <c r="R12" s="82"/>
      <c r="S12" s="82"/>
    </row>
    <row r="13" spans="1:21">
      <c r="B13" s="623" t="s">
        <v>1182</v>
      </c>
      <c r="C13" s="608">
        <v>3066456000</v>
      </c>
      <c r="D13" s="608">
        <v>3235444000</v>
      </c>
      <c r="E13" s="608">
        <v>3295853000</v>
      </c>
      <c r="F13" s="608">
        <v>3354561000</v>
      </c>
      <c r="G13" s="608">
        <v>3458249000</v>
      </c>
      <c r="H13" s="608">
        <v>3580355000</v>
      </c>
      <c r="I13" s="608">
        <f>ROUND(2683258.31+208033441.59+53040341.29+3169525635.96+-34441737.4+2478935.49+173593188.29+-5477492.26+540921001.82+-406044118.99+132233.73+2033538.76+338923.1,-3)</f>
        <v>3706817000</v>
      </c>
      <c r="J13" s="608">
        <v>4166182000</v>
      </c>
      <c r="K13" s="608">
        <v>4558082000</v>
      </c>
      <c r="L13" s="608">
        <v>4734549000</v>
      </c>
      <c r="M13" s="608">
        <v>4709661000</v>
      </c>
      <c r="N13" s="608">
        <v>4812737000</v>
      </c>
      <c r="O13" s="609"/>
      <c r="P13" s="626">
        <f t="shared" si="0"/>
        <v>2.1886076301457891E-2</v>
      </c>
      <c r="Q13" s="683">
        <f>M13/$M$41</f>
        <v>0.15982068525115728</v>
      </c>
      <c r="R13" s="82"/>
      <c r="S13" s="82"/>
    </row>
    <row r="14" spans="1:21">
      <c r="B14" s="623" t="s">
        <v>1183</v>
      </c>
      <c r="C14" s="608"/>
      <c r="D14" s="608"/>
      <c r="E14" s="608"/>
      <c r="F14" s="608"/>
      <c r="G14" s="608"/>
      <c r="H14" s="608">
        <v>5681000</v>
      </c>
      <c r="I14" s="608">
        <f>ROUND(6772425.16,-3)</f>
        <v>6772000</v>
      </c>
      <c r="J14" s="608">
        <v>9398000</v>
      </c>
      <c r="K14" s="608">
        <v>9070000</v>
      </c>
      <c r="L14" s="608">
        <v>9306000</v>
      </c>
      <c r="M14" s="608">
        <v>8049000</v>
      </c>
      <c r="N14" s="608">
        <v>7539000</v>
      </c>
      <c r="O14" s="609"/>
      <c r="P14" s="626">
        <f t="shared" si="0"/>
        <v>-6.3361908311591497E-2</v>
      </c>
      <c r="Q14" s="672"/>
      <c r="R14" s="82"/>
      <c r="S14" s="82"/>
    </row>
    <row r="15" spans="1:21">
      <c r="B15" s="609" t="s">
        <v>1184</v>
      </c>
      <c r="C15" s="608"/>
      <c r="D15" s="608"/>
      <c r="E15" s="608"/>
      <c r="F15" s="608"/>
      <c r="G15" s="608"/>
      <c r="H15" s="608">
        <v>6444000</v>
      </c>
      <c r="I15" s="608">
        <f>ROUND(5794346.74+726593.28,-3)</f>
        <v>6521000</v>
      </c>
      <c r="J15" s="608">
        <v>6051000</v>
      </c>
      <c r="K15" s="608">
        <v>6110000</v>
      </c>
      <c r="L15" s="608">
        <v>6681000</v>
      </c>
      <c r="M15" s="608">
        <v>7251000</v>
      </c>
      <c r="N15" s="608">
        <v>7285000</v>
      </c>
      <c r="O15" s="609"/>
      <c r="P15" s="626">
        <f t="shared" si="0"/>
        <v>4.6890084126327558E-3</v>
      </c>
      <c r="Q15" s="672"/>
      <c r="R15" s="82"/>
      <c r="S15" s="82"/>
    </row>
    <row r="16" spans="1:21">
      <c r="B16" s="609" t="s">
        <v>1185</v>
      </c>
      <c r="C16" s="608"/>
      <c r="D16" s="608"/>
      <c r="E16" s="608"/>
      <c r="F16" s="608"/>
      <c r="G16" s="608"/>
      <c r="H16" s="608">
        <v>382018000</v>
      </c>
      <c r="I16" s="608">
        <f>ROUND(603081210.21-242492835.9,-3)</f>
        <v>360588000</v>
      </c>
      <c r="J16" s="608">
        <v>363105000</v>
      </c>
      <c r="K16" s="608">
        <v>426830000</v>
      </c>
      <c r="L16" s="608">
        <v>450877000</v>
      </c>
      <c r="M16" s="608">
        <v>468192000</v>
      </c>
      <c r="N16" s="608">
        <v>541452000</v>
      </c>
      <c r="O16" s="609"/>
      <c r="P16" s="626">
        <f t="shared" si="0"/>
        <v>0.15647426696739797</v>
      </c>
      <c r="Q16" s="672"/>
      <c r="R16" s="82"/>
      <c r="S16" s="82"/>
    </row>
    <row r="17" spans="2:19" ht="6" customHeight="1">
      <c r="B17" s="609"/>
      <c r="C17" s="609"/>
      <c r="D17" s="609"/>
      <c r="E17" s="609"/>
      <c r="F17" s="609"/>
      <c r="G17" s="609"/>
      <c r="H17" s="609"/>
      <c r="I17" s="609"/>
      <c r="J17" s="609"/>
      <c r="K17" s="609"/>
      <c r="L17" s="609"/>
      <c r="M17" s="609"/>
      <c r="N17" s="609"/>
      <c r="O17" s="609"/>
      <c r="P17" s="622"/>
      <c r="Q17" s="671"/>
      <c r="R17" s="82"/>
      <c r="S17" s="82"/>
    </row>
    <row r="18" spans="2:19">
      <c r="B18" s="613" t="s">
        <v>1186</v>
      </c>
      <c r="C18" s="628">
        <v>15733790000</v>
      </c>
      <c r="D18" s="628">
        <v>17069018000</v>
      </c>
      <c r="E18" s="628">
        <v>17348564000</v>
      </c>
      <c r="F18" s="628">
        <v>18001810000</v>
      </c>
      <c r="G18" s="628">
        <v>19188948000</v>
      </c>
      <c r="H18" s="628">
        <f>SUM(H7:H16)</f>
        <v>20553037000</v>
      </c>
      <c r="I18" s="628">
        <f>SUM(I7:I16)</f>
        <v>20943678000</v>
      </c>
      <c r="J18" s="628">
        <v>24058765000</v>
      </c>
      <c r="K18" s="629">
        <v>28061732000</v>
      </c>
      <c r="L18" s="629">
        <v>26670180000</v>
      </c>
      <c r="M18" s="629">
        <v>27842462000</v>
      </c>
      <c r="N18" s="629">
        <v>29639067000</v>
      </c>
      <c r="O18" s="630"/>
      <c r="P18" s="631">
        <f>IFERROR((N18/M18)-1,"")</f>
        <v>6.4527519154017332E-2</v>
      </c>
      <c r="Q18" s="673"/>
      <c r="R18" s="82"/>
      <c r="S18" s="82"/>
    </row>
    <row r="19" spans="2:19">
      <c r="B19" s="632"/>
      <c r="C19" s="608"/>
      <c r="D19" s="608"/>
      <c r="E19" s="608"/>
      <c r="F19" s="608"/>
      <c r="G19" s="608"/>
      <c r="H19" s="608"/>
      <c r="I19" s="608"/>
      <c r="J19" s="633"/>
      <c r="K19" s="633"/>
      <c r="L19" s="633"/>
      <c r="M19" s="633"/>
      <c r="N19" s="633"/>
      <c r="O19" s="609"/>
      <c r="P19" s="626"/>
      <c r="Q19" s="672"/>
      <c r="R19" s="82"/>
      <c r="S19" s="82"/>
    </row>
    <row r="20" spans="2:19">
      <c r="B20" s="613" t="s">
        <v>1187</v>
      </c>
      <c r="C20" s="608"/>
      <c r="D20" s="608"/>
      <c r="E20" s="608"/>
      <c r="F20" s="608"/>
      <c r="G20" s="608"/>
      <c r="H20" s="608"/>
      <c r="I20" s="608"/>
      <c r="J20" s="608"/>
      <c r="K20" s="608"/>
      <c r="L20" s="608"/>
      <c r="M20" s="608"/>
      <c r="N20" s="608"/>
      <c r="O20" s="609"/>
      <c r="P20" s="626"/>
      <c r="Q20" s="672"/>
      <c r="R20" s="82"/>
      <c r="S20" s="82"/>
    </row>
    <row r="21" spans="2:19" s="3" customFormat="1">
      <c r="B21" s="623" t="s">
        <v>1188</v>
      </c>
      <c r="C21" s="634"/>
      <c r="D21" s="634"/>
      <c r="E21" s="634"/>
      <c r="F21" s="634"/>
      <c r="G21" s="634"/>
      <c r="H21" s="634">
        <v>12577000</v>
      </c>
      <c r="I21" s="634">
        <f>ROUND(7557161.83+0,-3)</f>
        <v>7557000</v>
      </c>
      <c r="J21" s="634">
        <v>7253000</v>
      </c>
      <c r="K21" s="634">
        <v>8495000</v>
      </c>
      <c r="L21" s="634">
        <v>12881000</v>
      </c>
      <c r="M21" s="634">
        <v>12126000</v>
      </c>
      <c r="N21" s="634">
        <v>9377000</v>
      </c>
      <c r="O21" s="609"/>
      <c r="P21" s="626">
        <f t="shared" ref="P21:P37" si="1">IFERROR((N21/M21)-1,"")</f>
        <v>-0.22670295233382809</v>
      </c>
      <c r="Q21" s="672"/>
      <c r="R21" s="66"/>
      <c r="S21" s="66"/>
    </row>
    <row r="22" spans="2:19" s="3" customFormat="1">
      <c r="B22" s="623" t="s">
        <v>885</v>
      </c>
      <c r="C22" s="635"/>
      <c r="D22" s="635"/>
      <c r="E22" s="635"/>
      <c r="F22" s="635"/>
      <c r="G22" s="635"/>
      <c r="H22" s="635">
        <v>129451000</v>
      </c>
      <c r="I22" s="635">
        <f>ROUND(131950330.82,-3)</f>
        <v>131950000</v>
      </c>
      <c r="J22" s="634">
        <v>234194000</v>
      </c>
      <c r="K22" s="634">
        <v>219818000</v>
      </c>
      <c r="L22" s="635">
        <v>188683000</v>
      </c>
      <c r="M22" s="635">
        <v>169889000</v>
      </c>
      <c r="N22" s="635">
        <v>155829000</v>
      </c>
      <c r="O22" s="609"/>
      <c r="P22" s="626">
        <f t="shared" si="1"/>
        <v>-8.2759919712282692E-2</v>
      </c>
      <c r="Q22" s="672"/>
      <c r="R22" s="66"/>
      <c r="S22" s="66"/>
    </row>
    <row r="23" spans="2:19" s="3" customFormat="1">
      <c r="B23" s="623" t="s">
        <v>1189</v>
      </c>
      <c r="C23" s="635"/>
      <c r="D23" s="635"/>
      <c r="E23" s="635"/>
      <c r="F23" s="635"/>
      <c r="G23" s="635"/>
      <c r="H23" s="635">
        <v>21838000</v>
      </c>
      <c r="I23" s="635">
        <f>ROUND(21687544.8,-3)</f>
        <v>21688000</v>
      </c>
      <c r="J23" s="634">
        <v>52438000</v>
      </c>
      <c r="K23" s="634">
        <v>58809000</v>
      </c>
      <c r="L23" s="635">
        <v>57449000</v>
      </c>
      <c r="M23" s="635">
        <v>55070000</v>
      </c>
      <c r="N23" s="635">
        <v>54993000</v>
      </c>
      <c r="O23" s="609"/>
      <c r="P23" s="626">
        <f t="shared" si="1"/>
        <v>-1.3982204467042347E-3</v>
      </c>
      <c r="Q23" s="672"/>
      <c r="R23" s="66"/>
      <c r="S23" s="66"/>
    </row>
    <row r="24" spans="2:19" s="3" customFormat="1">
      <c r="B24" s="623" t="s">
        <v>1190</v>
      </c>
      <c r="C24" s="608"/>
      <c r="D24" s="608"/>
      <c r="E24" s="608"/>
      <c r="F24" s="608"/>
      <c r="G24" s="608"/>
      <c r="H24" s="608">
        <v>205000</v>
      </c>
      <c r="I24" s="608">
        <f>ROUND(207801.87+0,-3)</f>
        <v>208000</v>
      </c>
      <c r="J24" s="634">
        <v>195000</v>
      </c>
      <c r="K24" s="634">
        <v>202000</v>
      </c>
      <c r="L24" s="635">
        <v>196000</v>
      </c>
      <c r="M24" s="635">
        <v>206000</v>
      </c>
      <c r="N24" s="635">
        <v>205000</v>
      </c>
      <c r="O24" s="609"/>
      <c r="P24" s="626">
        <f t="shared" si="1"/>
        <v>-4.8543689320388328E-3</v>
      </c>
      <c r="Q24" s="672"/>
      <c r="R24" s="66"/>
      <c r="S24" s="66"/>
    </row>
    <row r="25" spans="2:19" s="3" customFormat="1">
      <c r="B25" s="623" t="s">
        <v>1191</v>
      </c>
      <c r="C25" s="608"/>
      <c r="D25" s="608"/>
      <c r="E25" s="608"/>
      <c r="F25" s="608"/>
      <c r="G25" s="608"/>
      <c r="H25" s="608">
        <v>2604000</v>
      </c>
      <c r="I25" s="608">
        <f>ROUND(1840522.66+614428.88, -3)</f>
        <v>2455000</v>
      </c>
      <c r="J25" s="634">
        <v>2400000</v>
      </c>
      <c r="K25" s="634">
        <v>2576000</v>
      </c>
      <c r="L25" s="635">
        <v>2513000</v>
      </c>
      <c r="M25" s="635">
        <v>2328000</v>
      </c>
      <c r="N25" s="635">
        <v>2468000</v>
      </c>
      <c r="O25" s="609"/>
      <c r="P25" s="626">
        <f t="shared" si="1"/>
        <v>6.0137457044673548E-2</v>
      </c>
      <c r="Q25" s="672"/>
      <c r="R25" s="66"/>
      <c r="S25" s="66"/>
    </row>
    <row r="26" spans="2:19" s="3" customFormat="1">
      <c r="B26" s="623" t="s">
        <v>1192</v>
      </c>
      <c r="C26" s="608"/>
      <c r="D26" s="608"/>
      <c r="E26" s="608"/>
      <c r="F26" s="608"/>
      <c r="G26" s="608"/>
      <c r="H26" s="608">
        <v>309000</v>
      </c>
      <c r="I26" s="608">
        <f>ROUND(365532.86,-3)</f>
        <v>366000</v>
      </c>
      <c r="J26" s="634">
        <v>353000</v>
      </c>
      <c r="K26" s="634">
        <v>376000</v>
      </c>
      <c r="L26" s="635">
        <v>309000</v>
      </c>
      <c r="M26" s="635">
        <v>340000</v>
      </c>
      <c r="N26" s="635">
        <v>374000</v>
      </c>
      <c r="O26" s="609"/>
      <c r="P26" s="626">
        <f t="shared" si="1"/>
        <v>0.10000000000000009</v>
      </c>
      <c r="Q26" s="672"/>
      <c r="R26" s="66"/>
      <c r="S26" s="66"/>
    </row>
    <row r="27" spans="2:19" s="3" customFormat="1">
      <c r="B27" s="623" t="s">
        <v>1193</v>
      </c>
      <c r="C27" s="608"/>
      <c r="D27" s="608"/>
      <c r="E27" s="608"/>
      <c r="F27" s="608"/>
      <c r="G27" s="608"/>
      <c r="H27" s="608">
        <v>1050000</v>
      </c>
      <c r="I27" s="608">
        <f>ROUND(934707.14+0,-3)</f>
        <v>935000</v>
      </c>
      <c r="J27" s="634">
        <v>1363000</v>
      </c>
      <c r="K27" s="634">
        <v>1744000</v>
      </c>
      <c r="L27" s="635">
        <v>1853000</v>
      </c>
      <c r="M27" s="635">
        <v>1447000</v>
      </c>
      <c r="N27" s="635">
        <v>1660000</v>
      </c>
      <c r="O27" s="609"/>
      <c r="P27" s="626">
        <f t="shared" si="1"/>
        <v>0.14720110573600542</v>
      </c>
      <c r="Q27" s="672"/>
      <c r="R27" s="66"/>
      <c r="S27" s="66"/>
    </row>
    <row r="28" spans="2:19" s="3" customFormat="1">
      <c r="B28" s="623" t="s">
        <v>1194</v>
      </c>
      <c r="C28" s="608"/>
      <c r="D28" s="608"/>
      <c r="E28" s="608"/>
      <c r="F28" s="608"/>
      <c r="G28" s="608"/>
      <c r="H28" s="608">
        <v>649451000</v>
      </c>
      <c r="I28" s="608">
        <v>1123440000</v>
      </c>
      <c r="J28" s="634">
        <v>1264050000</v>
      </c>
      <c r="K28" s="634">
        <v>1368275000</v>
      </c>
      <c r="L28" s="635">
        <v>1416622000</v>
      </c>
      <c r="M28" s="635">
        <v>1377114000</v>
      </c>
      <c r="N28" s="635">
        <v>1412430000</v>
      </c>
      <c r="O28" s="609"/>
      <c r="P28" s="626">
        <f t="shared" si="1"/>
        <v>2.5644935713383221E-2</v>
      </c>
      <c r="Q28" s="672"/>
      <c r="R28" s="66"/>
      <c r="S28" s="66"/>
    </row>
    <row r="29" spans="2:19" s="3" customFormat="1">
      <c r="B29" s="609" t="s">
        <v>1195</v>
      </c>
      <c r="C29" s="608"/>
      <c r="D29" s="608"/>
      <c r="E29" s="608"/>
      <c r="F29" s="608"/>
      <c r="G29" s="608"/>
      <c r="H29" s="608">
        <v>3060000</v>
      </c>
      <c r="I29" s="608">
        <f>ROUND(3214035.05+0,-3)</f>
        <v>3214000</v>
      </c>
      <c r="J29" s="634">
        <v>2893000</v>
      </c>
      <c r="K29" s="634">
        <v>3195000</v>
      </c>
      <c r="L29" s="635">
        <v>3436000</v>
      </c>
      <c r="M29" s="635">
        <v>3484000</v>
      </c>
      <c r="N29" s="635">
        <v>3609000</v>
      </c>
      <c r="O29" s="609"/>
      <c r="P29" s="626">
        <f t="shared" si="1"/>
        <v>3.5878300803674046E-2</v>
      </c>
      <c r="Q29" s="672"/>
      <c r="R29" s="66"/>
      <c r="S29" s="66"/>
    </row>
    <row r="30" spans="2:19" s="3" customFormat="1">
      <c r="B30" s="609" t="s">
        <v>1196</v>
      </c>
      <c r="C30" s="608"/>
      <c r="D30" s="608"/>
      <c r="E30" s="608"/>
      <c r="F30" s="608"/>
      <c r="G30" s="608"/>
      <c r="H30" s="608">
        <v>398000</v>
      </c>
      <c r="I30" s="608">
        <f>ROUND(460022.04+0,-3)</f>
        <v>460000</v>
      </c>
      <c r="J30" s="634">
        <v>435000</v>
      </c>
      <c r="K30" s="634">
        <v>557000</v>
      </c>
      <c r="L30" s="635">
        <v>508000</v>
      </c>
      <c r="M30" s="635">
        <v>512000</v>
      </c>
      <c r="N30" s="635">
        <v>351000</v>
      </c>
      <c r="O30" s="609"/>
      <c r="P30" s="626">
        <f t="shared" si="1"/>
        <v>-0.314453125</v>
      </c>
      <c r="Q30" s="672"/>
      <c r="R30" s="66"/>
      <c r="S30" s="66"/>
    </row>
    <row r="31" spans="2:19" s="3" customFormat="1">
      <c r="B31" s="609" t="s">
        <v>1197</v>
      </c>
      <c r="C31" s="608"/>
      <c r="D31" s="608"/>
      <c r="E31" s="608"/>
      <c r="F31" s="608"/>
      <c r="G31" s="608"/>
      <c r="H31" s="608">
        <v>179000</v>
      </c>
      <c r="I31" s="608">
        <f>ROUND(142617.3+0,-3)</f>
        <v>143000</v>
      </c>
      <c r="J31" s="634">
        <v>205000</v>
      </c>
      <c r="K31" s="634">
        <v>159000</v>
      </c>
      <c r="L31" s="635">
        <v>338000</v>
      </c>
      <c r="M31" s="635">
        <v>270000</v>
      </c>
      <c r="N31" s="635">
        <v>158000</v>
      </c>
      <c r="O31" s="609"/>
      <c r="P31" s="626">
        <f t="shared" si="1"/>
        <v>-0.41481481481481486</v>
      </c>
      <c r="Q31" s="672"/>
      <c r="R31" s="66"/>
      <c r="S31" s="66"/>
    </row>
    <row r="32" spans="2:19" s="3" customFormat="1">
      <c r="B32" s="609" t="s">
        <v>1198</v>
      </c>
      <c r="C32" s="608"/>
      <c r="D32" s="608"/>
      <c r="E32" s="608"/>
      <c r="F32" s="608"/>
      <c r="G32" s="608"/>
      <c r="H32" s="608">
        <v>12000</v>
      </c>
      <c r="I32" s="608">
        <f>ROUND(12296.11+0,-3)</f>
        <v>12000</v>
      </c>
      <c r="J32" s="634">
        <v>13000</v>
      </c>
      <c r="K32" s="634">
        <v>16000</v>
      </c>
      <c r="L32" s="635">
        <v>18000</v>
      </c>
      <c r="M32" s="635">
        <v>20000</v>
      </c>
      <c r="N32" s="635">
        <v>24000</v>
      </c>
      <c r="O32" s="609"/>
      <c r="P32" s="626">
        <f t="shared" si="1"/>
        <v>0.19999999999999996</v>
      </c>
      <c r="Q32" s="672"/>
      <c r="R32" s="66"/>
      <c r="S32" s="66"/>
    </row>
    <row r="33" spans="2:19" s="3" customFormat="1">
      <c r="B33" s="609" t="s">
        <v>1199</v>
      </c>
      <c r="C33" s="608"/>
      <c r="D33" s="608"/>
      <c r="E33" s="608"/>
      <c r="F33" s="608"/>
      <c r="G33" s="608"/>
      <c r="H33" s="608">
        <v>664000</v>
      </c>
      <c r="I33" s="608">
        <f>ROUND(878294.38+0,-3)</f>
        <v>878000</v>
      </c>
      <c r="J33" s="634">
        <v>1597000</v>
      </c>
      <c r="K33" s="634">
        <v>2314000</v>
      </c>
      <c r="L33" s="635">
        <v>3203000</v>
      </c>
      <c r="M33" s="635">
        <v>2241000</v>
      </c>
      <c r="N33" s="635">
        <v>2058000</v>
      </c>
      <c r="O33" s="609"/>
      <c r="P33" s="626">
        <f t="shared" si="1"/>
        <v>-8.1659973226238303E-2</v>
      </c>
      <c r="Q33" s="672"/>
      <c r="R33" s="66"/>
      <c r="S33" s="66"/>
    </row>
    <row r="34" spans="2:19" s="3" customFormat="1">
      <c r="B34" s="609" t="s">
        <v>1200</v>
      </c>
      <c r="C34" s="608"/>
      <c r="D34" s="608"/>
      <c r="E34" s="608"/>
      <c r="F34" s="608"/>
      <c r="G34" s="608"/>
      <c r="H34" s="608">
        <v>175000</v>
      </c>
      <c r="I34" s="608">
        <f>ROUND(216842.49+0,-3)</f>
        <v>217000</v>
      </c>
      <c r="J34" s="634">
        <v>233000</v>
      </c>
      <c r="K34" s="634">
        <v>229000</v>
      </c>
      <c r="L34" s="635">
        <v>264000</v>
      </c>
      <c r="M34" s="635">
        <v>285000</v>
      </c>
      <c r="N34" s="635">
        <v>340000</v>
      </c>
      <c r="O34" s="609"/>
      <c r="P34" s="626">
        <f t="shared" si="1"/>
        <v>0.19298245614035081</v>
      </c>
      <c r="Q34" s="672"/>
      <c r="R34" s="66"/>
      <c r="S34" s="66"/>
    </row>
    <row r="35" spans="2:19" s="3" customFormat="1">
      <c r="B35" s="609" t="s">
        <v>1201</v>
      </c>
      <c r="C35" s="608"/>
      <c r="D35" s="608"/>
      <c r="E35" s="608"/>
      <c r="F35" s="608"/>
      <c r="G35" s="608"/>
      <c r="H35" s="608">
        <v>178000</v>
      </c>
      <c r="I35" s="608">
        <f>ROUND(218257.13,-3)</f>
        <v>218000</v>
      </c>
      <c r="J35" s="634">
        <v>114000</v>
      </c>
      <c r="K35" s="634">
        <v>159000</v>
      </c>
      <c r="L35" s="635">
        <v>192000</v>
      </c>
      <c r="M35" s="635">
        <v>177000</v>
      </c>
      <c r="N35" s="635">
        <v>204000</v>
      </c>
      <c r="O35" s="609"/>
      <c r="P35" s="626">
        <f t="shared" si="1"/>
        <v>0.15254237288135597</v>
      </c>
      <c r="Q35" s="672"/>
      <c r="R35" s="66"/>
      <c r="S35" s="66"/>
    </row>
    <row r="36" spans="2:19" s="3" customFormat="1">
      <c r="B36" s="609" t="s">
        <v>1202</v>
      </c>
      <c r="C36" s="608"/>
      <c r="D36" s="608"/>
      <c r="E36" s="608"/>
      <c r="F36" s="608"/>
      <c r="G36" s="608"/>
      <c r="H36" s="608">
        <v>90000</v>
      </c>
      <c r="I36" s="608">
        <f>ROUND(87968.28,-3)</f>
        <v>88000</v>
      </c>
      <c r="J36" s="634">
        <v>82000</v>
      </c>
      <c r="K36" s="634">
        <v>109000</v>
      </c>
      <c r="L36" s="635">
        <v>105000</v>
      </c>
      <c r="M36" s="635">
        <v>83000</v>
      </c>
      <c r="N36" s="635">
        <v>68000</v>
      </c>
      <c r="O36" s="609"/>
      <c r="P36" s="626">
        <f t="shared" si="1"/>
        <v>-0.18072289156626509</v>
      </c>
      <c r="Q36" s="672"/>
      <c r="R36" s="66"/>
      <c r="S36" s="66"/>
    </row>
    <row r="37" spans="2:19" s="3" customFormat="1">
      <c r="B37" s="609" t="s">
        <v>1203</v>
      </c>
      <c r="C37" s="608"/>
      <c r="D37" s="608"/>
      <c r="E37" s="608"/>
      <c r="F37" s="608"/>
      <c r="G37" s="608"/>
      <c r="H37" s="608">
        <v>136140.20000000001</v>
      </c>
      <c r="I37" s="608">
        <v>340628.13</v>
      </c>
      <c r="J37" s="634">
        <v>353000</v>
      </c>
      <c r="K37" s="634">
        <v>349000</v>
      </c>
      <c r="L37" s="635">
        <v>336000</v>
      </c>
      <c r="M37" s="635">
        <v>355000</v>
      </c>
      <c r="N37" s="635">
        <v>340000</v>
      </c>
      <c r="O37" s="609"/>
      <c r="P37" s="626">
        <f t="shared" si="1"/>
        <v>-4.2253521126760618E-2</v>
      </c>
      <c r="Q37" s="672"/>
      <c r="R37" s="66"/>
      <c r="S37" s="66"/>
    </row>
    <row r="38" spans="2:19" s="3" customFormat="1" ht="6" customHeight="1">
      <c r="B38" s="609"/>
      <c r="C38" s="609"/>
      <c r="D38" s="609"/>
      <c r="E38" s="609"/>
      <c r="F38" s="609"/>
      <c r="G38" s="609"/>
      <c r="H38" s="609"/>
      <c r="I38" s="609"/>
      <c r="J38" s="609"/>
      <c r="K38" s="609"/>
      <c r="L38" s="608"/>
      <c r="M38" s="608"/>
      <c r="N38" s="608"/>
      <c r="O38" s="609"/>
      <c r="P38" s="609"/>
      <c r="Q38" s="670"/>
      <c r="R38" s="66"/>
      <c r="S38" s="66"/>
    </row>
    <row r="39" spans="2:19" s="3" customFormat="1">
      <c r="B39" s="613" t="s">
        <v>1204</v>
      </c>
      <c r="C39" s="628">
        <f t="shared" ref="C39:I39" si="2">SUM(C21:C37)</f>
        <v>0</v>
      </c>
      <c r="D39" s="628">
        <f t="shared" si="2"/>
        <v>0</v>
      </c>
      <c r="E39" s="628">
        <f t="shared" si="2"/>
        <v>0</v>
      </c>
      <c r="F39" s="628">
        <f t="shared" si="2"/>
        <v>0</v>
      </c>
      <c r="G39" s="628">
        <f t="shared" si="2"/>
        <v>0</v>
      </c>
      <c r="H39" s="628">
        <f t="shared" si="2"/>
        <v>822377140.20000005</v>
      </c>
      <c r="I39" s="628">
        <f t="shared" si="2"/>
        <v>1294169628.1300001</v>
      </c>
      <c r="J39" s="628">
        <v>1568171000</v>
      </c>
      <c r="K39" s="629">
        <v>1667381000</v>
      </c>
      <c r="L39" s="629">
        <v>1688907000</v>
      </c>
      <c r="M39" s="629">
        <v>1625945000</v>
      </c>
      <c r="N39" s="629">
        <v>1644489000</v>
      </c>
      <c r="O39" s="630"/>
      <c r="P39" s="631">
        <f>IFERROR((N39/M39)-1,"")</f>
        <v>1.1405059826746999E-2</v>
      </c>
      <c r="Q39" s="673"/>
      <c r="R39" s="66"/>
      <c r="S39" s="66"/>
    </row>
    <row r="40" spans="2:19" s="3" customFormat="1" ht="6" customHeight="1">
      <c r="B40" s="636"/>
      <c r="C40" s="637"/>
      <c r="D40" s="637"/>
      <c r="E40" s="637"/>
      <c r="F40" s="637"/>
      <c r="G40" s="637"/>
      <c r="H40" s="637"/>
      <c r="I40" s="637"/>
      <c r="J40" s="637"/>
      <c r="K40" s="638"/>
      <c r="L40" s="638"/>
      <c r="M40" s="638"/>
      <c r="N40" s="638"/>
      <c r="O40" s="609"/>
      <c r="P40" s="626"/>
      <c r="Q40" s="672"/>
      <c r="R40" s="66"/>
      <c r="S40" s="66"/>
    </row>
    <row r="41" spans="2:19" s="3" customFormat="1">
      <c r="B41" s="639" t="s">
        <v>1205</v>
      </c>
      <c r="C41" s="640">
        <f t="shared" ref="C41:G41" si="3">SUM(C18,C39)</f>
        <v>15733790000</v>
      </c>
      <c r="D41" s="640">
        <f t="shared" si="3"/>
        <v>17069018000</v>
      </c>
      <c r="E41" s="640">
        <f t="shared" si="3"/>
        <v>17348564000</v>
      </c>
      <c r="F41" s="640">
        <f t="shared" si="3"/>
        <v>18001810000</v>
      </c>
      <c r="G41" s="640">
        <f t="shared" si="3"/>
        <v>19188948000</v>
      </c>
      <c r="H41" s="640">
        <f t="shared" ref="H41:N41" si="4">SUM(H18,H39)</f>
        <v>21375414140.200001</v>
      </c>
      <c r="I41" s="640">
        <f t="shared" si="4"/>
        <v>22237847628.130001</v>
      </c>
      <c r="J41" s="640">
        <f t="shared" si="4"/>
        <v>25626936000</v>
      </c>
      <c r="K41" s="641">
        <f t="shared" si="4"/>
        <v>29729113000</v>
      </c>
      <c r="L41" s="641">
        <f t="shared" si="4"/>
        <v>28359087000</v>
      </c>
      <c r="M41" s="641">
        <f t="shared" si="4"/>
        <v>29468407000</v>
      </c>
      <c r="N41" s="641">
        <f t="shared" si="4"/>
        <v>31283556000</v>
      </c>
      <c r="O41" s="642"/>
      <c r="P41" s="643">
        <f>IFERROR((N41/M41)-1,"")</f>
        <v>6.1596441232809163E-2</v>
      </c>
      <c r="Q41" s="673"/>
      <c r="R41" s="66"/>
      <c r="S41" s="66"/>
    </row>
    <row r="42" spans="2:19" s="3" customFormat="1" ht="6" customHeight="1">
      <c r="B42" s="609"/>
      <c r="C42" s="609"/>
      <c r="D42" s="609"/>
      <c r="E42" s="609"/>
      <c r="F42" s="609"/>
      <c r="G42" s="609"/>
      <c r="H42" s="609"/>
      <c r="I42" s="609"/>
      <c r="J42" s="609"/>
      <c r="K42" s="609"/>
      <c r="L42" s="609"/>
      <c r="M42" s="609"/>
      <c r="N42" s="609"/>
      <c r="O42" s="609"/>
      <c r="P42" s="644"/>
      <c r="Q42" s="674"/>
      <c r="R42" s="66"/>
      <c r="S42" s="66"/>
    </row>
    <row r="43" spans="2:19" s="3" customFormat="1" ht="6" customHeight="1">
      <c r="B43" s="609"/>
      <c r="C43" s="609"/>
      <c r="D43" s="609"/>
      <c r="E43" s="609"/>
      <c r="F43" s="609"/>
      <c r="G43" s="609"/>
      <c r="H43" s="609"/>
      <c r="I43" s="609"/>
      <c r="J43" s="645"/>
      <c r="K43" s="645"/>
      <c r="L43" s="645"/>
      <c r="M43" s="645"/>
      <c r="N43" s="645"/>
      <c r="O43" s="609"/>
      <c r="P43" s="646"/>
      <c r="Q43" s="675"/>
      <c r="R43" s="66"/>
      <c r="S43" s="66"/>
    </row>
    <row r="44" spans="2:19" s="3" customFormat="1" ht="12" customHeight="1">
      <c r="B44" s="647" t="s">
        <v>24</v>
      </c>
      <c r="C44" s="648"/>
      <c r="D44" s="648"/>
      <c r="E44" s="648"/>
      <c r="F44" s="648"/>
      <c r="G44" s="648"/>
      <c r="H44" s="648"/>
      <c r="I44" s="649"/>
      <c r="J44" s="649"/>
      <c r="K44" s="649"/>
      <c r="L44" s="648"/>
      <c r="M44" s="648"/>
      <c r="N44" s="648"/>
      <c r="O44" s="648"/>
      <c r="P44" s="650"/>
      <c r="Q44" s="675"/>
      <c r="R44" s="65"/>
      <c r="S44" s="65"/>
    </row>
    <row r="45" spans="2:19" s="3" customFormat="1" ht="12" customHeight="1">
      <c r="B45" s="651" t="s">
        <v>1206</v>
      </c>
      <c r="C45" s="232"/>
      <c r="D45" s="232"/>
      <c r="E45" s="232"/>
      <c r="F45" s="232"/>
      <c r="G45" s="232"/>
      <c r="H45" s="232"/>
      <c r="I45" s="232"/>
      <c r="J45" s="232"/>
      <c r="K45" s="232"/>
      <c r="L45" s="232"/>
      <c r="M45" s="232"/>
      <c r="N45" s="232"/>
      <c r="O45" s="232"/>
      <c r="P45" s="652"/>
      <c r="Q45" s="323"/>
      <c r="R45" s="65"/>
      <c r="S45" s="65"/>
    </row>
    <row r="46" spans="2:19" s="3" customFormat="1" ht="12" customHeight="1">
      <c r="B46" s="653" t="s">
        <v>1207</v>
      </c>
      <c r="C46" s="654"/>
      <c r="D46" s="654"/>
      <c r="E46" s="654"/>
      <c r="F46" s="654"/>
      <c r="G46" s="654"/>
      <c r="H46" s="654"/>
      <c r="I46" s="654"/>
      <c r="J46" s="654"/>
      <c r="K46" s="654"/>
      <c r="L46" s="654"/>
      <c r="M46" s="654"/>
      <c r="N46" s="654"/>
      <c r="O46" s="648"/>
      <c r="P46" s="655"/>
      <c r="Q46" s="676"/>
      <c r="R46" s="65"/>
      <c r="S46" s="65"/>
    </row>
    <row r="47" spans="2:19" s="3" customFormat="1" ht="12" customHeight="1">
      <c r="B47" s="651" t="s">
        <v>1208</v>
      </c>
      <c r="C47" s="654"/>
      <c r="D47" s="654"/>
      <c r="E47" s="654"/>
      <c r="F47" s="654"/>
      <c r="G47" s="654"/>
      <c r="H47" s="654"/>
      <c r="I47" s="654"/>
      <c r="J47" s="654"/>
      <c r="K47" s="654"/>
      <c r="L47" s="654"/>
      <c r="M47" s="654"/>
      <c r="N47" s="654"/>
      <c r="O47" s="648"/>
      <c r="P47" s="655"/>
      <c r="Q47" s="676"/>
      <c r="R47" s="65"/>
      <c r="S47" s="65"/>
    </row>
    <row r="48" spans="2:19" s="3" customFormat="1" ht="12" customHeight="1">
      <c r="B48" s="651" t="s">
        <v>1209</v>
      </c>
      <c r="C48" s="656"/>
      <c r="D48" s="656"/>
      <c r="E48" s="656"/>
      <c r="F48" s="656"/>
      <c r="G48" s="656"/>
      <c r="H48" s="656"/>
      <c r="I48" s="656"/>
      <c r="J48" s="656"/>
      <c r="K48" s="656"/>
      <c r="L48" s="656"/>
      <c r="M48" s="656"/>
      <c r="N48" s="656"/>
      <c r="O48" s="656"/>
      <c r="P48" s="657"/>
      <c r="Q48" s="677"/>
      <c r="R48" s="65"/>
      <c r="S48" s="65"/>
    </row>
    <row r="49" spans="2:19" s="3" customFormat="1" ht="12" customHeight="1">
      <c r="B49" s="658" t="s">
        <v>1210</v>
      </c>
      <c r="C49" s="654"/>
      <c r="D49" s="654"/>
      <c r="E49" s="654"/>
      <c r="F49" s="654"/>
      <c r="G49" s="654"/>
      <c r="H49" s="654"/>
      <c r="I49" s="654"/>
      <c r="J49" s="654"/>
      <c r="K49" s="654"/>
      <c r="L49" s="654"/>
      <c r="M49" s="654"/>
      <c r="N49" s="654"/>
      <c r="O49" s="648"/>
      <c r="P49" s="655"/>
      <c r="Q49" s="676"/>
      <c r="R49" s="65"/>
      <c r="S49" s="65"/>
    </row>
    <row r="50" spans="2:19" s="3" customFormat="1" ht="12" customHeight="1">
      <c r="B50" s="659" t="s">
        <v>1211</v>
      </c>
      <c r="C50" s="660"/>
      <c r="D50" s="660"/>
      <c r="E50" s="660"/>
      <c r="F50" s="660"/>
      <c r="G50" s="660"/>
      <c r="H50" s="660"/>
      <c r="I50" s="660"/>
      <c r="J50" s="660"/>
      <c r="K50" s="660"/>
      <c r="L50" s="660"/>
      <c r="M50" s="660"/>
      <c r="N50" s="660"/>
      <c r="O50" s="660"/>
      <c r="P50" s="661"/>
      <c r="Q50" s="678"/>
      <c r="R50" s="65"/>
      <c r="S50" s="65"/>
    </row>
    <row r="51" spans="2:19" s="3" customFormat="1" ht="12" customHeight="1">
      <c r="B51" s="651" t="s">
        <v>1212</v>
      </c>
      <c r="C51" s="660"/>
      <c r="D51" s="660"/>
      <c r="E51" s="660"/>
      <c r="F51" s="660"/>
      <c r="G51" s="660"/>
      <c r="H51" s="660"/>
      <c r="I51" s="660"/>
      <c r="J51" s="660"/>
      <c r="K51" s="660"/>
      <c r="L51" s="660"/>
      <c r="M51" s="660"/>
      <c r="N51" s="660"/>
      <c r="O51" s="660"/>
      <c r="P51" s="661"/>
      <c r="Q51" s="678"/>
      <c r="R51" s="65"/>
      <c r="S51" s="65"/>
    </row>
    <row r="52" spans="2:19" s="3" customFormat="1" ht="12" customHeight="1">
      <c r="B52" s="65"/>
      <c r="C52" s="65"/>
      <c r="D52" s="65"/>
      <c r="E52" s="65"/>
      <c r="F52" s="65"/>
      <c r="G52" s="65"/>
      <c r="H52" s="65"/>
      <c r="I52" s="65"/>
      <c r="J52" s="65"/>
      <c r="K52" s="65"/>
      <c r="L52" s="65"/>
      <c r="M52" s="65"/>
      <c r="N52" s="65"/>
      <c r="O52" s="65"/>
      <c r="P52" s="65"/>
      <c r="Q52" s="678"/>
      <c r="R52" s="65"/>
      <c r="S52" s="65"/>
    </row>
    <row r="53" spans="2:19" s="3" customFormat="1" ht="12" customHeight="1">
      <c r="B53" s="65"/>
      <c r="C53" s="65"/>
      <c r="D53" s="65"/>
      <c r="E53" s="65"/>
      <c r="F53" s="65"/>
      <c r="G53" s="65"/>
      <c r="H53" s="65"/>
      <c r="I53" s="65"/>
      <c r="J53" s="65"/>
      <c r="K53" s="65"/>
      <c r="L53" s="65"/>
      <c r="M53" s="65"/>
      <c r="N53" s="65"/>
      <c r="O53" s="65"/>
      <c r="P53" s="65"/>
      <c r="Q53" s="676"/>
      <c r="R53" s="65"/>
      <c r="S53" s="65"/>
    </row>
    <row r="55" spans="2:19">
      <c r="B55" s="7" t="s">
        <v>40</v>
      </c>
    </row>
    <row r="56" spans="2:19">
      <c r="B56" s="7"/>
    </row>
    <row r="57" spans="2:19" ht="15.5">
      <c r="B57" s="662" t="s">
        <v>1214</v>
      </c>
      <c r="C57" s="663">
        <f t="shared" ref="C57:N57" si="5">C41-C8-C9-C13</f>
        <v>656495257.90999985</v>
      </c>
      <c r="D57" s="663">
        <f t="shared" si="5"/>
        <v>672992112.84000015</v>
      </c>
      <c r="E57" s="663">
        <f t="shared" si="5"/>
        <v>732138986.22999954</v>
      </c>
      <c r="F57" s="663">
        <f t="shared" si="5"/>
        <v>767401177.69000053</v>
      </c>
      <c r="G57" s="663">
        <f t="shared" si="5"/>
        <v>763035861.81999969</v>
      </c>
      <c r="H57" s="663">
        <f t="shared" si="5"/>
        <v>1625197140.2000008</v>
      </c>
      <c r="I57" s="663">
        <f t="shared" si="5"/>
        <v>2167788628.1300011</v>
      </c>
      <c r="J57" s="663">
        <f t="shared" si="5"/>
        <v>2641396000</v>
      </c>
      <c r="K57" s="663">
        <f t="shared" si="5"/>
        <v>2782131000</v>
      </c>
      <c r="L57" s="663">
        <f t="shared" ref="L57" si="6">L41-L8-L9-L13</f>
        <v>2609863000</v>
      </c>
      <c r="M57" s="663">
        <f t="shared" si="5"/>
        <v>2541275000</v>
      </c>
      <c r="N57" s="663">
        <f t="shared" si="5"/>
        <v>2699791000</v>
      </c>
      <c r="O57" s="664"/>
      <c r="P57" s="665"/>
      <c r="Q57" s="666"/>
    </row>
    <row r="58" spans="2:19" ht="15.5">
      <c r="B58" s="662" t="s">
        <v>1215</v>
      </c>
      <c r="C58" s="667"/>
      <c r="D58" s="667"/>
      <c r="E58" s="667"/>
      <c r="F58" s="667"/>
      <c r="G58" s="667"/>
      <c r="H58" s="667"/>
      <c r="I58" s="667"/>
      <c r="J58" s="667"/>
      <c r="K58" s="663">
        <f>K13+K28</f>
        <v>5926357000</v>
      </c>
      <c r="L58" s="663">
        <f>L13+L28</f>
        <v>6151171000</v>
      </c>
      <c r="M58" s="663">
        <f>M13+M28</f>
        <v>6086775000</v>
      </c>
      <c r="N58" s="663">
        <f>N13+N28</f>
        <v>6225167000</v>
      </c>
      <c r="O58" s="664"/>
      <c r="P58" s="665"/>
      <c r="Q58" s="668">
        <f>M57/$M$41</f>
        <v>8.6237270986517872E-2</v>
      </c>
    </row>
  </sheetData>
  <hyperlinks>
    <hyperlink ref="A1" location="TOC!A1" display="Back" xr:uid="{6A254A17-A3A3-4F21-8D68-3C75CE8410E7}"/>
  </hyperlinks>
  <pageMargins left="0.5" right="0.5" top="0.4" bottom="0.8" header="0.25" footer="0.35"/>
  <pageSetup scale="79" orientation="landscape" cellComments="asDisplayed" r:id="rId1"/>
  <headerFooter scaleWithDoc="0">
    <oddHeader>&amp;R&amp;P</oddHeader>
    <oddFooter>&amp;R&amp;G&amp;L© 2025 Virginia Department of Taxation, All Rights Reserved</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C6C53-20C7-4125-9D86-2E50231EE495}">
  <sheetPr codeName="Sheet22">
    <pageSetUpPr fitToPage="1"/>
  </sheetPr>
  <dimension ref="A1:I25"/>
  <sheetViews>
    <sheetView zoomScaleNormal="100" workbookViewId="0"/>
  </sheetViews>
  <sheetFormatPr defaultRowHeight="13"/>
  <cols>
    <col min="1" max="1" width="4.19921875" customWidth="1"/>
    <col min="2" max="2" width="18.69921875" customWidth="1"/>
    <col min="3" max="3" width="3.69921875" customWidth="1"/>
    <col min="4" max="4" width="18.69921875" customWidth="1"/>
    <col min="5" max="6" width="3.69921875" customWidth="1"/>
    <col min="7" max="7" width="90.69921875" customWidth="1"/>
    <col min="8" max="8" width="1.69921875" customWidth="1"/>
    <col min="9" max="9" width="5.19921875" customWidth="1"/>
  </cols>
  <sheetData>
    <row r="1" spans="1:9" ht="15.5">
      <c r="A1" s="813" t="s">
        <v>42</v>
      </c>
      <c r="B1" s="226" t="s">
        <v>855</v>
      </c>
      <c r="C1" s="66"/>
      <c r="D1" s="66"/>
      <c r="E1" s="66"/>
      <c r="F1" s="66"/>
      <c r="G1" s="66"/>
      <c r="H1" s="276"/>
      <c r="I1" s="8"/>
    </row>
    <row r="2" spans="1:9">
      <c r="B2" s="233" t="s">
        <v>856</v>
      </c>
      <c r="C2" s="66"/>
      <c r="D2" s="66"/>
      <c r="E2" s="66"/>
      <c r="F2" s="66"/>
      <c r="G2" s="66"/>
      <c r="H2" s="276"/>
    </row>
    <row r="3" spans="1:9" ht="13.5" thickBot="1">
      <c r="B3" s="233"/>
      <c r="C3" s="66"/>
      <c r="D3" s="66"/>
      <c r="E3" s="66"/>
      <c r="F3" s="66"/>
      <c r="G3" s="66"/>
      <c r="H3" s="276"/>
    </row>
    <row r="4" spans="1:9" ht="18" customHeight="1">
      <c r="B4" s="496" t="s">
        <v>857</v>
      </c>
      <c r="C4" s="497"/>
      <c r="D4" s="498" t="s">
        <v>796</v>
      </c>
      <c r="E4" s="497"/>
      <c r="F4" s="494"/>
      <c r="G4" s="66"/>
      <c r="H4" s="276"/>
    </row>
    <row r="5" spans="1:9" ht="21" customHeight="1">
      <c r="B5" s="187">
        <v>2009</v>
      </c>
      <c r="C5" s="66"/>
      <c r="D5" s="81">
        <v>8838405972.0000038</v>
      </c>
      <c r="E5" s="66"/>
      <c r="F5" s="66"/>
      <c r="G5" s="66"/>
      <c r="H5" s="276"/>
    </row>
    <row r="6" spans="1:9">
      <c r="B6" s="187">
        <v>2010</v>
      </c>
      <c r="C6" s="66"/>
      <c r="D6" s="82">
        <v>9537700528</v>
      </c>
      <c r="E6" s="66"/>
      <c r="F6" s="66"/>
      <c r="G6" s="66"/>
      <c r="H6" s="276"/>
    </row>
    <row r="7" spans="1:9">
      <c r="B7" s="187">
        <v>2011</v>
      </c>
      <c r="C7" s="66"/>
      <c r="D7" s="82">
        <v>9846787045</v>
      </c>
      <c r="E7" s="66"/>
      <c r="F7" s="66"/>
      <c r="G7" s="66"/>
      <c r="H7" s="276"/>
    </row>
    <row r="8" spans="1:9">
      <c r="B8" s="187">
        <v>2012</v>
      </c>
      <c r="C8" s="66"/>
      <c r="D8" s="82">
        <v>10527113882</v>
      </c>
      <c r="E8" s="66"/>
      <c r="F8" s="66"/>
      <c r="G8" s="66"/>
      <c r="H8" s="276"/>
    </row>
    <row r="9" spans="1:9">
      <c r="B9" s="187">
        <v>2013</v>
      </c>
      <c r="C9" s="66"/>
      <c r="D9" s="82">
        <v>10586343685</v>
      </c>
      <c r="E9" s="66"/>
      <c r="F9" s="66"/>
      <c r="G9" s="66"/>
      <c r="H9" s="276"/>
    </row>
    <row r="10" spans="1:9">
      <c r="B10" s="187">
        <v>2014</v>
      </c>
      <c r="C10" s="66"/>
      <c r="D10" s="82">
        <v>11623977320</v>
      </c>
      <c r="E10" s="66"/>
      <c r="F10" s="66"/>
      <c r="G10" s="66"/>
      <c r="H10" s="276"/>
    </row>
    <row r="11" spans="1:9">
      <c r="B11" s="187">
        <v>2015</v>
      </c>
      <c r="C11" s="66"/>
      <c r="D11" s="82">
        <v>12071058964</v>
      </c>
      <c r="E11" s="66"/>
      <c r="F11" s="66"/>
      <c r="G11" s="66"/>
      <c r="H11" s="276"/>
    </row>
    <row r="12" spans="1:9">
      <c r="B12" s="187">
        <v>2016</v>
      </c>
      <c r="C12" s="66"/>
      <c r="D12" s="82">
        <v>11800977144.559999</v>
      </c>
      <c r="E12" s="66"/>
      <c r="F12" s="66"/>
      <c r="G12" s="66"/>
      <c r="H12" s="276"/>
    </row>
    <row r="13" spans="1:9">
      <c r="B13" s="187">
        <v>2017</v>
      </c>
      <c r="C13" s="66"/>
      <c r="D13" s="82">
        <v>12342418241.27</v>
      </c>
      <c r="E13" s="66"/>
      <c r="F13" s="66"/>
      <c r="G13" s="323"/>
      <c r="H13" s="276"/>
    </row>
    <row r="14" spans="1:9">
      <c r="B14" s="187">
        <v>2018</v>
      </c>
      <c r="C14" s="66"/>
      <c r="D14" s="82">
        <v>14112424787.530001</v>
      </c>
      <c r="E14" s="66"/>
      <c r="F14" s="66"/>
      <c r="G14" s="324"/>
      <c r="H14" s="276"/>
    </row>
    <row r="15" spans="1:9">
      <c r="B15" s="187">
        <v>2019</v>
      </c>
      <c r="C15" s="66"/>
      <c r="D15" s="82">
        <v>14172033140.65</v>
      </c>
      <c r="E15" s="66"/>
      <c r="F15" s="66"/>
      <c r="G15" s="325">
        <f>D15/D14-1</f>
        <v>4.223820783276766E-3</v>
      </c>
      <c r="H15" s="276"/>
    </row>
    <row r="16" spans="1:9" s="3" customFormat="1">
      <c r="B16" s="187" t="s">
        <v>590</v>
      </c>
      <c r="C16" s="66"/>
      <c r="D16" s="82">
        <v>14728931857.1</v>
      </c>
      <c r="E16" s="66"/>
      <c r="F16" s="66"/>
      <c r="G16" s="325"/>
      <c r="H16" s="276"/>
    </row>
    <row r="17" spans="2:8" s="3" customFormat="1">
      <c r="B17" s="187" t="s">
        <v>591</v>
      </c>
      <c r="C17" s="326"/>
      <c r="D17" s="82">
        <v>18548295256.189999</v>
      </c>
      <c r="E17" s="326"/>
      <c r="F17" s="326"/>
      <c r="G17" s="323"/>
      <c r="H17" s="276"/>
    </row>
    <row r="18" spans="2:8" s="3" customFormat="1">
      <c r="B18" s="187" t="s">
        <v>592</v>
      </c>
      <c r="C18" s="326"/>
      <c r="D18" s="82">
        <v>17671088854.060001</v>
      </c>
      <c r="E18" s="326"/>
      <c r="F18" s="326"/>
      <c r="G18" s="323"/>
      <c r="H18" s="276"/>
    </row>
    <row r="19" spans="2:8" s="3" customFormat="1">
      <c r="B19" s="187" t="s">
        <v>163</v>
      </c>
      <c r="C19" s="326"/>
      <c r="D19" s="82">
        <v>18597696234.419998</v>
      </c>
      <c r="E19" s="326"/>
      <c r="F19" s="326"/>
      <c r="G19" s="323"/>
      <c r="H19" s="276"/>
    </row>
    <row r="20" spans="2:8" s="3" customFormat="1">
      <c r="B20" s="187"/>
      <c r="C20" s="326"/>
      <c r="D20" s="82"/>
      <c r="E20" s="326"/>
      <c r="F20" s="326"/>
      <c r="G20" s="323"/>
      <c r="H20" s="276"/>
    </row>
    <row r="21" spans="2:8" s="3" customFormat="1">
      <c r="B21" s="328" t="s">
        <v>246</v>
      </c>
      <c r="C21" s="327"/>
      <c r="D21" s="230"/>
      <c r="E21" s="327"/>
      <c r="F21" s="327"/>
      <c r="G21" s="230"/>
      <c r="H21" s="276"/>
    </row>
    <row r="22" spans="2:8">
      <c r="B22" s="328" t="s">
        <v>858</v>
      </c>
      <c r="C22" s="327"/>
      <c r="D22" s="230"/>
      <c r="E22" s="327"/>
      <c r="F22" s="327"/>
      <c r="G22" s="230"/>
    </row>
    <row r="24" spans="2:8">
      <c r="B24" s="7" t="s">
        <v>830</v>
      </c>
    </row>
    <row r="25" spans="2:8">
      <c r="B25" s="7"/>
    </row>
  </sheetData>
  <hyperlinks>
    <hyperlink ref="A1" location="TOC!A1" display="Back" xr:uid="{8DB86CD9-AED3-448E-9DDF-9EFE41849A29}"/>
  </hyperlinks>
  <pageMargins left="0.5" right="0.5" top="0.4" bottom="0.8" header="0.25" footer="0.35"/>
  <pageSetup orientation="landscape" cellComments="asDisplayed" r:id="rId1"/>
  <headerFooter scaleWithDoc="0">
    <oddHeader>&amp;R&amp;P</oddHeader>
    <oddFooter>&amp;R&amp;G&amp;L© 2025 Virginia Department of Taxation, All Rights Reserved</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42A76-60E4-447C-A734-9306783B9A36}">
  <sheetPr codeName="Sheet21">
    <pageSetUpPr fitToPage="1"/>
  </sheetPr>
  <dimension ref="A1:N43"/>
  <sheetViews>
    <sheetView zoomScaleNormal="100" workbookViewId="0"/>
  </sheetViews>
  <sheetFormatPr defaultRowHeight="13"/>
  <cols>
    <col min="1" max="1" width="4.19921875" style="814" customWidth="1"/>
    <col min="2" max="2" width="10.69921875" customWidth="1"/>
    <col min="3" max="3" width="4.69921875" customWidth="1"/>
    <col min="4" max="4" width="8.69921875" customWidth="1"/>
    <col min="5" max="5" width="17.69921875" customWidth="1"/>
    <col min="6" max="6" width="15.69921875" customWidth="1"/>
    <col min="7" max="9" width="16.69921875" customWidth="1"/>
    <col min="10" max="10" width="17.69921875" customWidth="1"/>
    <col min="11" max="11" width="16.69921875" customWidth="1"/>
    <col min="12" max="12" width="10.69921875" customWidth="1"/>
    <col min="13" max="13" width="1.69921875" customWidth="1"/>
    <col min="14" max="14" width="5.19921875" customWidth="1"/>
  </cols>
  <sheetData>
    <row r="1" spans="1:14" ht="15.5">
      <c r="A1" s="813" t="s">
        <v>42</v>
      </c>
      <c r="B1" s="292" t="s">
        <v>838</v>
      </c>
      <c r="C1" s="280"/>
      <c r="D1" s="280"/>
      <c r="E1" s="279"/>
      <c r="F1" s="283"/>
      <c r="G1" s="279"/>
      <c r="H1" s="279"/>
      <c r="I1" s="279"/>
      <c r="J1" s="279"/>
      <c r="K1" s="277"/>
      <c r="L1" s="277"/>
      <c r="N1" s="8"/>
    </row>
    <row r="2" spans="1:14">
      <c r="B2" s="280" t="s">
        <v>839</v>
      </c>
      <c r="C2" s="280"/>
      <c r="D2" s="280"/>
      <c r="E2" s="280"/>
      <c r="F2" s="280"/>
      <c r="G2" s="280"/>
      <c r="H2" s="280"/>
      <c r="I2" s="280"/>
      <c r="J2" s="280"/>
      <c r="K2" s="280"/>
      <c r="L2" s="280"/>
    </row>
    <row r="3" spans="1:14">
      <c r="B3" s="280" t="s">
        <v>1228</v>
      </c>
      <c r="C3" s="280"/>
      <c r="D3" s="280"/>
      <c r="E3" s="279"/>
      <c r="F3" s="283"/>
      <c r="G3" s="279"/>
      <c r="H3" s="279"/>
      <c r="I3" s="279"/>
      <c r="J3" s="279"/>
      <c r="K3" s="277"/>
      <c r="L3" s="277"/>
    </row>
    <row r="4" spans="1:14" ht="13.5" thickBot="1">
      <c r="B4" s="281"/>
      <c r="C4" s="301"/>
      <c r="D4" s="295"/>
      <c r="E4" s="301"/>
      <c r="F4" s="301"/>
      <c r="G4" s="301"/>
      <c r="H4" s="301"/>
      <c r="I4" s="301"/>
      <c r="J4" s="301"/>
      <c r="K4" s="301"/>
      <c r="L4" s="301"/>
    </row>
    <row r="5" spans="1:14" ht="39">
      <c r="B5" s="302" t="s">
        <v>840</v>
      </c>
      <c r="C5" s="302"/>
      <c r="D5" s="303"/>
      <c r="E5" s="304" t="s">
        <v>815</v>
      </c>
      <c r="F5" s="304" t="s">
        <v>841</v>
      </c>
      <c r="G5" s="304" t="s">
        <v>842</v>
      </c>
      <c r="H5" s="304" t="s">
        <v>843</v>
      </c>
      <c r="I5" s="304" t="s">
        <v>844</v>
      </c>
      <c r="J5" s="304" t="s">
        <v>845</v>
      </c>
      <c r="K5" s="304" t="s">
        <v>846</v>
      </c>
      <c r="L5" s="304" t="s">
        <v>854</v>
      </c>
    </row>
    <row r="6" spans="1:14">
      <c r="B6" s="305">
        <v>0</v>
      </c>
      <c r="C6" s="277" t="s">
        <v>827</v>
      </c>
      <c r="D6" s="282">
        <v>999</v>
      </c>
      <c r="E6" s="306">
        <v>24586712.370000001</v>
      </c>
      <c r="F6" s="306">
        <v>309869015.54000002</v>
      </c>
      <c r="G6" s="306">
        <v>10813370737.809999</v>
      </c>
      <c r="H6" s="306">
        <v>1205631763.8</v>
      </c>
      <c r="I6" s="306">
        <v>12019002501.610001</v>
      </c>
      <c r="J6" s="306">
        <v>4750295.59</v>
      </c>
      <c r="K6" s="306">
        <v>95110.75</v>
      </c>
      <c r="L6" s="307">
        <f>K6/J6</f>
        <v>2.0022069826606308E-2</v>
      </c>
    </row>
    <row r="7" spans="1:14">
      <c r="B7" s="305">
        <v>1000</v>
      </c>
      <c r="C7" s="277" t="s">
        <v>827</v>
      </c>
      <c r="D7" s="282">
        <v>1999</v>
      </c>
      <c r="E7" s="285">
        <v>66945100.950000003</v>
      </c>
      <c r="F7" s="285">
        <v>61348687.560000002</v>
      </c>
      <c r="G7" s="285">
        <v>128772198.93000001</v>
      </c>
      <c r="H7" s="285">
        <v>289173889</v>
      </c>
      <c r="I7" s="285">
        <v>417946087.93000001</v>
      </c>
      <c r="J7" s="285">
        <v>12057240.91</v>
      </c>
      <c r="K7" s="285">
        <v>241239.15</v>
      </c>
      <c r="L7" s="308">
        <f t="shared" ref="L7:L29" si="0">K7/J7</f>
        <v>2.000782366386341E-2</v>
      </c>
    </row>
    <row r="8" spans="1:14">
      <c r="B8" s="305">
        <v>2000</v>
      </c>
      <c r="C8" s="277" t="s">
        <v>827</v>
      </c>
      <c r="D8" s="282">
        <v>2999</v>
      </c>
      <c r="E8" s="285">
        <v>111461303.62</v>
      </c>
      <c r="F8" s="285">
        <v>59971461.200000003</v>
      </c>
      <c r="G8" s="285">
        <v>127995826.48999999</v>
      </c>
      <c r="H8" s="285">
        <v>287752798.60000002</v>
      </c>
      <c r="I8" s="285">
        <v>415748625.08999997</v>
      </c>
      <c r="J8" s="285">
        <v>16454598</v>
      </c>
      <c r="K8" s="285">
        <v>329186.03000000003</v>
      </c>
      <c r="L8" s="308">
        <f t="shared" si="0"/>
        <v>2.0005716943069653E-2</v>
      </c>
    </row>
    <row r="9" spans="1:14">
      <c r="B9" s="305">
        <v>3000</v>
      </c>
      <c r="C9" s="277" t="s">
        <v>827</v>
      </c>
      <c r="D9" s="282">
        <v>3999</v>
      </c>
      <c r="E9" s="285">
        <v>152763329.97</v>
      </c>
      <c r="F9" s="285">
        <v>58308240.829999998</v>
      </c>
      <c r="G9" s="285">
        <v>117983884.92</v>
      </c>
      <c r="H9" s="285">
        <v>288486298.39999998</v>
      </c>
      <c r="I9" s="285">
        <v>406470183.31999999</v>
      </c>
      <c r="J9" s="285">
        <v>19232838.800000001</v>
      </c>
      <c r="K9" s="285">
        <v>395060.86</v>
      </c>
      <c r="L9" s="308">
        <f t="shared" si="0"/>
        <v>2.0540954151812469E-2</v>
      </c>
    </row>
    <row r="10" spans="1:14">
      <c r="B10" s="305">
        <v>4000</v>
      </c>
      <c r="C10" s="277" t="s">
        <v>827</v>
      </c>
      <c r="D10" s="282">
        <v>4999</v>
      </c>
      <c r="E10" s="285">
        <v>196105197.22</v>
      </c>
      <c r="F10" s="285">
        <v>58064745.590000004</v>
      </c>
      <c r="G10" s="285">
        <v>112988199.43000001</v>
      </c>
      <c r="H10" s="285">
        <v>299876894.39999998</v>
      </c>
      <c r="I10" s="285">
        <v>412865093.82999998</v>
      </c>
      <c r="J10" s="285">
        <v>21765035.52</v>
      </c>
      <c r="K10" s="285">
        <v>481114.38</v>
      </c>
      <c r="L10" s="308">
        <f t="shared" si="0"/>
        <v>2.2104920506925044E-2</v>
      </c>
    </row>
    <row r="11" spans="1:14">
      <c r="B11" s="305">
        <v>5000</v>
      </c>
      <c r="C11" s="277" t="s">
        <v>827</v>
      </c>
      <c r="D11" s="282">
        <v>5999</v>
      </c>
      <c r="E11" s="285">
        <v>236211290.94999999</v>
      </c>
      <c r="F11" s="285">
        <v>58021021.350000001</v>
      </c>
      <c r="G11" s="285">
        <v>90290350.219999999</v>
      </c>
      <c r="H11" s="285">
        <v>313992778.39999998</v>
      </c>
      <c r="I11" s="285">
        <v>404283128.62</v>
      </c>
      <c r="J11" s="285">
        <v>23560874.09</v>
      </c>
      <c r="K11" s="285">
        <v>561364.63</v>
      </c>
      <c r="L11" s="308">
        <f t="shared" si="0"/>
        <v>2.3826137682992899E-2</v>
      </c>
    </row>
    <row r="12" spans="1:14">
      <c r="B12" s="305">
        <v>6000</v>
      </c>
      <c r="C12" s="277" t="s">
        <v>827</v>
      </c>
      <c r="D12" s="282">
        <v>6999</v>
      </c>
      <c r="E12" s="285">
        <v>282136561.48000002</v>
      </c>
      <c r="F12" s="285">
        <v>58840674.909999996</v>
      </c>
      <c r="G12" s="285">
        <v>94797292.719999999</v>
      </c>
      <c r="H12" s="285">
        <v>329943485.39999998</v>
      </c>
      <c r="I12" s="285">
        <v>424740778.12</v>
      </c>
      <c r="J12" s="285">
        <v>25427162.57</v>
      </c>
      <c r="K12" s="285">
        <v>675363.26</v>
      </c>
      <c r="L12" s="308">
        <f t="shared" si="0"/>
        <v>2.6560700909539197E-2</v>
      </c>
    </row>
    <row r="13" spans="1:14">
      <c r="B13" s="305">
        <v>7000</v>
      </c>
      <c r="C13" s="277" t="s">
        <v>827</v>
      </c>
      <c r="D13" s="282">
        <v>7999</v>
      </c>
      <c r="E13" s="285">
        <v>316983591.56999999</v>
      </c>
      <c r="F13" s="285">
        <v>57682316.810000002</v>
      </c>
      <c r="G13" s="285">
        <v>82201491.939999998</v>
      </c>
      <c r="H13" s="285">
        <v>333294868.60000002</v>
      </c>
      <c r="I13" s="285">
        <v>415496360.54000002</v>
      </c>
      <c r="J13" s="285">
        <v>26076111.48</v>
      </c>
      <c r="K13" s="285">
        <v>759586.01</v>
      </c>
      <c r="L13" s="308">
        <f>K13/J13</f>
        <v>2.9129573655281828E-2</v>
      </c>
    </row>
    <row r="14" spans="1:14">
      <c r="B14" s="305">
        <v>8000</v>
      </c>
      <c r="C14" s="277" t="s">
        <v>827</v>
      </c>
      <c r="D14" s="282">
        <v>8999</v>
      </c>
      <c r="E14" s="285">
        <v>357647430.54000002</v>
      </c>
      <c r="F14" s="285">
        <v>58323448.920000002</v>
      </c>
      <c r="G14" s="285">
        <v>130393863.47</v>
      </c>
      <c r="H14" s="285">
        <v>340011343</v>
      </c>
      <c r="I14" s="285">
        <v>470405206.47000003</v>
      </c>
      <c r="J14" s="285">
        <v>26800605.550000001</v>
      </c>
      <c r="K14" s="285">
        <v>836434.63</v>
      </c>
      <c r="L14" s="308">
        <f t="shared" si="0"/>
        <v>3.1209542203795466E-2</v>
      </c>
    </row>
    <row r="15" spans="1:14">
      <c r="B15" s="305">
        <v>9000</v>
      </c>
      <c r="C15" s="277" t="s">
        <v>827</v>
      </c>
      <c r="D15" s="282">
        <v>9999</v>
      </c>
      <c r="E15" s="285">
        <v>404505724.73000002</v>
      </c>
      <c r="F15" s="285">
        <v>59235491.369999997</v>
      </c>
      <c r="G15" s="285">
        <v>80198582.530000001</v>
      </c>
      <c r="H15" s="285">
        <v>344553101</v>
      </c>
      <c r="I15" s="285">
        <v>424751683.52999997</v>
      </c>
      <c r="J15" s="285">
        <v>27332590.41</v>
      </c>
      <c r="K15" s="285">
        <v>903502.95</v>
      </c>
      <c r="L15" s="308">
        <f t="shared" si="0"/>
        <v>3.3055884438579999E-2</v>
      </c>
    </row>
    <row r="16" spans="1:14">
      <c r="B16" s="305">
        <v>10000</v>
      </c>
      <c r="C16" s="277" t="s">
        <v>827</v>
      </c>
      <c r="D16" s="282">
        <v>10999</v>
      </c>
      <c r="E16" s="285">
        <v>443972661.60000002</v>
      </c>
      <c r="F16" s="285">
        <v>59957268.289999999</v>
      </c>
      <c r="G16" s="285">
        <v>95295348.319999993</v>
      </c>
      <c r="H16" s="285">
        <v>343954812</v>
      </c>
      <c r="I16" s="285">
        <v>439250160.31999999</v>
      </c>
      <c r="J16" s="285">
        <v>28392855.75</v>
      </c>
      <c r="K16" s="285">
        <v>978353.75</v>
      </c>
      <c r="L16" s="308">
        <f t="shared" si="0"/>
        <v>3.4457743828744669E-2</v>
      </c>
    </row>
    <row r="17" spans="1:12">
      <c r="B17" s="305">
        <v>11000</v>
      </c>
      <c r="C17" s="277" t="s">
        <v>827</v>
      </c>
      <c r="D17" s="282">
        <v>11999</v>
      </c>
      <c r="E17" s="285">
        <v>509546204.08999997</v>
      </c>
      <c r="F17" s="285">
        <v>65318993.049999997</v>
      </c>
      <c r="G17" s="285">
        <v>95475029.079999998</v>
      </c>
      <c r="H17" s="285">
        <v>363988937.60000002</v>
      </c>
      <c r="I17" s="285">
        <v>459463966.68000001</v>
      </c>
      <c r="J17" s="285">
        <v>34417200.369999997</v>
      </c>
      <c r="K17" s="285">
        <v>1165715.98</v>
      </c>
      <c r="L17" s="308">
        <f t="shared" si="0"/>
        <v>3.3870156999059833E-2</v>
      </c>
    </row>
    <row r="18" spans="1:12">
      <c r="B18" s="305">
        <v>12000</v>
      </c>
      <c r="C18" s="277" t="s">
        <v>827</v>
      </c>
      <c r="D18" s="282">
        <v>12999</v>
      </c>
      <c r="E18" s="285">
        <v>565788682.42999899</v>
      </c>
      <c r="F18" s="285">
        <v>67785838.540000007</v>
      </c>
      <c r="G18" s="285">
        <v>71092079.670000002</v>
      </c>
      <c r="H18" s="285">
        <v>374419941.80000001</v>
      </c>
      <c r="I18" s="285">
        <v>445512021.47000003</v>
      </c>
      <c r="J18" s="285">
        <v>145895029.27000001</v>
      </c>
      <c r="K18" s="285">
        <v>3852103.6</v>
      </c>
      <c r="L18" s="308">
        <f t="shared" si="0"/>
        <v>2.6403254581560287E-2</v>
      </c>
    </row>
    <row r="19" spans="1:12">
      <c r="B19" s="305">
        <v>13000</v>
      </c>
      <c r="C19" s="277" t="s">
        <v>827</v>
      </c>
      <c r="D19" s="282">
        <v>13999</v>
      </c>
      <c r="E19" s="285">
        <v>593302723.50000095</v>
      </c>
      <c r="F19" s="285">
        <v>66307116.979999997</v>
      </c>
      <c r="G19" s="285">
        <v>72001933.349999994</v>
      </c>
      <c r="H19" s="285">
        <v>365420439.19999999</v>
      </c>
      <c r="I19" s="285">
        <v>437422372.55000001</v>
      </c>
      <c r="J19" s="285">
        <v>171591396.58000001</v>
      </c>
      <c r="K19" s="285">
        <v>4682725.8</v>
      </c>
      <c r="L19" s="308">
        <f t="shared" si="0"/>
        <v>2.7289980111659042E-2</v>
      </c>
    </row>
    <row r="20" spans="1:12">
      <c r="B20" s="305">
        <v>14000</v>
      </c>
      <c r="C20" s="277" t="s">
        <v>827</v>
      </c>
      <c r="D20" s="282">
        <v>14999</v>
      </c>
      <c r="E20" s="285">
        <v>619030675.69000006</v>
      </c>
      <c r="F20" s="285">
        <v>65440731.969999999</v>
      </c>
      <c r="G20" s="285">
        <v>103717127.55</v>
      </c>
      <c r="H20" s="285">
        <v>356460809.60000002</v>
      </c>
      <c r="I20" s="285">
        <v>460177937.14999998</v>
      </c>
      <c r="J20" s="285">
        <v>194324916.52000001</v>
      </c>
      <c r="K20" s="285">
        <v>5678585.8499999996</v>
      </c>
      <c r="L20" s="308">
        <f t="shared" si="0"/>
        <v>2.9222119076096745E-2</v>
      </c>
    </row>
    <row r="21" spans="1:12" s="3" customFormat="1">
      <c r="A21" s="815"/>
      <c r="B21" s="305">
        <v>15000</v>
      </c>
      <c r="C21" s="277" t="s">
        <v>827</v>
      </c>
      <c r="D21" s="282">
        <v>19999</v>
      </c>
      <c r="E21" s="285">
        <v>3632822645.8800001</v>
      </c>
      <c r="F21" s="285">
        <v>346970953.29000002</v>
      </c>
      <c r="G21" s="285">
        <v>1306700345.1900001</v>
      </c>
      <c r="H21" s="285">
        <v>1766424161.8</v>
      </c>
      <c r="I21" s="285">
        <v>3073124506.9899998</v>
      </c>
      <c r="J21" s="285">
        <v>1326825785.99</v>
      </c>
      <c r="K21" s="285">
        <v>46686715.490000002</v>
      </c>
      <c r="L21" s="308">
        <f>K21/J21</f>
        <v>3.518677130258295E-2</v>
      </c>
    </row>
    <row r="22" spans="1:12" s="3" customFormat="1">
      <c r="A22" s="815"/>
      <c r="B22" s="305">
        <v>20000</v>
      </c>
      <c r="C22" s="277" t="s">
        <v>827</v>
      </c>
      <c r="D22" s="282">
        <v>24999</v>
      </c>
      <c r="E22" s="285">
        <v>4420732650.0600004</v>
      </c>
      <c r="F22" s="285">
        <v>335335245.48000002</v>
      </c>
      <c r="G22" s="285">
        <v>369081155.56999999</v>
      </c>
      <c r="H22" s="285">
        <v>1701046215.5999999</v>
      </c>
      <c r="I22" s="285">
        <v>2070127371.1700001</v>
      </c>
      <c r="J22" s="285">
        <v>1924628353.4000001</v>
      </c>
      <c r="K22" s="285">
        <v>77502202.780000001</v>
      </c>
      <c r="L22" s="308">
        <f t="shared" si="0"/>
        <v>4.0268658955941575E-2</v>
      </c>
    </row>
    <row r="23" spans="1:12" s="3" customFormat="1">
      <c r="A23" s="815"/>
      <c r="B23" s="305">
        <v>25000</v>
      </c>
      <c r="C23" s="277" t="s">
        <v>827</v>
      </c>
      <c r="D23" s="282">
        <v>29999</v>
      </c>
      <c r="E23" s="285">
        <v>5393773657.4799995</v>
      </c>
      <c r="F23" s="285">
        <v>335110028.88</v>
      </c>
      <c r="G23" s="285">
        <v>554090824.29999995</v>
      </c>
      <c r="H23" s="285">
        <v>1712944701.2</v>
      </c>
      <c r="I23" s="285">
        <v>2267035525.5</v>
      </c>
      <c r="J23" s="285">
        <v>2822723732.7800002</v>
      </c>
      <c r="K23" s="285">
        <v>119872013.90000001</v>
      </c>
      <c r="L23" s="308">
        <f>K23/J23</f>
        <v>4.2466789260294464E-2</v>
      </c>
    </row>
    <row r="24" spans="1:12" s="3" customFormat="1">
      <c r="A24" s="815"/>
      <c r="B24" s="305">
        <v>30000</v>
      </c>
      <c r="C24" s="277" t="s">
        <v>827</v>
      </c>
      <c r="D24" s="282">
        <v>34999</v>
      </c>
      <c r="E24" s="285">
        <v>6416699620.2600002</v>
      </c>
      <c r="F24" s="285">
        <v>338817374.07999998</v>
      </c>
      <c r="G24" s="285">
        <v>958957797.30999994</v>
      </c>
      <c r="H24" s="285">
        <v>1732916901</v>
      </c>
      <c r="I24" s="285">
        <v>2691874698.3099999</v>
      </c>
      <c r="J24" s="285">
        <v>3720808379.1799998</v>
      </c>
      <c r="K24" s="285">
        <v>168932303.37</v>
      </c>
      <c r="L24" s="308">
        <f t="shared" si="0"/>
        <v>4.5402043361133716E-2</v>
      </c>
    </row>
    <row r="25" spans="1:12" s="3" customFormat="1">
      <c r="A25" s="815"/>
      <c r="B25" s="305">
        <v>35000</v>
      </c>
      <c r="C25" s="277" t="s">
        <v>827</v>
      </c>
      <c r="D25" s="282">
        <v>39999</v>
      </c>
      <c r="E25" s="285">
        <v>7005294685.7100096</v>
      </c>
      <c r="F25" s="285">
        <v>326387927.97000003</v>
      </c>
      <c r="G25" s="285">
        <v>383163995.85000002</v>
      </c>
      <c r="H25" s="285">
        <v>1650957123.2</v>
      </c>
      <c r="I25" s="285">
        <v>2034121119.05</v>
      </c>
      <c r="J25" s="285">
        <v>4333605442.3000002</v>
      </c>
      <c r="K25" s="285">
        <v>204620559.99000001</v>
      </c>
      <c r="L25" s="308">
        <f t="shared" si="0"/>
        <v>4.7217164256052005E-2</v>
      </c>
    </row>
    <row r="26" spans="1:12" s="3" customFormat="1">
      <c r="A26" s="815"/>
      <c r="B26" s="305">
        <v>40000</v>
      </c>
      <c r="C26" s="277" t="s">
        <v>827</v>
      </c>
      <c r="D26" s="282">
        <v>44999</v>
      </c>
      <c r="E26" s="285">
        <v>7257375445.1299896</v>
      </c>
      <c r="F26" s="285">
        <v>302628225.47000003</v>
      </c>
      <c r="G26" s="285">
        <v>447454590.49000001</v>
      </c>
      <c r="H26" s="285">
        <v>1527279700</v>
      </c>
      <c r="I26" s="285">
        <v>1974734290.49</v>
      </c>
      <c r="J26" s="285">
        <v>4688823648.3100004</v>
      </c>
      <c r="K26" s="285">
        <v>227991330.91999999</v>
      </c>
      <c r="L26" s="308">
        <f t="shared" si="0"/>
        <v>4.8624420114877907E-2</v>
      </c>
    </row>
    <row r="27" spans="1:12" s="3" customFormat="1">
      <c r="A27" s="815"/>
      <c r="B27" s="305">
        <v>45000</v>
      </c>
      <c r="C27" s="277" t="s">
        <v>827</v>
      </c>
      <c r="D27" s="282">
        <v>49999</v>
      </c>
      <c r="E27" s="285">
        <v>7334092403.2600002</v>
      </c>
      <c r="F27" s="285">
        <v>275281257.58999997</v>
      </c>
      <c r="G27" s="285">
        <v>409224654.16000003</v>
      </c>
      <c r="H27" s="285">
        <v>1389720390.4000001</v>
      </c>
      <c r="I27" s="285">
        <v>1798945044.5599999</v>
      </c>
      <c r="J27" s="285">
        <v>4918500452.7200003</v>
      </c>
      <c r="K27" s="285">
        <v>243841284.37</v>
      </c>
      <c r="L27" s="308">
        <f t="shared" si="0"/>
        <v>4.9576346838628903E-2</v>
      </c>
    </row>
    <row r="28" spans="1:12" s="3" customFormat="1">
      <c r="A28" s="815"/>
      <c r="B28" s="305">
        <v>50000</v>
      </c>
      <c r="C28" s="277" t="s">
        <v>827</v>
      </c>
      <c r="D28" s="282">
        <v>74999</v>
      </c>
      <c r="E28" s="285">
        <v>36160103648.449997</v>
      </c>
      <c r="F28" s="285">
        <v>1083852582.45</v>
      </c>
      <c r="G28" s="285">
        <v>2102438844.24</v>
      </c>
      <c r="H28" s="285">
        <v>5422586897.4000101</v>
      </c>
      <c r="I28" s="285">
        <v>7525025741.6400099</v>
      </c>
      <c r="J28" s="285">
        <v>26632552734.02</v>
      </c>
      <c r="K28" s="285">
        <v>1365588376.0599999</v>
      </c>
      <c r="L28" s="308">
        <f t="shared" si="0"/>
        <v>5.1275159001773755E-2</v>
      </c>
    </row>
    <row r="29" spans="1:12" s="3" customFormat="1">
      <c r="A29" s="815"/>
      <c r="B29" s="305">
        <v>75000</v>
      </c>
      <c r="C29" s="277" t="s">
        <v>827</v>
      </c>
      <c r="D29" s="282">
        <v>99999</v>
      </c>
      <c r="E29" s="285">
        <v>33015566954.939999</v>
      </c>
      <c r="F29" s="285">
        <v>784717780.87</v>
      </c>
      <c r="G29" s="285">
        <v>3473289060.0900002</v>
      </c>
      <c r="H29" s="285">
        <v>3738240424.8000002</v>
      </c>
      <c r="I29" s="285">
        <v>7211529484.8900003</v>
      </c>
      <c r="J29" s="285">
        <v>26419340962.049999</v>
      </c>
      <c r="K29" s="285">
        <v>1394560486.6800001</v>
      </c>
      <c r="L29" s="308">
        <f t="shared" si="0"/>
        <v>5.2785589492304642E-2</v>
      </c>
    </row>
    <row r="30" spans="1:12" s="3" customFormat="1">
      <c r="A30" s="815"/>
      <c r="B30" s="309">
        <v>100000</v>
      </c>
      <c r="C30" s="287" t="s">
        <v>825</v>
      </c>
      <c r="D30" s="310" t="s">
        <v>828</v>
      </c>
      <c r="E30" s="288">
        <v>293696648280.60999</v>
      </c>
      <c r="F30" s="288">
        <v>2930254544.8200002</v>
      </c>
      <c r="G30" s="288">
        <v>24095249925.779999</v>
      </c>
      <c r="H30" s="288">
        <v>11053731828</v>
      </c>
      <c r="I30" s="288">
        <v>35148981753.779999</v>
      </c>
      <c r="J30" s="288">
        <v>264152892943.28</v>
      </c>
      <c r="K30" s="288">
        <v>14726465513.23</v>
      </c>
      <c r="L30" s="311">
        <f>K30/J30</f>
        <v>5.5749779414273261E-2</v>
      </c>
    </row>
    <row r="31" spans="1:12" s="3" customFormat="1">
      <c r="A31" s="815"/>
      <c r="B31" s="289" t="s">
        <v>547</v>
      </c>
      <c r="C31" s="289"/>
      <c r="D31" s="289"/>
      <c r="E31" s="312">
        <f>SUM(E6:E30)</f>
        <v>409214097182.48999</v>
      </c>
      <c r="F31" s="312">
        <f t="shared" ref="F31:K31" si="1">SUM(F6:F30)</f>
        <v>8223830973.8099995</v>
      </c>
      <c r="G31" s="312">
        <f t="shared" si="1"/>
        <v>46316225139.409996</v>
      </c>
      <c r="H31" s="312">
        <f t="shared" si="1"/>
        <v>37532810504.200012</v>
      </c>
      <c r="I31" s="312">
        <f>SUM(I6:I30)</f>
        <v>83849035643.610016</v>
      </c>
      <c r="J31" s="312">
        <f t="shared" si="1"/>
        <v>341718781185.44</v>
      </c>
      <c r="K31" s="312">
        <f t="shared" si="1"/>
        <v>18597696234.419998</v>
      </c>
      <c r="L31" s="313">
        <f>K31/J31</f>
        <v>5.4423980355728867E-2</v>
      </c>
    </row>
    <row r="32" spans="1:12" s="3" customFormat="1">
      <c r="A32" s="815"/>
      <c r="B32" s="281"/>
      <c r="C32" s="281"/>
      <c r="D32" s="281"/>
      <c r="E32" s="314"/>
      <c r="F32" s="281"/>
      <c r="G32" s="281"/>
      <c r="H32" s="281"/>
      <c r="I32" s="281"/>
      <c r="J32" s="281"/>
      <c r="K32" s="281"/>
      <c r="L32" s="315"/>
    </row>
    <row r="33" spans="1:12" s="3" customFormat="1">
      <c r="A33" s="815"/>
      <c r="B33" s="316" t="s">
        <v>24</v>
      </c>
      <c r="C33" s="295"/>
      <c r="D33" s="317"/>
      <c r="E33" s="318"/>
      <c r="F33" s="318"/>
      <c r="G33" s="318"/>
      <c r="H33" s="318"/>
      <c r="I33" s="319"/>
      <c r="J33" s="318"/>
      <c r="K33" s="320"/>
      <c r="L33" s="321"/>
    </row>
    <row r="34" spans="1:12" s="3" customFormat="1">
      <c r="A34" s="815"/>
      <c r="B34" s="316" t="s">
        <v>847</v>
      </c>
      <c r="C34" s="279"/>
      <c r="D34" s="283"/>
      <c r="E34" s="279"/>
      <c r="F34" s="279"/>
      <c r="G34" s="279"/>
      <c r="H34" s="279"/>
      <c r="I34" s="277"/>
      <c r="J34" s="279"/>
      <c r="K34" s="279"/>
      <c r="L34" s="277"/>
    </row>
    <row r="35" spans="1:12" s="3" customFormat="1">
      <c r="A35" s="815"/>
      <c r="B35" s="322" t="s">
        <v>848</v>
      </c>
      <c r="C35" s="279"/>
      <c r="D35" s="283"/>
      <c r="E35" s="279"/>
      <c r="F35" s="279"/>
      <c r="G35" s="279"/>
      <c r="H35" s="279"/>
      <c r="I35" s="277"/>
      <c r="J35" s="279"/>
      <c r="K35" s="279"/>
      <c r="L35" s="277"/>
    </row>
    <row r="36" spans="1:12" s="3" customFormat="1">
      <c r="A36" s="815"/>
      <c r="B36" s="322" t="s">
        <v>849</v>
      </c>
      <c r="C36" s="279"/>
      <c r="D36" s="283"/>
      <c r="E36" s="279"/>
      <c r="F36" s="279"/>
      <c r="G36" s="279"/>
      <c r="H36" s="279"/>
      <c r="I36" s="277"/>
      <c r="J36" s="279"/>
      <c r="K36" s="279"/>
      <c r="L36" s="277"/>
    </row>
    <row r="37" spans="1:12" s="3" customFormat="1">
      <c r="A37" s="815"/>
      <c r="B37" s="316" t="s">
        <v>850</v>
      </c>
      <c r="C37" s="279"/>
      <c r="D37" s="279"/>
      <c r="E37" s="279"/>
      <c r="F37" s="279"/>
      <c r="G37" s="295"/>
      <c r="H37" s="279"/>
      <c r="I37" s="279"/>
      <c r="J37" s="279"/>
      <c r="K37" s="279"/>
      <c r="L37" s="277"/>
    </row>
    <row r="38" spans="1:12" s="3" customFormat="1">
      <c r="A38" s="815"/>
      <c r="B38" s="316" t="s">
        <v>851</v>
      </c>
      <c r="C38" s="301"/>
      <c r="D38" s="301"/>
      <c r="E38" s="301"/>
      <c r="F38" s="301"/>
      <c r="G38" s="301"/>
      <c r="H38" s="301"/>
      <c r="I38" s="301"/>
      <c r="J38" s="301"/>
      <c r="K38" s="301"/>
      <c r="L38" s="301"/>
    </row>
    <row r="39" spans="1:12" s="3" customFormat="1">
      <c r="A39" s="815"/>
      <c r="B39" s="316" t="s">
        <v>852</v>
      </c>
      <c r="C39" s="281"/>
      <c r="D39" s="281"/>
      <c r="E39" s="281"/>
      <c r="F39" s="281"/>
      <c r="G39" s="281"/>
      <c r="H39" s="281"/>
      <c r="I39" s="281"/>
      <c r="J39" s="281"/>
      <c r="K39" s="281"/>
      <c r="L39" s="315"/>
    </row>
    <row r="40" spans="1:12">
      <c r="B40" s="316" t="s">
        <v>853</v>
      </c>
      <c r="C40" s="281"/>
      <c r="D40" s="281"/>
      <c r="E40" s="281"/>
      <c r="F40" s="281"/>
      <c r="G40" s="281"/>
      <c r="H40" s="281"/>
      <c r="I40" s="281"/>
      <c r="J40" s="281"/>
      <c r="K40" s="281"/>
      <c r="L40" s="315"/>
    </row>
    <row r="42" spans="1:12">
      <c r="B42" s="7" t="s">
        <v>830</v>
      </c>
    </row>
    <row r="43" spans="1:12">
      <c r="B43" s="7"/>
    </row>
  </sheetData>
  <hyperlinks>
    <hyperlink ref="A1" location="TOC!A1" display="Back" xr:uid="{1E3B8BB0-ADA7-4B5A-892C-02305B4FD578}"/>
  </hyperlinks>
  <pageMargins left="0.5" right="0.5" top="0.4" bottom="0.8" header="0.25" footer="0.35"/>
  <pageSetup scale="93" orientation="landscape" cellComments="asDisplayed" r:id="rId1"/>
  <headerFooter scaleWithDoc="0">
    <oddHeader>&amp;R&amp;P</oddHeader>
    <oddFooter>&amp;R&amp;G&amp;L© 2025 Virginia Department of Taxation, All Rights Reserved</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92121-4BB0-42D7-AABB-2F320CAE60CA}">
  <sheetPr codeName="Sheet20">
    <pageSetUpPr fitToPage="1"/>
  </sheetPr>
  <dimension ref="A1:L36"/>
  <sheetViews>
    <sheetView zoomScaleNormal="100" workbookViewId="0"/>
  </sheetViews>
  <sheetFormatPr defaultRowHeight="13"/>
  <cols>
    <col min="1" max="1" width="4.19921875" style="814" customWidth="1"/>
    <col min="2" max="2" width="10.69921875" customWidth="1"/>
    <col min="3" max="3" width="4.69921875" customWidth="1"/>
    <col min="4" max="4" width="8.69921875" customWidth="1"/>
    <col min="5" max="5" width="10.69921875" customWidth="1"/>
    <col min="6" max="6" width="11.69921875" customWidth="1"/>
    <col min="7" max="7" width="15.19921875" customWidth="1"/>
    <col min="8" max="8" width="13.296875" customWidth="1"/>
    <col min="9" max="9" width="60.69921875" customWidth="1"/>
    <col min="10" max="10" width="10.69921875" customWidth="1"/>
    <col min="11" max="11" width="1.69921875" customWidth="1"/>
    <col min="12" max="12" width="5.19921875" customWidth="1"/>
  </cols>
  <sheetData>
    <row r="1" spans="1:12" ht="15.5">
      <c r="A1" s="813" t="s">
        <v>42</v>
      </c>
      <c r="B1" s="291" t="s">
        <v>831</v>
      </c>
      <c r="C1" s="295"/>
      <c r="D1" s="295"/>
      <c r="E1" s="281"/>
      <c r="F1" s="281"/>
      <c r="G1" s="281"/>
      <c r="H1" s="281"/>
      <c r="I1" s="281"/>
      <c r="J1" s="276"/>
      <c r="K1" s="276"/>
      <c r="L1" s="8"/>
    </row>
    <row r="2" spans="1:12">
      <c r="B2" s="295" t="s">
        <v>832</v>
      </c>
      <c r="C2" s="295"/>
      <c r="D2" s="295"/>
      <c r="E2" s="281"/>
      <c r="F2" s="281"/>
      <c r="G2" s="281"/>
      <c r="H2" s="281"/>
      <c r="I2" s="281"/>
      <c r="J2" s="276"/>
      <c r="K2" s="276"/>
    </row>
    <row r="3" spans="1:12">
      <c r="B3" s="280" t="s">
        <v>1228</v>
      </c>
      <c r="C3" s="295"/>
      <c r="D3" s="295"/>
      <c r="E3" s="281"/>
      <c r="F3" s="281"/>
      <c r="G3" s="281"/>
      <c r="H3" s="281"/>
      <c r="I3" s="281"/>
      <c r="J3" s="276"/>
      <c r="K3" s="276"/>
    </row>
    <row r="4" spans="1:12">
      <c r="B4" s="281"/>
      <c r="C4" s="281"/>
      <c r="D4" s="281"/>
      <c r="E4" s="281"/>
      <c r="F4" s="281"/>
      <c r="G4" s="281"/>
      <c r="H4" s="281"/>
      <c r="I4" s="281"/>
      <c r="J4" s="276"/>
      <c r="K4" s="276"/>
    </row>
    <row r="5" spans="1:12" ht="26">
      <c r="B5" s="296" t="s">
        <v>833</v>
      </c>
      <c r="C5" s="297"/>
      <c r="D5" s="297"/>
      <c r="E5" s="298" t="s">
        <v>834</v>
      </c>
      <c r="F5" s="298" t="s">
        <v>835</v>
      </c>
      <c r="G5" s="298" t="s">
        <v>836</v>
      </c>
      <c r="H5" s="298" t="s">
        <v>837</v>
      </c>
      <c r="I5" s="281"/>
      <c r="J5" s="276"/>
      <c r="K5" s="276"/>
    </row>
    <row r="6" spans="1:12">
      <c r="B6" s="282">
        <v>999</v>
      </c>
      <c r="C6" s="277" t="s">
        <v>825</v>
      </c>
      <c r="D6" s="283" t="s">
        <v>826</v>
      </c>
      <c r="E6" s="284">
        <v>104253</v>
      </c>
      <c r="F6" s="284">
        <v>56559</v>
      </c>
      <c r="G6" s="284">
        <v>15536</v>
      </c>
      <c r="H6" s="284">
        <v>176348</v>
      </c>
      <c r="I6" s="281"/>
      <c r="J6" s="276"/>
      <c r="K6" s="276"/>
    </row>
    <row r="7" spans="1:12">
      <c r="B7" s="282">
        <v>1000</v>
      </c>
      <c r="C7" s="277" t="s">
        <v>827</v>
      </c>
      <c r="D7" s="282">
        <v>1999</v>
      </c>
      <c r="E7" s="284">
        <v>35977</v>
      </c>
      <c r="F7" s="284">
        <v>6708</v>
      </c>
      <c r="G7" s="284">
        <v>2139</v>
      </c>
      <c r="H7" s="284">
        <v>44824</v>
      </c>
      <c r="I7" s="281"/>
      <c r="J7" s="276"/>
      <c r="K7" s="276"/>
    </row>
    <row r="8" spans="1:12">
      <c r="B8" s="282">
        <v>2000</v>
      </c>
      <c r="C8" s="277" t="s">
        <v>827</v>
      </c>
      <c r="D8" s="282">
        <v>2999</v>
      </c>
      <c r="E8" s="284">
        <v>36548</v>
      </c>
      <c r="F8" s="284">
        <v>6071</v>
      </c>
      <c r="G8" s="284">
        <v>2002</v>
      </c>
      <c r="H8" s="284">
        <v>44621</v>
      </c>
      <c r="I8" s="281"/>
      <c r="J8" s="276"/>
      <c r="K8" s="276"/>
    </row>
    <row r="9" spans="1:12">
      <c r="B9" s="282">
        <v>3000</v>
      </c>
      <c r="C9" s="277" t="s">
        <v>827</v>
      </c>
      <c r="D9" s="282">
        <v>3999</v>
      </c>
      <c r="E9" s="284">
        <v>36482</v>
      </c>
      <c r="F9" s="284">
        <v>5475</v>
      </c>
      <c r="G9" s="284">
        <v>1757</v>
      </c>
      <c r="H9" s="284">
        <v>43714</v>
      </c>
      <c r="I9" s="281"/>
      <c r="J9" s="276"/>
      <c r="K9" s="276"/>
    </row>
    <row r="10" spans="1:12">
      <c r="B10" s="282">
        <v>4000</v>
      </c>
      <c r="C10" s="277" t="s">
        <v>827</v>
      </c>
      <c r="D10" s="282">
        <v>4999</v>
      </c>
      <c r="E10" s="284">
        <v>36739</v>
      </c>
      <c r="F10" s="284">
        <v>5189</v>
      </c>
      <c r="G10" s="284">
        <v>1671</v>
      </c>
      <c r="H10" s="284">
        <v>43599</v>
      </c>
      <c r="I10" s="281"/>
      <c r="J10" s="276"/>
      <c r="K10" s="276"/>
    </row>
    <row r="11" spans="1:12">
      <c r="B11" s="282">
        <v>5000</v>
      </c>
      <c r="C11" s="277" t="s">
        <v>827</v>
      </c>
      <c r="D11" s="282">
        <v>5999</v>
      </c>
      <c r="E11" s="284">
        <v>36212</v>
      </c>
      <c r="F11" s="284">
        <v>5262</v>
      </c>
      <c r="G11" s="284">
        <v>1505</v>
      </c>
      <c r="H11" s="284">
        <v>42979</v>
      </c>
      <c r="I11" s="281"/>
      <c r="J11" s="276"/>
      <c r="K11" s="276"/>
    </row>
    <row r="12" spans="1:12">
      <c r="B12" s="282">
        <v>6000</v>
      </c>
      <c r="C12" s="277" t="s">
        <v>827</v>
      </c>
      <c r="D12" s="282">
        <v>6999</v>
      </c>
      <c r="E12" s="284">
        <v>36798</v>
      </c>
      <c r="F12" s="284">
        <v>5080</v>
      </c>
      <c r="G12" s="284">
        <v>1595</v>
      </c>
      <c r="H12" s="284">
        <v>43473</v>
      </c>
      <c r="I12" s="281"/>
      <c r="J12" s="276"/>
      <c r="K12" s="276"/>
    </row>
    <row r="13" spans="1:12">
      <c r="B13" s="282">
        <v>7000</v>
      </c>
      <c r="C13" s="277" t="s">
        <v>827</v>
      </c>
      <c r="D13" s="282">
        <v>7999</v>
      </c>
      <c r="E13" s="284">
        <v>35931</v>
      </c>
      <c r="F13" s="284">
        <v>4865</v>
      </c>
      <c r="G13" s="284">
        <v>1481</v>
      </c>
      <c r="H13" s="284">
        <v>42277</v>
      </c>
      <c r="I13" s="281"/>
      <c r="J13" s="276"/>
      <c r="K13" s="276"/>
    </row>
    <row r="14" spans="1:12">
      <c r="B14" s="282">
        <v>8000</v>
      </c>
      <c r="C14" s="277" t="s">
        <v>827</v>
      </c>
      <c r="D14" s="282">
        <v>8999</v>
      </c>
      <c r="E14" s="284">
        <v>35724</v>
      </c>
      <c r="F14" s="284">
        <v>4916</v>
      </c>
      <c r="G14" s="284">
        <v>1448</v>
      </c>
      <c r="H14" s="284">
        <v>42088</v>
      </c>
      <c r="I14" s="281"/>
      <c r="J14" s="276"/>
      <c r="K14" s="276"/>
    </row>
    <row r="15" spans="1:12">
      <c r="B15" s="282">
        <v>9000</v>
      </c>
      <c r="C15" s="277" t="s">
        <v>827</v>
      </c>
      <c r="D15" s="282">
        <v>9999</v>
      </c>
      <c r="E15" s="284">
        <v>36274</v>
      </c>
      <c r="F15" s="284">
        <v>4856</v>
      </c>
      <c r="G15" s="284">
        <v>1457</v>
      </c>
      <c r="H15" s="284">
        <v>42587</v>
      </c>
      <c r="I15" s="281"/>
      <c r="J15" s="276"/>
      <c r="K15" s="276"/>
    </row>
    <row r="16" spans="1:12">
      <c r="B16" s="282">
        <v>10000</v>
      </c>
      <c r="C16" s="277" t="s">
        <v>827</v>
      </c>
      <c r="D16" s="282">
        <v>10999</v>
      </c>
      <c r="E16" s="284">
        <v>35954</v>
      </c>
      <c r="F16" s="284">
        <v>4929</v>
      </c>
      <c r="G16" s="284">
        <v>1423</v>
      </c>
      <c r="H16" s="284">
        <v>42306</v>
      </c>
      <c r="I16" s="281"/>
      <c r="J16" s="276"/>
      <c r="K16" s="276"/>
    </row>
    <row r="17" spans="1:11">
      <c r="B17" s="282">
        <v>11000</v>
      </c>
      <c r="C17" s="277" t="s">
        <v>827</v>
      </c>
      <c r="D17" s="282">
        <v>11999</v>
      </c>
      <c r="E17" s="284">
        <v>37490</v>
      </c>
      <c r="F17" s="284">
        <v>5264</v>
      </c>
      <c r="G17" s="284">
        <v>1533</v>
      </c>
      <c r="H17" s="284">
        <v>44287</v>
      </c>
      <c r="I17" s="281"/>
      <c r="J17" s="276"/>
      <c r="K17" s="276"/>
    </row>
    <row r="18" spans="1:11">
      <c r="B18" s="282">
        <v>12000</v>
      </c>
      <c r="C18" s="277" t="s">
        <v>827</v>
      </c>
      <c r="D18" s="282">
        <v>12999</v>
      </c>
      <c r="E18" s="284">
        <v>38457</v>
      </c>
      <c r="F18" s="284">
        <v>5331</v>
      </c>
      <c r="G18" s="284">
        <v>1517</v>
      </c>
      <c r="H18" s="284">
        <v>45305</v>
      </c>
      <c r="I18" s="281"/>
      <c r="J18" s="276"/>
      <c r="K18" s="276"/>
    </row>
    <row r="19" spans="1:11">
      <c r="B19" s="282">
        <v>13000</v>
      </c>
      <c r="C19" s="277" t="s">
        <v>827</v>
      </c>
      <c r="D19" s="282">
        <v>13999</v>
      </c>
      <c r="E19" s="284">
        <v>37080</v>
      </c>
      <c r="F19" s="284">
        <v>5355</v>
      </c>
      <c r="G19" s="284">
        <v>1519</v>
      </c>
      <c r="H19" s="284">
        <v>43954</v>
      </c>
      <c r="I19" s="281"/>
      <c r="J19" s="276"/>
      <c r="K19" s="276"/>
    </row>
    <row r="20" spans="1:11">
      <c r="B20" s="282">
        <v>14000</v>
      </c>
      <c r="C20" s="277" t="s">
        <v>827</v>
      </c>
      <c r="D20" s="282">
        <v>14999</v>
      </c>
      <c r="E20" s="284">
        <v>35799</v>
      </c>
      <c r="F20" s="284">
        <v>5368</v>
      </c>
      <c r="G20" s="284">
        <v>1535</v>
      </c>
      <c r="H20" s="284">
        <v>42702</v>
      </c>
      <c r="I20" s="281"/>
      <c r="J20" s="276"/>
      <c r="K20" s="276"/>
    </row>
    <row r="21" spans="1:11" s="3" customFormat="1">
      <c r="A21" s="815"/>
      <c r="B21" s="282">
        <v>15000</v>
      </c>
      <c r="C21" s="277" t="s">
        <v>827</v>
      </c>
      <c r="D21" s="282">
        <v>19999</v>
      </c>
      <c r="E21" s="284">
        <v>171499</v>
      </c>
      <c r="F21" s="284">
        <v>29341</v>
      </c>
      <c r="G21" s="284">
        <v>7245</v>
      </c>
      <c r="H21" s="284">
        <v>208085</v>
      </c>
      <c r="I21" s="281"/>
      <c r="J21" s="276"/>
      <c r="K21" s="276"/>
    </row>
    <row r="22" spans="1:11" s="3" customFormat="1">
      <c r="A22" s="815"/>
      <c r="B22" s="282">
        <v>20000</v>
      </c>
      <c r="C22" s="277" t="s">
        <v>827</v>
      </c>
      <c r="D22" s="282">
        <v>24999</v>
      </c>
      <c r="E22" s="284">
        <v>157178</v>
      </c>
      <c r="F22" s="284">
        <v>31977</v>
      </c>
      <c r="G22" s="284">
        <v>7402</v>
      </c>
      <c r="H22" s="284">
        <v>196557</v>
      </c>
      <c r="I22" s="281"/>
      <c r="J22" s="276"/>
      <c r="K22" s="276"/>
    </row>
    <row r="23" spans="1:11" s="3" customFormat="1">
      <c r="A23" s="815"/>
      <c r="B23" s="282">
        <v>25000</v>
      </c>
      <c r="C23" s="277" t="s">
        <v>827</v>
      </c>
      <c r="D23" s="282">
        <v>29999</v>
      </c>
      <c r="E23" s="284">
        <v>154593</v>
      </c>
      <c r="F23" s="284">
        <v>33662</v>
      </c>
      <c r="G23" s="284">
        <v>7878</v>
      </c>
      <c r="H23" s="284">
        <v>196133</v>
      </c>
      <c r="I23" s="293"/>
      <c r="J23" s="276"/>
      <c r="K23" s="276"/>
    </row>
    <row r="24" spans="1:11" s="3" customFormat="1">
      <c r="A24" s="815"/>
      <c r="B24" s="282">
        <v>30000</v>
      </c>
      <c r="C24" s="277" t="s">
        <v>827</v>
      </c>
      <c r="D24" s="282">
        <v>34999</v>
      </c>
      <c r="E24" s="284">
        <v>154337</v>
      </c>
      <c r="F24" s="284">
        <v>34658</v>
      </c>
      <c r="G24" s="284">
        <v>8515</v>
      </c>
      <c r="H24" s="284">
        <v>197510</v>
      </c>
      <c r="I24" s="281"/>
      <c r="J24" s="276"/>
      <c r="K24" s="276"/>
    </row>
    <row r="25" spans="1:11" s="3" customFormat="1">
      <c r="A25" s="815"/>
      <c r="B25" s="282">
        <v>35000</v>
      </c>
      <c r="C25" s="277" t="s">
        <v>827</v>
      </c>
      <c r="D25" s="282">
        <v>39999</v>
      </c>
      <c r="E25" s="284">
        <v>143360</v>
      </c>
      <c r="F25" s="284">
        <v>35296</v>
      </c>
      <c r="G25" s="284">
        <v>8318</v>
      </c>
      <c r="H25" s="284">
        <v>186974</v>
      </c>
      <c r="I25" s="281"/>
      <c r="J25" s="276"/>
      <c r="K25" s="276"/>
    </row>
    <row r="26" spans="1:11" s="3" customFormat="1">
      <c r="A26" s="815"/>
      <c r="B26" s="282">
        <v>40000</v>
      </c>
      <c r="C26" s="277" t="s">
        <v>827</v>
      </c>
      <c r="D26" s="282">
        <v>44999</v>
      </c>
      <c r="E26" s="284">
        <v>127063</v>
      </c>
      <c r="F26" s="284">
        <v>35807</v>
      </c>
      <c r="G26" s="284">
        <v>8054</v>
      </c>
      <c r="H26" s="284">
        <v>170924</v>
      </c>
      <c r="I26" s="293"/>
      <c r="J26" s="276"/>
      <c r="K26" s="276"/>
    </row>
    <row r="27" spans="1:11" s="3" customFormat="1">
      <c r="A27" s="815"/>
      <c r="B27" s="282">
        <v>45000</v>
      </c>
      <c r="C27" s="277" t="s">
        <v>827</v>
      </c>
      <c r="D27" s="282">
        <v>49999</v>
      </c>
      <c r="E27" s="284">
        <v>111738</v>
      </c>
      <c r="F27" s="284">
        <v>35057</v>
      </c>
      <c r="G27" s="284">
        <v>7738</v>
      </c>
      <c r="H27" s="284">
        <v>154533</v>
      </c>
      <c r="I27" s="281"/>
      <c r="J27" s="276"/>
      <c r="K27" s="276"/>
    </row>
    <row r="28" spans="1:11" s="3" customFormat="1">
      <c r="A28" s="815"/>
      <c r="B28" s="282">
        <v>50000</v>
      </c>
      <c r="C28" s="277" t="s">
        <v>827</v>
      </c>
      <c r="D28" s="282">
        <v>74999</v>
      </c>
      <c r="E28" s="284">
        <v>385782</v>
      </c>
      <c r="F28" s="284">
        <v>170956</v>
      </c>
      <c r="G28" s="284">
        <v>31406</v>
      </c>
      <c r="H28" s="284">
        <v>588144</v>
      </c>
      <c r="I28" s="281"/>
      <c r="J28" s="276"/>
      <c r="K28" s="276"/>
    </row>
    <row r="29" spans="1:11" s="3" customFormat="1">
      <c r="A29" s="815"/>
      <c r="B29" s="282">
        <v>75000</v>
      </c>
      <c r="C29" s="277" t="s">
        <v>827</v>
      </c>
      <c r="D29" s="282">
        <v>99999</v>
      </c>
      <c r="E29" s="284">
        <v>196161</v>
      </c>
      <c r="F29" s="284">
        <v>166556</v>
      </c>
      <c r="G29" s="284">
        <v>18035</v>
      </c>
      <c r="H29" s="284">
        <v>380752</v>
      </c>
      <c r="I29" s="293"/>
      <c r="J29" s="276"/>
      <c r="K29" s="276"/>
    </row>
    <row r="30" spans="1:11" s="3" customFormat="1">
      <c r="A30" s="815"/>
      <c r="B30" s="286">
        <v>100000</v>
      </c>
      <c r="C30" s="287" t="s">
        <v>825</v>
      </c>
      <c r="D30" s="287" t="s">
        <v>828</v>
      </c>
      <c r="E30" s="294">
        <v>285394</v>
      </c>
      <c r="F30" s="294">
        <v>817587</v>
      </c>
      <c r="G30" s="294">
        <v>34329</v>
      </c>
      <c r="H30" s="288">
        <v>1137310</v>
      </c>
      <c r="I30" s="281"/>
      <c r="J30" s="276"/>
      <c r="K30" s="276"/>
    </row>
    <row r="31" spans="1:11" s="3" customFormat="1">
      <c r="A31" s="815"/>
      <c r="B31" s="289" t="s">
        <v>829</v>
      </c>
      <c r="C31" s="289"/>
      <c r="D31" s="289"/>
      <c r="E31" s="290">
        <f>SUM(E6:E30)</f>
        <v>2502823</v>
      </c>
      <c r="F31" s="290">
        <f>SUM(F6:F30)</f>
        <v>1522125</v>
      </c>
      <c r="G31" s="290">
        <f>SUM(G6:G30)</f>
        <v>177038</v>
      </c>
      <c r="H31" s="290">
        <f>SUM(H6:H30)</f>
        <v>4201986</v>
      </c>
      <c r="I31" s="281"/>
      <c r="J31" s="276"/>
      <c r="K31" s="276"/>
    </row>
    <row r="32" spans="1:11" s="3" customFormat="1">
      <c r="A32" s="815"/>
      <c r="B32" s="281"/>
      <c r="C32" s="281"/>
      <c r="D32" s="281"/>
      <c r="E32" s="281"/>
      <c r="F32" s="281"/>
      <c r="G32" s="281"/>
      <c r="H32" s="281"/>
      <c r="I32" s="281"/>
      <c r="J32" s="276"/>
    </row>
    <row r="33" spans="2:10">
      <c r="B33" s="281"/>
      <c r="C33" s="281"/>
      <c r="D33" s="281"/>
      <c r="E33" s="281"/>
      <c r="F33" s="281"/>
      <c r="G33" s="281"/>
      <c r="H33" s="281"/>
      <c r="I33" s="281"/>
      <c r="J33" s="276"/>
    </row>
    <row r="35" spans="2:10">
      <c r="B35" s="7" t="s">
        <v>830</v>
      </c>
    </row>
    <row r="36" spans="2:10">
      <c r="B36" s="7"/>
    </row>
  </sheetData>
  <hyperlinks>
    <hyperlink ref="A1" location="TOC!A1" display="Back" xr:uid="{4EDD49C4-74FB-4379-90B9-E05CFE93773F}"/>
  </hyperlinks>
  <pageMargins left="0.5" right="0.5" top="0.4" bottom="0.8" header="0.25" footer="0.35"/>
  <pageSetup orientation="landscape" cellComments="asDisplayed" r:id="rId1"/>
  <headerFooter scaleWithDoc="0">
    <oddHeader>&amp;R&amp;P</oddHeader>
    <oddFooter>&amp;R&amp;G&amp;L© 2025 Virginia Department of Taxation, All Rights Reserved</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7E47-213C-46F8-891D-4F5D0973C736}">
  <sheetPr codeName="Sheet9">
    <pageSetUpPr fitToPage="1"/>
  </sheetPr>
  <dimension ref="A1:O36"/>
  <sheetViews>
    <sheetView zoomScaleNormal="100" workbookViewId="0"/>
  </sheetViews>
  <sheetFormatPr defaultRowHeight="13"/>
  <cols>
    <col min="1" max="1" width="4.19921875" customWidth="1"/>
    <col min="2" max="2" width="10.69921875" customWidth="1"/>
    <col min="3" max="3" width="4.69921875" customWidth="1"/>
    <col min="4" max="4" width="8.69921875" customWidth="1"/>
    <col min="5" max="5" width="12.69921875" customWidth="1"/>
    <col min="6" max="6" width="11.19921875" customWidth="1"/>
    <col min="7" max="8" width="11.69921875" customWidth="1"/>
    <col min="9" max="9" width="9.69921875" customWidth="1"/>
    <col min="10" max="10" width="13.69921875" customWidth="1"/>
    <col min="11" max="12" width="30.69921875" customWidth="1"/>
    <col min="13" max="13" width="10.69921875" customWidth="1"/>
    <col min="14" max="14" width="1.69921875" customWidth="1"/>
    <col min="15" max="15" width="5.19921875" customWidth="1"/>
  </cols>
  <sheetData>
    <row r="1" spans="1:15" ht="15.5">
      <c r="A1" s="813" t="s">
        <v>42</v>
      </c>
      <c r="B1" s="63" t="s">
        <v>816</v>
      </c>
      <c r="C1" s="277"/>
      <c r="D1" s="278"/>
      <c r="E1" s="278"/>
      <c r="F1" s="279"/>
      <c r="G1" s="279"/>
      <c r="H1" s="279"/>
      <c r="I1" s="279"/>
      <c r="J1" s="279"/>
      <c r="K1" s="279"/>
      <c r="L1" s="279"/>
      <c r="M1" s="275"/>
      <c r="O1" s="8"/>
    </row>
    <row r="2" spans="1:15">
      <c r="B2" s="64" t="s">
        <v>817</v>
      </c>
      <c r="C2" s="277"/>
      <c r="D2" s="278"/>
      <c r="E2" s="278"/>
      <c r="F2" s="279"/>
      <c r="G2" s="279"/>
      <c r="H2" s="279"/>
      <c r="I2" s="279"/>
      <c r="J2" s="279"/>
      <c r="K2" s="279"/>
      <c r="L2" s="279"/>
      <c r="M2" s="275"/>
    </row>
    <row r="3" spans="1:15">
      <c r="B3" s="280" t="s">
        <v>1228</v>
      </c>
      <c r="C3" s="277"/>
      <c r="D3" s="278"/>
      <c r="E3" s="278"/>
      <c r="F3" s="279"/>
      <c r="G3" s="279"/>
      <c r="H3" s="279"/>
      <c r="I3" s="279"/>
      <c r="J3" s="279"/>
      <c r="K3" s="279"/>
      <c r="L3" s="279"/>
      <c r="M3" s="275"/>
    </row>
    <row r="4" spans="1:15">
      <c r="B4" s="281"/>
      <c r="C4" s="281"/>
      <c r="D4" s="281"/>
      <c r="E4" s="281"/>
      <c r="F4" s="281"/>
      <c r="G4" s="281"/>
      <c r="H4" s="281"/>
      <c r="I4" s="281"/>
      <c r="J4" s="281"/>
      <c r="K4" s="281"/>
      <c r="L4" s="281"/>
      <c r="M4" s="276"/>
    </row>
    <row r="5" spans="1:15" ht="26">
      <c r="B5" s="296" t="s">
        <v>818</v>
      </c>
      <c r="C5" s="296"/>
      <c r="D5" s="296"/>
      <c r="E5" s="298" t="s">
        <v>819</v>
      </c>
      <c r="F5" s="299" t="s">
        <v>820</v>
      </c>
      <c r="G5" s="299" t="s">
        <v>821</v>
      </c>
      <c r="H5" s="300" t="s">
        <v>822</v>
      </c>
      <c r="I5" s="299" t="s">
        <v>823</v>
      </c>
      <c r="J5" s="298" t="s">
        <v>824</v>
      </c>
      <c r="K5" s="279"/>
      <c r="L5" s="279"/>
      <c r="M5" s="275"/>
    </row>
    <row r="6" spans="1:15">
      <c r="B6" s="282">
        <v>999</v>
      </c>
      <c r="C6" s="277" t="s">
        <v>825</v>
      </c>
      <c r="D6" s="283" t="s">
        <v>826</v>
      </c>
      <c r="E6" s="284">
        <v>176348</v>
      </c>
      <c r="F6" s="284">
        <v>230680</v>
      </c>
      <c r="G6" s="284">
        <v>67809</v>
      </c>
      <c r="H6" s="284">
        <v>60563</v>
      </c>
      <c r="I6" s="284">
        <v>455</v>
      </c>
      <c r="J6" s="284">
        <v>359507</v>
      </c>
      <c r="K6" s="281"/>
      <c r="L6" s="279"/>
      <c r="M6" s="275"/>
    </row>
    <row r="7" spans="1:15">
      <c r="B7" s="282">
        <v>1000</v>
      </c>
      <c r="C7" s="277" t="s">
        <v>827</v>
      </c>
      <c r="D7" s="282">
        <v>1999</v>
      </c>
      <c r="E7" s="285">
        <v>44824</v>
      </c>
      <c r="F7" s="285">
        <v>51228</v>
      </c>
      <c r="G7" s="285">
        <v>9957</v>
      </c>
      <c r="H7" s="285">
        <v>8914</v>
      </c>
      <c r="I7" s="285">
        <v>66</v>
      </c>
      <c r="J7" s="285">
        <v>70165</v>
      </c>
      <c r="K7" s="281"/>
      <c r="L7" s="281"/>
      <c r="M7" s="276"/>
    </row>
    <row r="8" spans="1:15">
      <c r="B8" s="282">
        <v>2000</v>
      </c>
      <c r="C8" s="277" t="s">
        <v>827</v>
      </c>
      <c r="D8" s="282">
        <v>2999</v>
      </c>
      <c r="E8" s="285">
        <v>44621</v>
      </c>
      <c r="F8" s="285">
        <v>50460</v>
      </c>
      <c r="G8" s="285">
        <v>9809</v>
      </c>
      <c r="H8" s="285">
        <v>8431</v>
      </c>
      <c r="I8" s="285">
        <v>87</v>
      </c>
      <c r="J8" s="285">
        <v>68787</v>
      </c>
      <c r="K8" s="281"/>
      <c r="L8" s="281"/>
      <c r="M8" s="276"/>
    </row>
    <row r="9" spans="1:15">
      <c r="B9" s="282">
        <v>3000</v>
      </c>
      <c r="C9" s="277" t="s">
        <v>827</v>
      </c>
      <c r="D9" s="282">
        <v>3999</v>
      </c>
      <c r="E9" s="285">
        <v>43714</v>
      </c>
      <c r="F9" s="285">
        <v>49046</v>
      </c>
      <c r="G9" s="285">
        <v>9660</v>
      </c>
      <c r="H9" s="285">
        <v>8057</v>
      </c>
      <c r="I9" s="285">
        <v>72</v>
      </c>
      <c r="J9" s="285">
        <v>66835</v>
      </c>
      <c r="K9" s="281"/>
      <c r="L9" s="281"/>
      <c r="M9" s="276"/>
    </row>
    <row r="10" spans="1:15">
      <c r="B10" s="282">
        <v>4000</v>
      </c>
      <c r="C10" s="277" t="s">
        <v>827</v>
      </c>
      <c r="D10" s="282">
        <v>4999</v>
      </c>
      <c r="E10" s="285">
        <v>43599</v>
      </c>
      <c r="F10" s="285">
        <v>48653</v>
      </c>
      <c r="G10" s="285">
        <v>9739</v>
      </c>
      <c r="H10" s="285">
        <v>7985</v>
      </c>
      <c r="I10" s="285">
        <v>80</v>
      </c>
      <c r="J10" s="285">
        <v>66457</v>
      </c>
      <c r="K10" s="281"/>
      <c r="L10" s="281"/>
      <c r="M10" s="276"/>
    </row>
    <row r="11" spans="1:15">
      <c r="B11" s="282">
        <v>5000</v>
      </c>
      <c r="C11" s="277" t="s">
        <v>827</v>
      </c>
      <c r="D11" s="282">
        <v>5999</v>
      </c>
      <c r="E11" s="285">
        <v>42979</v>
      </c>
      <c r="F11" s="285">
        <v>48113</v>
      </c>
      <c r="G11" s="285">
        <v>9752</v>
      </c>
      <c r="H11" s="285">
        <v>8353</v>
      </c>
      <c r="I11" s="285">
        <v>78</v>
      </c>
      <c r="J11" s="285">
        <v>66296</v>
      </c>
      <c r="K11" s="281"/>
      <c r="L11" s="281"/>
      <c r="M11" s="276"/>
    </row>
    <row r="12" spans="1:15">
      <c r="B12" s="282">
        <v>6000</v>
      </c>
      <c r="C12" s="277" t="s">
        <v>827</v>
      </c>
      <c r="D12" s="282">
        <v>6999</v>
      </c>
      <c r="E12" s="285">
        <v>43473</v>
      </c>
      <c r="F12" s="285">
        <v>48467</v>
      </c>
      <c r="G12" s="285">
        <v>9877</v>
      </c>
      <c r="H12" s="285">
        <v>8813</v>
      </c>
      <c r="I12" s="285">
        <v>98</v>
      </c>
      <c r="J12" s="285">
        <v>67255</v>
      </c>
      <c r="K12" s="281"/>
      <c r="L12" s="281"/>
      <c r="M12" s="276"/>
    </row>
    <row r="13" spans="1:15">
      <c r="B13" s="282">
        <v>7000</v>
      </c>
      <c r="C13" s="277" t="s">
        <v>827</v>
      </c>
      <c r="D13" s="282">
        <v>7999</v>
      </c>
      <c r="E13" s="285">
        <v>42277</v>
      </c>
      <c r="F13" s="285">
        <v>47066</v>
      </c>
      <c r="G13" s="285">
        <v>10076</v>
      </c>
      <c r="H13" s="285">
        <v>8626</v>
      </c>
      <c r="I13" s="285">
        <v>94</v>
      </c>
      <c r="J13" s="285">
        <v>65862</v>
      </c>
      <c r="K13" s="281"/>
      <c r="L13" s="281"/>
      <c r="M13" s="276"/>
    </row>
    <row r="14" spans="1:15">
      <c r="B14" s="282">
        <v>8000</v>
      </c>
      <c r="C14" s="277" t="s">
        <v>827</v>
      </c>
      <c r="D14" s="282">
        <v>8999</v>
      </c>
      <c r="E14" s="285">
        <v>42088</v>
      </c>
      <c r="F14" s="285">
        <v>46954</v>
      </c>
      <c r="G14" s="285">
        <v>10403</v>
      </c>
      <c r="H14" s="285">
        <v>8922</v>
      </c>
      <c r="I14" s="285">
        <v>87</v>
      </c>
      <c r="J14" s="285">
        <v>66366</v>
      </c>
      <c r="K14" s="281"/>
      <c r="L14" s="281"/>
      <c r="M14" s="276"/>
    </row>
    <row r="15" spans="1:15">
      <c r="B15" s="282">
        <v>9000</v>
      </c>
      <c r="C15" s="277" t="s">
        <v>827</v>
      </c>
      <c r="D15" s="282">
        <v>9999</v>
      </c>
      <c r="E15" s="285">
        <v>42587</v>
      </c>
      <c r="F15" s="285">
        <v>47416</v>
      </c>
      <c r="G15" s="285">
        <v>10865</v>
      </c>
      <c r="H15" s="285">
        <v>9041</v>
      </c>
      <c r="I15" s="285">
        <v>80</v>
      </c>
      <c r="J15" s="285">
        <v>67402</v>
      </c>
      <c r="K15" s="281"/>
      <c r="L15" s="281"/>
      <c r="M15" s="276"/>
    </row>
    <row r="16" spans="1:15">
      <c r="B16" s="282">
        <v>10000</v>
      </c>
      <c r="C16" s="277" t="s">
        <v>827</v>
      </c>
      <c r="D16" s="282">
        <v>10999</v>
      </c>
      <c r="E16" s="285">
        <v>42306</v>
      </c>
      <c r="F16" s="285">
        <v>47223</v>
      </c>
      <c r="G16" s="285">
        <v>11550</v>
      </c>
      <c r="H16" s="285">
        <v>9361</v>
      </c>
      <c r="I16" s="285">
        <v>96</v>
      </c>
      <c r="J16" s="285">
        <v>68230</v>
      </c>
      <c r="K16" s="281"/>
      <c r="L16" s="281"/>
      <c r="M16" s="276"/>
    </row>
    <row r="17" spans="2:13">
      <c r="B17" s="282">
        <v>11000</v>
      </c>
      <c r="C17" s="277" t="s">
        <v>827</v>
      </c>
      <c r="D17" s="282">
        <v>11999</v>
      </c>
      <c r="E17" s="285">
        <v>44287</v>
      </c>
      <c r="F17" s="285">
        <v>49559</v>
      </c>
      <c r="G17" s="285">
        <v>14533</v>
      </c>
      <c r="H17" s="285">
        <v>9820</v>
      </c>
      <c r="I17" s="285">
        <v>88</v>
      </c>
      <c r="J17" s="285">
        <v>74000</v>
      </c>
      <c r="K17" s="281"/>
      <c r="L17" s="281"/>
      <c r="M17" s="276"/>
    </row>
    <row r="18" spans="2:13">
      <c r="B18" s="282">
        <v>12000</v>
      </c>
      <c r="C18" s="277" t="s">
        <v>827</v>
      </c>
      <c r="D18" s="282">
        <v>12999</v>
      </c>
      <c r="E18" s="285">
        <v>45305</v>
      </c>
      <c r="F18" s="285">
        <v>50610</v>
      </c>
      <c r="G18" s="285">
        <v>15595</v>
      </c>
      <c r="H18" s="285">
        <v>10329</v>
      </c>
      <c r="I18" s="285">
        <v>89</v>
      </c>
      <c r="J18" s="285">
        <v>76623</v>
      </c>
      <c r="K18" s="281"/>
      <c r="L18" s="281"/>
      <c r="M18" s="276"/>
    </row>
    <row r="19" spans="2:13">
      <c r="B19" s="282">
        <v>13000</v>
      </c>
      <c r="C19" s="277" t="s">
        <v>827</v>
      </c>
      <c r="D19" s="282">
        <v>13999</v>
      </c>
      <c r="E19" s="285">
        <v>43954</v>
      </c>
      <c r="F19" s="285">
        <v>49304</v>
      </c>
      <c r="G19" s="285">
        <v>14888</v>
      </c>
      <c r="H19" s="285">
        <v>10515</v>
      </c>
      <c r="I19" s="285">
        <v>93</v>
      </c>
      <c r="J19" s="285">
        <v>74800</v>
      </c>
      <c r="K19" s="281"/>
      <c r="L19" s="281"/>
      <c r="M19" s="276"/>
    </row>
    <row r="20" spans="2:13">
      <c r="B20" s="282">
        <v>14000</v>
      </c>
      <c r="C20" s="277" t="s">
        <v>827</v>
      </c>
      <c r="D20" s="282">
        <v>14999</v>
      </c>
      <c r="E20" s="285">
        <v>42702</v>
      </c>
      <c r="F20" s="285">
        <v>48061</v>
      </c>
      <c r="G20" s="285">
        <v>14811</v>
      </c>
      <c r="H20" s="285">
        <v>10870</v>
      </c>
      <c r="I20" s="285">
        <v>102</v>
      </c>
      <c r="J20" s="285">
        <v>73844</v>
      </c>
      <c r="K20" s="281"/>
      <c r="L20" s="281"/>
      <c r="M20" s="276"/>
    </row>
    <row r="21" spans="2:13" s="3" customFormat="1">
      <c r="B21" s="282">
        <v>15000</v>
      </c>
      <c r="C21" s="277" t="s">
        <v>827</v>
      </c>
      <c r="D21" s="282">
        <v>19999</v>
      </c>
      <c r="E21" s="285">
        <v>208085</v>
      </c>
      <c r="F21" s="285">
        <v>237463</v>
      </c>
      <c r="G21" s="285">
        <v>96414</v>
      </c>
      <c r="H21" s="285">
        <v>55900</v>
      </c>
      <c r="I21" s="285">
        <v>489</v>
      </c>
      <c r="J21" s="285">
        <v>390266</v>
      </c>
      <c r="K21" s="281"/>
      <c r="L21" s="281"/>
      <c r="M21" s="276"/>
    </row>
    <row r="22" spans="2:13" s="3" customFormat="1">
      <c r="B22" s="282">
        <v>20000</v>
      </c>
      <c r="C22" s="277" t="s">
        <v>827</v>
      </c>
      <c r="D22" s="282">
        <v>24999</v>
      </c>
      <c r="E22" s="285">
        <v>196557</v>
      </c>
      <c r="F22" s="285">
        <v>228688</v>
      </c>
      <c r="G22" s="285">
        <v>90972</v>
      </c>
      <c r="H22" s="285">
        <v>56334</v>
      </c>
      <c r="I22" s="285">
        <v>506</v>
      </c>
      <c r="J22" s="285">
        <v>376500</v>
      </c>
      <c r="K22" s="281"/>
      <c r="L22" s="281"/>
      <c r="M22" s="276"/>
    </row>
    <row r="23" spans="2:13" s="3" customFormat="1">
      <c r="B23" s="282">
        <v>25000</v>
      </c>
      <c r="C23" s="277" t="s">
        <v>827</v>
      </c>
      <c r="D23" s="282">
        <v>29999</v>
      </c>
      <c r="E23" s="285">
        <v>196133</v>
      </c>
      <c r="F23" s="285">
        <v>230123</v>
      </c>
      <c r="G23" s="285">
        <v>89467</v>
      </c>
      <c r="H23" s="285">
        <v>55021</v>
      </c>
      <c r="I23" s="285">
        <v>522</v>
      </c>
      <c r="J23" s="285">
        <v>375133</v>
      </c>
      <c r="K23" s="281"/>
      <c r="L23" s="281"/>
      <c r="M23" s="276"/>
    </row>
    <row r="24" spans="2:13" s="3" customFormat="1">
      <c r="B24" s="282">
        <v>30000</v>
      </c>
      <c r="C24" s="277" t="s">
        <v>827</v>
      </c>
      <c r="D24" s="282">
        <v>34999</v>
      </c>
      <c r="E24" s="285">
        <v>197510</v>
      </c>
      <c r="F24" s="285">
        <v>232501</v>
      </c>
      <c r="G24" s="285">
        <v>92321</v>
      </c>
      <c r="H24" s="285">
        <v>52656</v>
      </c>
      <c r="I24" s="285">
        <v>476</v>
      </c>
      <c r="J24" s="285">
        <v>377954</v>
      </c>
      <c r="K24" s="281"/>
      <c r="L24" s="281"/>
      <c r="M24" s="276"/>
    </row>
    <row r="25" spans="2:13" s="3" customFormat="1">
      <c r="B25" s="282">
        <v>35000</v>
      </c>
      <c r="C25" s="277" t="s">
        <v>827</v>
      </c>
      <c r="D25" s="282">
        <v>39999</v>
      </c>
      <c r="E25" s="285">
        <v>186974</v>
      </c>
      <c r="F25" s="285">
        <v>222631</v>
      </c>
      <c r="G25" s="285">
        <v>90799</v>
      </c>
      <c r="H25" s="285">
        <v>49398</v>
      </c>
      <c r="I25" s="285">
        <v>397</v>
      </c>
      <c r="J25" s="285">
        <v>363225</v>
      </c>
      <c r="K25" s="281"/>
      <c r="L25" s="281"/>
      <c r="M25" s="276"/>
    </row>
    <row r="26" spans="2:13" s="3" customFormat="1">
      <c r="B26" s="282">
        <v>40000</v>
      </c>
      <c r="C26" s="277" t="s">
        <v>827</v>
      </c>
      <c r="D26" s="282">
        <v>44999</v>
      </c>
      <c r="E26" s="285">
        <v>170924</v>
      </c>
      <c r="F26" s="285">
        <v>207099</v>
      </c>
      <c r="G26" s="285">
        <v>82872</v>
      </c>
      <c r="H26" s="285">
        <v>46064</v>
      </c>
      <c r="I26" s="285">
        <v>360</v>
      </c>
      <c r="J26" s="285">
        <v>336395</v>
      </c>
      <c r="K26" s="281"/>
      <c r="L26" s="281"/>
      <c r="M26" s="276"/>
    </row>
    <row r="27" spans="2:13" s="3" customFormat="1">
      <c r="B27" s="282">
        <v>45000</v>
      </c>
      <c r="C27" s="277" t="s">
        <v>827</v>
      </c>
      <c r="D27" s="282">
        <v>49999</v>
      </c>
      <c r="E27" s="285">
        <v>154533</v>
      </c>
      <c r="F27" s="285">
        <v>189974</v>
      </c>
      <c r="G27" s="285">
        <v>73152</v>
      </c>
      <c r="H27" s="285">
        <v>42565</v>
      </c>
      <c r="I27" s="285">
        <v>328</v>
      </c>
      <c r="J27" s="285">
        <v>306019</v>
      </c>
      <c r="K27" s="281"/>
      <c r="L27" s="281"/>
      <c r="M27" s="276"/>
    </row>
    <row r="28" spans="2:13" s="3" customFormat="1">
      <c r="B28" s="282">
        <v>50000</v>
      </c>
      <c r="C28" s="277" t="s">
        <v>827</v>
      </c>
      <c r="D28" s="282">
        <v>74999</v>
      </c>
      <c r="E28" s="285">
        <v>588144</v>
      </c>
      <c r="F28" s="285">
        <v>760988</v>
      </c>
      <c r="G28" s="285">
        <v>272157</v>
      </c>
      <c r="H28" s="285">
        <v>169293</v>
      </c>
      <c r="I28" s="285">
        <v>1253</v>
      </c>
      <c r="J28" s="285">
        <v>1203691</v>
      </c>
      <c r="K28" s="281"/>
      <c r="L28" s="281"/>
      <c r="M28" s="276"/>
    </row>
    <row r="29" spans="2:13" s="3" customFormat="1">
      <c r="B29" s="282">
        <v>75000</v>
      </c>
      <c r="C29" s="277" t="s">
        <v>827</v>
      </c>
      <c r="D29" s="282">
        <v>99999</v>
      </c>
      <c r="E29" s="285">
        <v>380752</v>
      </c>
      <c r="F29" s="285">
        <v>548814</v>
      </c>
      <c r="G29" s="285">
        <v>201371</v>
      </c>
      <c r="H29" s="285">
        <v>117766</v>
      </c>
      <c r="I29" s="285">
        <v>762</v>
      </c>
      <c r="J29" s="285">
        <v>868713</v>
      </c>
      <c r="K29" s="281"/>
      <c r="L29" s="281"/>
      <c r="M29" s="276"/>
    </row>
    <row r="30" spans="2:13" s="3" customFormat="1">
      <c r="B30" s="286">
        <v>100000</v>
      </c>
      <c r="C30" s="287" t="s">
        <v>825</v>
      </c>
      <c r="D30" s="287" t="s">
        <v>828</v>
      </c>
      <c r="E30" s="288">
        <v>1137310</v>
      </c>
      <c r="F30" s="288">
        <v>1959555</v>
      </c>
      <c r="G30" s="288">
        <v>915101</v>
      </c>
      <c r="H30" s="288">
        <v>340085</v>
      </c>
      <c r="I30" s="288">
        <v>1829</v>
      </c>
      <c r="J30" s="288">
        <v>3216570</v>
      </c>
      <c r="K30" s="281"/>
      <c r="L30" s="281"/>
      <c r="M30" s="276"/>
    </row>
    <row r="31" spans="2:13" s="3" customFormat="1">
      <c r="B31" s="289" t="s">
        <v>829</v>
      </c>
      <c r="C31" s="289"/>
      <c r="D31" s="289"/>
      <c r="E31" s="290">
        <f t="shared" ref="E31:J31" si="0">SUM(E6:E30)</f>
        <v>4201986</v>
      </c>
      <c r="F31" s="290">
        <f t="shared" si="0"/>
        <v>5730676</v>
      </c>
      <c r="G31" s="290">
        <f t="shared" si="0"/>
        <v>2233950</v>
      </c>
      <c r="H31" s="290">
        <f t="shared" si="0"/>
        <v>1173682</v>
      </c>
      <c r="I31" s="290">
        <f t="shared" si="0"/>
        <v>8587</v>
      </c>
      <c r="J31" s="290">
        <f t="shared" si="0"/>
        <v>9146895</v>
      </c>
      <c r="K31" s="281"/>
      <c r="L31" s="281"/>
      <c r="M31" s="276"/>
    </row>
    <row r="32" spans="2:13" s="3" customFormat="1">
      <c r="B32" s="281"/>
      <c r="C32" s="281"/>
      <c r="D32" s="281"/>
      <c r="E32" s="281"/>
      <c r="F32" s="281"/>
      <c r="G32" s="281"/>
      <c r="H32" s="281"/>
      <c r="I32" s="281"/>
      <c r="J32" s="281"/>
      <c r="K32" s="281"/>
      <c r="L32" s="281"/>
      <c r="M32" s="276"/>
    </row>
    <row r="33" spans="2:13">
      <c r="B33" s="281"/>
      <c r="C33" s="281"/>
      <c r="D33" s="281"/>
      <c r="E33" s="281"/>
      <c r="F33" s="281"/>
      <c r="G33" s="281"/>
      <c r="H33" s="281"/>
      <c r="I33" s="281"/>
      <c r="J33" s="281"/>
      <c r="K33" s="281"/>
      <c r="L33" s="281"/>
      <c r="M33" s="276"/>
    </row>
    <row r="35" spans="2:13">
      <c r="B35" s="7" t="s">
        <v>830</v>
      </c>
    </row>
    <row r="36" spans="2:13">
      <c r="B36" s="7"/>
    </row>
  </sheetData>
  <hyperlinks>
    <hyperlink ref="A1" location="TOC!A1" display="Back" xr:uid="{BFBD43ED-8DE5-423C-A374-BFFF6646764D}"/>
  </hyperlinks>
  <pageMargins left="0.5" right="0.5" top="0.4" bottom="0.8" header="0.25" footer="0.35"/>
  <pageSetup scale="91" orientation="landscape" cellComments="asDisplayed" r:id="rId1"/>
  <headerFooter scaleWithDoc="0">
    <oddHeader>&amp;R&amp;P</oddHeader>
    <oddFooter>&amp;R&amp;G&amp;L© 2025 Virginia Department of Taxation, All Rights Reserved</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80BF8-CC87-4C5C-8B5D-3D460D69D6D1}">
  <sheetPr codeName="Sheet19"/>
  <dimension ref="A1:Q177"/>
  <sheetViews>
    <sheetView zoomScale="90" zoomScaleNormal="90" workbookViewId="0"/>
  </sheetViews>
  <sheetFormatPr defaultRowHeight="13"/>
  <cols>
    <col min="1" max="1" width="4.69921875" customWidth="1"/>
    <col min="2" max="2" width="15.69921875" customWidth="1"/>
    <col min="3" max="3" width="0.19921875" style="252" customWidth="1"/>
    <col min="4" max="4" width="12.69921875" style="4" customWidth="1"/>
    <col min="5" max="9" width="13.69921875" style="4" customWidth="1"/>
    <col min="10" max="13" width="14.69921875" style="4" customWidth="1"/>
    <col min="14" max="15" width="15.69921875" style="4" customWidth="1"/>
    <col min="16" max="16" width="1.69921875" customWidth="1"/>
    <col min="17" max="17" width="5.19921875" customWidth="1"/>
  </cols>
  <sheetData>
    <row r="1" spans="1:17" ht="15.5">
      <c r="A1" s="813" t="s">
        <v>42</v>
      </c>
      <c r="B1" s="63" t="s">
        <v>803</v>
      </c>
      <c r="C1" s="246"/>
      <c r="D1" s="100"/>
      <c r="E1" s="100"/>
      <c r="F1" s="100"/>
      <c r="G1" s="100"/>
      <c r="H1" s="100"/>
      <c r="I1" s="100"/>
      <c r="J1" s="100"/>
      <c r="K1" s="100"/>
      <c r="L1" s="100"/>
      <c r="M1" s="100"/>
      <c r="N1" s="100"/>
      <c r="O1" s="100"/>
      <c r="Q1" s="8"/>
    </row>
    <row r="2" spans="1:17">
      <c r="B2" s="64" t="s">
        <v>1229</v>
      </c>
      <c r="C2" s="247"/>
      <c r="D2" s="100"/>
      <c r="E2" s="100"/>
      <c r="F2" s="100"/>
      <c r="G2" s="100"/>
      <c r="H2" s="100"/>
      <c r="I2" s="100"/>
      <c r="J2" s="100"/>
      <c r="K2" s="100"/>
      <c r="L2" s="100"/>
      <c r="M2" s="100"/>
      <c r="N2" s="100"/>
      <c r="O2" s="100"/>
    </row>
    <row r="3" spans="1:17" ht="3" customHeight="1" thickBot="1">
      <c r="B3" s="101"/>
      <c r="C3" s="248"/>
      <c r="D3" s="102"/>
      <c r="E3" s="102"/>
      <c r="F3" s="102"/>
      <c r="G3" s="103"/>
      <c r="H3" s="103"/>
      <c r="I3" s="103"/>
      <c r="J3" s="103"/>
      <c r="K3" s="103"/>
      <c r="L3" s="103"/>
      <c r="M3" s="103"/>
      <c r="N3" s="103"/>
      <c r="O3" s="103"/>
    </row>
    <row r="4" spans="1:17" ht="26">
      <c r="B4" s="271" t="s">
        <v>125</v>
      </c>
      <c r="C4" s="241" t="s">
        <v>252</v>
      </c>
      <c r="D4" s="269" t="s">
        <v>804</v>
      </c>
      <c r="E4" s="269" t="s">
        <v>805</v>
      </c>
      <c r="F4" s="269" t="s">
        <v>806</v>
      </c>
      <c r="G4" s="269" t="s">
        <v>807</v>
      </c>
      <c r="H4" s="269" t="s">
        <v>808</v>
      </c>
      <c r="I4" s="269" t="s">
        <v>809</v>
      </c>
      <c r="J4" s="269" t="s">
        <v>810</v>
      </c>
      <c r="K4" s="269" t="s">
        <v>811</v>
      </c>
      <c r="L4" s="269" t="s">
        <v>812</v>
      </c>
      <c r="M4" s="269" t="s">
        <v>813</v>
      </c>
      <c r="N4" s="269" t="s">
        <v>814</v>
      </c>
      <c r="O4" s="269" t="s">
        <v>815</v>
      </c>
    </row>
    <row r="5" spans="1:17" ht="21" customHeight="1">
      <c r="B5" s="66" t="s">
        <v>255</v>
      </c>
      <c r="C5" s="249" t="s">
        <v>651</v>
      </c>
      <c r="D5" s="81">
        <v>10496254.26</v>
      </c>
      <c r="E5" s="81">
        <v>28321600.400000002</v>
      </c>
      <c r="F5" s="81">
        <v>46649524.699999996</v>
      </c>
      <c r="G5" s="81">
        <v>59931695.5</v>
      </c>
      <c r="H5" s="81">
        <v>73381566.730000004</v>
      </c>
      <c r="I5" s="81">
        <v>85384932.049999997</v>
      </c>
      <c r="J5" s="81">
        <v>207253647.69</v>
      </c>
      <c r="K5" s="81">
        <v>231388829.07999998</v>
      </c>
      <c r="L5" s="81">
        <v>731932596.33000004</v>
      </c>
      <c r="M5" s="81">
        <v>816249811.26999998</v>
      </c>
      <c r="N5" s="81">
        <v>9707991880.4099998</v>
      </c>
      <c r="O5" s="81">
        <v>11998982338.42</v>
      </c>
    </row>
    <row r="6" spans="1:17">
      <c r="B6" s="66" t="s">
        <v>258</v>
      </c>
      <c r="C6" s="249" t="s">
        <v>652</v>
      </c>
      <c r="D6" s="82">
        <v>2911468.5700000003</v>
      </c>
      <c r="E6" s="82">
        <v>7168809.6399999997</v>
      </c>
      <c r="F6" s="82">
        <v>11609930.640000001</v>
      </c>
      <c r="G6" s="82">
        <v>14011836.630000001</v>
      </c>
      <c r="H6" s="82">
        <v>15843734.43</v>
      </c>
      <c r="I6" s="82">
        <v>21240507.940000001</v>
      </c>
      <c r="J6" s="82">
        <v>50329780.93</v>
      </c>
      <c r="K6" s="82">
        <v>47395692.620000005</v>
      </c>
      <c r="L6" s="82">
        <v>85865456.859999999</v>
      </c>
      <c r="M6" s="82">
        <v>57763789.880000003</v>
      </c>
      <c r="N6" s="82">
        <v>169259695.88999999</v>
      </c>
      <c r="O6" s="82">
        <v>483400704.02999997</v>
      </c>
    </row>
    <row r="7" spans="1:17">
      <c r="B7" s="66" t="s">
        <v>261</v>
      </c>
      <c r="C7" s="249" t="s">
        <v>653</v>
      </c>
      <c r="D7" s="82">
        <v>485230.25</v>
      </c>
      <c r="E7" s="82">
        <v>1686892.67</v>
      </c>
      <c r="F7" s="82">
        <v>2584918.7000000002</v>
      </c>
      <c r="G7" s="82">
        <v>3283547.45</v>
      </c>
      <c r="H7" s="82">
        <v>4007653.07</v>
      </c>
      <c r="I7" s="82">
        <v>4999622.5199999996</v>
      </c>
      <c r="J7" s="82">
        <v>13250090.469999999</v>
      </c>
      <c r="K7" s="82">
        <v>13421953</v>
      </c>
      <c r="L7" s="82">
        <v>25304829.260000002</v>
      </c>
      <c r="M7" s="82">
        <v>20551467.399999999</v>
      </c>
      <c r="N7" s="82">
        <v>41678400.390000001</v>
      </c>
      <c r="O7" s="82">
        <v>131254605.17999999</v>
      </c>
    </row>
    <row r="8" spans="1:17">
      <c r="B8" s="66" t="s">
        <v>264</v>
      </c>
      <c r="C8" s="249" t="s">
        <v>654</v>
      </c>
      <c r="D8" s="82">
        <v>3199612.18</v>
      </c>
      <c r="E8" s="82">
        <v>9278521.4299999997</v>
      </c>
      <c r="F8" s="82">
        <v>15169563.020000001</v>
      </c>
      <c r="G8" s="82">
        <v>19667244.039999999</v>
      </c>
      <c r="H8" s="82">
        <v>23870347.59</v>
      </c>
      <c r="I8" s="82">
        <v>30398657.329999998</v>
      </c>
      <c r="J8" s="82">
        <v>77916781.340000004</v>
      </c>
      <c r="K8" s="82">
        <v>75606083.25999999</v>
      </c>
      <c r="L8" s="82">
        <v>178182679.22999999</v>
      </c>
      <c r="M8" s="82">
        <v>141504040.19999999</v>
      </c>
      <c r="N8" s="82">
        <v>1615626481.9300001</v>
      </c>
      <c r="O8" s="82">
        <v>2190420011.5500002</v>
      </c>
    </row>
    <row r="9" spans="1:17">
      <c r="B9" s="66" t="s">
        <v>181</v>
      </c>
      <c r="C9" s="249" t="s">
        <v>655</v>
      </c>
      <c r="D9" s="82">
        <v>12235373.65</v>
      </c>
      <c r="E9" s="82">
        <v>39464364.629999995</v>
      </c>
      <c r="F9" s="82">
        <v>70619558.310000002</v>
      </c>
      <c r="G9" s="82">
        <v>97254546.439999998</v>
      </c>
      <c r="H9" s="82">
        <v>121958927.41</v>
      </c>
      <c r="I9" s="82">
        <v>145482435.16</v>
      </c>
      <c r="J9" s="82">
        <v>376721789.96000004</v>
      </c>
      <c r="K9" s="82">
        <v>412152501.57000005</v>
      </c>
      <c r="L9" s="82">
        <v>1039225492.6799999</v>
      </c>
      <c r="M9" s="82">
        <v>947474011.49000001</v>
      </c>
      <c r="N9" s="82">
        <v>5397950667.8900003</v>
      </c>
      <c r="O9" s="82">
        <v>8660539669.1900005</v>
      </c>
    </row>
    <row r="10" spans="1:17" ht="24" customHeight="1">
      <c r="B10" s="66" t="s">
        <v>269</v>
      </c>
      <c r="C10" s="249" t="s">
        <v>656</v>
      </c>
      <c r="D10" s="82">
        <v>897191.83000000007</v>
      </c>
      <c r="E10" s="82">
        <v>2914914.5300000003</v>
      </c>
      <c r="F10" s="82">
        <v>6629603.6299999999</v>
      </c>
      <c r="G10" s="82">
        <v>8331824.71</v>
      </c>
      <c r="H10" s="82">
        <v>10480364.720000001</v>
      </c>
      <c r="I10" s="82">
        <v>14466606.23</v>
      </c>
      <c r="J10" s="82">
        <v>37730419</v>
      </c>
      <c r="K10" s="82">
        <v>40138679.739999995</v>
      </c>
      <c r="L10" s="82">
        <v>92810949.409999996</v>
      </c>
      <c r="M10" s="82">
        <v>70021625.180000007</v>
      </c>
      <c r="N10" s="82">
        <v>213418157.13</v>
      </c>
      <c r="O10" s="82">
        <v>497840336.11000001</v>
      </c>
    </row>
    <row r="11" spans="1:17">
      <c r="B11" s="66" t="s">
        <v>272</v>
      </c>
      <c r="C11" s="249" t="s">
        <v>657</v>
      </c>
      <c r="D11" s="82">
        <v>393640.13</v>
      </c>
      <c r="E11" s="82">
        <v>1092624.57</v>
      </c>
      <c r="F11" s="82">
        <v>2196647.81</v>
      </c>
      <c r="G11" s="82">
        <v>3586981.57</v>
      </c>
      <c r="H11" s="82">
        <v>4409568.38</v>
      </c>
      <c r="I11" s="82">
        <v>6043111.1500000004</v>
      </c>
      <c r="J11" s="82">
        <v>13825480.67</v>
      </c>
      <c r="K11" s="82">
        <v>12797405.91</v>
      </c>
      <c r="L11" s="82">
        <v>23641572.760000002</v>
      </c>
      <c r="M11" s="82">
        <v>17728221.579999998</v>
      </c>
      <c r="N11" s="82">
        <v>45433349.880000003</v>
      </c>
      <c r="O11" s="82">
        <v>131148604.41</v>
      </c>
    </row>
    <row r="12" spans="1:17">
      <c r="B12" s="66" t="s">
        <v>275</v>
      </c>
      <c r="C12" s="249" t="s">
        <v>658</v>
      </c>
      <c r="D12" s="82">
        <v>3345331.77</v>
      </c>
      <c r="E12" s="82">
        <v>10991171.919999998</v>
      </c>
      <c r="F12" s="82">
        <v>20403617.66</v>
      </c>
      <c r="G12" s="82">
        <v>28961964.57</v>
      </c>
      <c r="H12" s="82">
        <v>35646283.310000002</v>
      </c>
      <c r="I12" s="82">
        <v>39853977.219999999</v>
      </c>
      <c r="J12" s="82">
        <v>86371443.25999999</v>
      </c>
      <c r="K12" s="82">
        <v>84256683.969999999</v>
      </c>
      <c r="L12" s="82">
        <v>155015997.71000001</v>
      </c>
      <c r="M12" s="82">
        <v>105635917.25</v>
      </c>
      <c r="N12" s="82">
        <v>397010732.51999998</v>
      </c>
      <c r="O12" s="82">
        <v>967493121.15999997</v>
      </c>
    </row>
    <row r="13" spans="1:17">
      <c r="B13" s="66" t="s">
        <v>277</v>
      </c>
      <c r="C13" s="249" t="s">
        <v>659</v>
      </c>
      <c r="D13" s="82">
        <v>435577.4</v>
      </c>
      <c r="E13" s="82">
        <v>1635776.36</v>
      </c>
      <c r="F13" s="82">
        <v>2696356.34</v>
      </c>
      <c r="G13" s="82">
        <v>3488968.93</v>
      </c>
      <c r="H13" s="82">
        <v>4198989.7300000004</v>
      </c>
      <c r="I13" s="82">
        <v>4539754.3099999996</v>
      </c>
      <c r="J13" s="82">
        <v>10623923.15</v>
      </c>
      <c r="K13" s="82">
        <v>11010759.92</v>
      </c>
      <c r="L13" s="82">
        <v>19665424.300000001</v>
      </c>
      <c r="M13" s="82">
        <v>10175149.970000001</v>
      </c>
      <c r="N13" s="82">
        <v>26296659.649999999</v>
      </c>
      <c r="O13" s="82">
        <v>94767340.060000002</v>
      </c>
    </row>
    <row r="14" spans="1:17">
      <c r="B14" s="66" t="s">
        <v>280</v>
      </c>
      <c r="C14" s="249" t="s">
        <v>660</v>
      </c>
      <c r="D14" s="82">
        <v>3090556.7199999997</v>
      </c>
      <c r="E14" s="82">
        <v>7503497.6900000004</v>
      </c>
      <c r="F14" s="82">
        <v>11542362.590000002</v>
      </c>
      <c r="G14" s="82">
        <v>12751288.49</v>
      </c>
      <c r="H14" s="82">
        <v>14726830.43</v>
      </c>
      <c r="I14" s="82">
        <v>17794624.440000001</v>
      </c>
      <c r="J14" s="82">
        <v>43445018.789999999</v>
      </c>
      <c r="K14" s="82">
        <v>41006374.129999995</v>
      </c>
      <c r="L14" s="82">
        <v>119273033.04000001</v>
      </c>
      <c r="M14" s="82">
        <v>122199606.09</v>
      </c>
      <c r="N14" s="82">
        <v>1458110026.6099999</v>
      </c>
      <c r="O14" s="82">
        <v>1851443219.02</v>
      </c>
    </row>
    <row r="15" spans="1:17" ht="24" customHeight="1">
      <c r="B15" s="66" t="s">
        <v>133</v>
      </c>
      <c r="C15" s="249" t="s">
        <v>661</v>
      </c>
      <c r="D15" s="82">
        <v>1330831.5999999999</v>
      </c>
      <c r="E15" s="82">
        <v>3195305.2199999997</v>
      </c>
      <c r="F15" s="82">
        <v>4647127.46</v>
      </c>
      <c r="G15" s="82">
        <v>5478932.5599999996</v>
      </c>
      <c r="H15" s="82">
        <v>6159348.25</v>
      </c>
      <c r="I15" s="82">
        <v>6528431.3499999996</v>
      </c>
      <c r="J15" s="82">
        <v>16925630.57</v>
      </c>
      <c r="K15" s="82">
        <v>19339911.350000001</v>
      </c>
      <c r="L15" s="82">
        <v>63997339.75</v>
      </c>
      <c r="M15" s="82">
        <v>68844868.840000004</v>
      </c>
      <c r="N15" s="82">
        <v>1490125594.47</v>
      </c>
      <c r="O15" s="82">
        <v>1686573321.4200001</v>
      </c>
    </row>
    <row r="16" spans="1:17">
      <c r="B16" s="66" t="s">
        <v>285</v>
      </c>
      <c r="C16" s="249" t="s">
        <v>662</v>
      </c>
      <c r="D16" s="82">
        <v>463858.25</v>
      </c>
      <c r="E16" s="82">
        <v>1979743.2799999998</v>
      </c>
      <c r="F16" s="82">
        <v>3372927.56</v>
      </c>
      <c r="G16" s="82">
        <v>4822423.84</v>
      </c>
      <c r="H16" s="82">
        <v>5973021.0099999998</v>
      </c>
      <c r="I16" s="82">
        <v>6412796.7999999998</v>
      </c>
      <c r="J16" s="82">
        <v>15964891.039999999</v>
      </c>
      <c r="K16" s="82">
        <v>15895126.58</v>
      </c>
      <c r="L16" s="82">
        <v>31198450.579999998</v>
      </c>
      <c r="M16" s="82">
        <v>21677635.629999999</v>
      </c>
      <c r="N16" s="82">
        <v>76749580</v>
      </c>
      <c r="O16" s="82">
        <v>184510454.56999999</v>
      </c>
    </row>
    <row r="17" spans="2:15">
      <c r="B17" s="66" t="s">
        <v>288</v>
      </c>
      <c r="C17" s="249" t="s">
        <v>663</v>
      </c>
      <c r="D17" s="82">
        <v>1731349.47</v>
      </c>
      <c r="E17" s="82">
        <v>5629012.5700000003</v>
      </c>
      <c r="F17" s="82">
        <v>9924027.129999999</v>
      </c>
      <c r="G17" s="82">
        <v>14131749.300000001</v>
      </c>
      <c r="H17" s="82">
        <v>16713412.689999999</v>
      </c>
      <c r="I17" s="82">
        <v>20814700.27</v>
      </c>
      <c r="J17" s="82">
        <v>52609707.120000005</v>
      </c>
      <c r="K17" s="82">
        <v>52967272.310000002</v>
      </c>
      <c r="L17" s="82">
        <v>127141598.11</v>
      </c>
      <c r="M17" s="82">
        <v>113086100.79000001</v>
      </c>
      <c r="N17" s="82">
        <v>814736360.30999994</v>
      </c>
      <c r="O17" s="82">
        <v>1229485290.0699999</v>
      </c>
    </row>
    <row r="18" spans="2:15">
      <c r="B18" s="66" t="s">
        <v>290</v>
      </c>
      <c r="C18" s="249" t="s">
        <v>664</v>
      </c>
      <c r="D18" s="82">
        <v>508727.64</v>
      </c>
      <c r="E18" s="82">
        <v>1632958.66</v>
      </c>
      <c r="F18" s="82">
        <v>2843147.7</v>
      </c>
      <c r="G18" s="82">
        <v>4069907.54</v>
      </c>
      <c r="H18" s="82">
        <v>4925643.93</v>
      </c>
      <c r="I18" s="82">
        <v>7426529.3499999996</v>
      </c>
      <c r="J18" s="82">
        <v>14358062.810000001</v>
      </c>
      <c r="K18" s="82">
        <v>13258694.199999999</v>
      </c>
      <c r="L18" s="82">
        <v>27154426.27</v>
      </c>
      <c r="M18" s="82">
        <v>19761579</v>
      </c>
      <c r="N18" s="82">
        <v>57606521.960000001</v>
      </c>
      <c r="O18" s="82">
        <v>153546199.06</v>
      </c>
    </row>
    <row r="19" spans="2:15">
      <c r="B19" s="66" t="s">
        <v>136</v>
      </c>
      <c r="C19" s="249" t="s">
        <v>665</v>
      </c>
      <c r="D19" s="82">
        <v>6073194.6600000001</v>
      </c>
      <c r="E19" s="82">
        <v>22535138.25</v>
      </c>
      <c r="F19" s="82">
        <v>44817145.189999998</v>
      </c>
      <c r="G19" s="82">
        <v>63885924.719999999</v>
      </c>
      <c r="H19" s="82">
        <v>80492776.819999993</v>
      </c>
      <c r="I19" s="82">
        <v>97292075.609999999</v>
      </c>
      <c r="J19" s="82">
        <v>235541522.75</v>
      </c>
      <c r="K19" s="82">
        <v>254826087.25</v>
      </c>
      <c r="L19" s="82">
        <v>598060423.40999997</v>
      </c>
      <c r="M19" s="82">
        <v>457558353.13999999</v>
      </c>
      <c r="N19" s="82">
        <v>1324897175.6500001</v>
      </c>
      <c r="O19" s="82">
        <v>3185979817.4499998</v>
      </c>
    </row>
    <row r="20" spans="2:15" s="3" customFormat="1" ht="24" customHeight="1">
      <c r="B20" s="66" t="s">
        <v>182</v>
      </c>
      <c r="C20" s="249" t="s">
        <v>666</v>
      </c>
      <c r="D20" s="82">
        <v>3265135.71</v>
      </c>
      <c r="E20" s="82">
        <v>9120172.4000000004</v>
      </c>
      <c r="F20" s="82">
        <v>16541246.890000001</v>
      </c>
      <c r="G20" s="82">
        <v>21858389.34</v>
      </c>
      <c r="H20" s="82">
        <v>26268814.800000001</v>
      </c>
      <c r="I20" s="82">
        <v>32183892.620000001</v>
      </c>
      <c r="J20" s="82">
        <v>87290844.280000001</v>
      </c>
      <c r="K20" s="82">
        <v>90983172.560000002</v>
      </c>
      <c r="L20" s="82">
        <v>175177421.69</v>
      </c>
      <c r="M20" s="82">
        <v>126821332.22</v>
      </c>
      <c r="N20" s="82">
        <v>446909288.62</v>
      </c>
      <c r="O20" s="82">
        <v>1036419711.13</v>
      </c>
    </row>
    <row r="21" spans="2:15" s="3" customFormat="1">
      <c r="B21" s="66" t="s">
        <v>297</v>
      </c>
      <c r="C21" s="249" t="s">
        <v>667</v>
      </c>
      <c r="D21" s="82">
        <v>965679.28</v>
      </c>
      <c r="E21" s="82">
        <v>4285740.67</v>
      </c>
      <c r="F21" s="82">
        <v>8612408.0299999993</v>
      </c>
      <c r="G21" s="82">
        <v>12660736.16</v>
      </c>
      <c r="H21" s="82">
        <v>15062787.810000001</v>
      </c>
      <c r="I21" s="82">
        <v>18955487.379999999</v>
      </c>
      <c r="J21" s="82">
        <v>51022762.980000004</v>
      </c>
      <c r="K21" s="82">
        <v>50067658.260000005</v>
      </c>
      <c r="L21" s="82">
        <v>96000647.030000001</v>
      </c>
      <c r="M21" s="82">
        <v>62744784.020000003</v>
      </c>
      <c r="N21" s="82">
        <v>118547045.98</v>
      </c>
      <c r="O21" s="82">
        <v>438925737.60000002</v>
      </c>
    </row>
    <row r="22" spans="2:15" s="3" customFormat="1">
      <c r="B22" s="66" t="s">
        <v>300</v>
      </c>
      <c r="C22" s="249" t="s">
        <v>668</v>
      </c>
      <c r="D22" s="82">
        <v>547648.69999999995</v>
      </c>
      <c r="E22" s="82">
        <v>1157890.75</v>
      </c>
      <c r="F22" s="82">
        <v>1646995.93</v>
      </c>
      <c r="G22" s="82">
        <v>2827858.53</v>
      </c>
      <c r="H22" s="82">
        <v>2597553.46</v>
      </c>
      <c r="I22" s="82">
        <v>3870489.51</v>
      </c>
      <c r="J22" s="82">
        <v>9310280.5500000007</v>
      </c>
      <c r="K22" s="82">
        <v>8533449.3300000001</v>
      </c>
      <c r="L22" s="82">
        <v>22128764.329999998</v>
      </c>
      <c r="M22" s="82">
        <v>21082650.059999999</v>
      </c>
      <c r="N22" s="82">
        <v>144779060.71000001</v>
      </c>
      <c r="O22" s="82">
        <v>218482641.86000001</v>
      </c>
    </row>
    <row r="23" spans="2:15" s="3" customFormat="1">
      <c r="B23" s="66" t="s">
        <v>302</v>
      </c>
      <c r="C23" s="249" t="s">
        <v>669</v>
      </c>
      <c r="D23" s="82">
        <v>5601630.0300000003</v>
      </c>
      <c r="E23" s="82">
        <v>15791049</v>
      </c>
      <c r="F23" s="82">
        <v>28660089.91</v>
      </c>
      <c r="G23" s="82">
        <v>39563452.420000002</v>
      </c>
      <c r="H23" s="82">
        <v>45116044.939999998</v>
      </c>
      <c r="I23" s="82">
        <v>57109585.539999999</v>
      </c>
      <c r="J23" s="82">
        <v>140182924.81</v>
      </c>
      <c r="K23" s="82">
        <v>145667415.31</v>
      </c>
      <c r="L23" s="82">
        <v>282146942.11000001</v>
      </c>
      <c r="M23" s="82">
        <v>229552140.09</v>
      </c>
      <c r="N23" s="82">
        <v>1086163521.3099999</v>
      </c>
      <c r="O23" s="82">
        <v>2075554795.4699998</v>
      </c>
    </row>
    <row r="24" spans="2:15" s="3" customFormat="1">
      <c r="B24" s="66" t="s">
        <v>183</v>
      </c>
      <c r="C24" s="249" t="s">
        <v>670</v>
      </c>
      <c r="D24" s="82">
        <v>3011832.4000000004</v>
      </c>
      <c r="E24" s="82">
        <v>7825943.2699999996</v>
      </c>
      <c r="F24" s="82">
        <v>14664460.719999999</v>
      </c>
      <c r="G24" s="82">
        <v>20281840.93</v>
      </c>
      <c r="H24" s="82">
        <v>27321630.510000002</v>
      </c>
      <c r="I24" s="82">
        <v>30537992.550000001</v>
      </c>
      <c r="J24" s="82">
        <v>74717121.650000006</v>
      </c>
      <c r="K24" s="82">
        <v>83073783.300000012</v>
      </c>
      <c r="L24" s="82">
        <v>221751062.52000001</v>
      </c>
      <c r="M24" s="82">
        <v>192319160.02000001</v>
      </c>
      <c r="N24" s="82">
        <v>858168753.29999995</v>
      </c>
      <c r="O24" s="82">
        <v>1533673581.1700001</v>
      </c>
    </row>
    <row r="25" spans="2:15" s="3" customFormat="1" ht="24" customHeight="1">
      <c r="B25" s="66" t="s">
        <v>306</v>
      </c>
      <c r="C25" s="249" t="s">
        <v>671</v>
      </c>
      <c r="D25" s="82">
        <v>1281753.1400000001</v>
      </c>
      <c r="E25" s="82">
        <v>3921362.77</v>
      </c>
      <c r="F25" s="82">
        <v>6962661.9899999993</v>
      </c>
      <c r="G25" s="82">
        <v>8776223.1400000006</v>
      </c>
      <c r="H25" s="82">
        <v>11314509.98</v>
      </c>
      <c r="I25" s="82">
        <v>14223306.99</v>
      </c>
      <c r="J25" s="82">
        <v>34082274.100000001</v>
      </c>
      <c r="K25" s="82">
        <v>36710094.560000002</v>
      </c>
      <c r="L25" s="82">
        <v>89753614.420000002</v>
      </c>
      <c r="M25" s="82">
        <v>86598103.030000001</v>
      </c>
      <c r="N25" s="82">
        <v>322793398.57999998</v>
      </c>
      <c r="O25" s="82">
        <v>616417302.70000005</v>
      </c>
    </row>
    <row r="26" spans="2:15" s="3" customFormat="1">
      <c r="B26" s="66" t="s">
        <v>185</v>
      </c>
      <c r="C26" s="249" t="s">
        <v>672</v>
      </c>
      <c r="D26" s="82">
        <v>905551</v>
      </c>
      <c r="E26" s="82">
        <v>3195285.2</v>
      </c>
      <c r="F26" s="82">
        <v>5919324.9000000004</v>
      </c>
      <c r="G26" s="82">
        <v>8224461.2599999998</v>
      </c>
      <c r="H26" s="82">
        <v>9986058.1500000004</v>
      </c>
      <c r="I26" s="82">
        <v>13332742.16</v>
      </c>
      <c r="J26" s="82">
        <v>31757614.490000002</v>
      </c>
      <c r="K26" s="82">
        <v>28354908.219999999</v>
      </c>
      <c r="L26" s="82">
        <v>47447294.140000001</v>
      </c>
      <c r="M26" s="82">
        <v>30036179.27</v>
      </c>
      <c r="N26" s="82">
        <v>124165749.16</v>
      </c>
      <c r="O26" s="82">
        <v>303325167.94999999</v>
      </c>
    </row>
    <row r="27" spans="2:15" s="3" customFormat="1">
      <c r="B27" s="66" t="s">
        <v>310</v>
      </c>
      <c r="C27" s="249" t="s">
        <v>673</v>
      </c>
      <c r="D27" s="82">
        <v>8384331.6900000004</v>
      </c>
      <c r="E27" s="82">
        <v>31315839.289999999</v>
      </c>
      <c r="F27" s="82">
        <v>62301087.789999999</v>
      </c>
      <c r="G27" s="82">
        <v>89788578.049999997</v>
      </c>
      <c r="H27" s="82">
        <v>106362752.45999999</v>
      </c>
      <c r="I27" s="82">
        <v>129531082.86</v>
      </c>
      <c r="J27" s="82">
        <v>327028871.81999999</v>
      </c>
      <c r="K27" s="82">
        <v>346631393.47000003</v>
      </c>
      <c r="L27" s="82">
        <v>774606424.03999996</v>
      </c>
      <c r="M27" s="82">
        <v>596936107.48000002</v>
      </c>
      <c r="N27" s="82">
        <v>1972026248.26</v>
      </c>
      <c r="O27" s="82">
        <v>4444912717.21</v>
      </c>
    </row>
    <row r="28" spans="2:15" s="3" customFormat="1">
      <c r="B28" s="66" t="s">
        <v>313</v>
      </c>
      <c r="C28" s="249" t="s">
        <v>674</v>
      </c>
      <c r="D28" s="82">
        <v>12102667.989999998</v>
      </c>
      <c r="E28" s="82">
        <v>38820396.799999997</v>
      </c>
      <c r="F28" s="82">
        <v>75580851.960000008</v>
      </c>
      <c r="G28" s="82">
        <v>108348587.3</v>
      </c>
      <c r="H28" s="82">
        <v>134098682.73999999</v>
      </c>
      <c r="I28" s="82">
        <v>156395119.84</v>
      </c>
      <c r="J28" s="82">
        <v>384604773.47000003</v>
      </c>
      <c r="K28" s="82">
        <v>376837577.51999998</v>
      </c>
      <c r="L28" s="82">
        <v>808920363.69000006</v>
      </c>
      <c r="M28" s="82">
        <v>608092741.30999994</v>
      </c>
      <c r="N28" s="82">
        <v>3046589693.6999998</v>
      </c>
      <c r="O28" s="82">
        <v>5750391456.3199997</v>
      </c>
    </row>
    <row r="29" spans="2:15" s="3" customFormat="1">
      <c r="B29" s="66" t="s">
        <v>316</v>
      </c>
      <c r="C29" s="249" t="s">
        <v>675</v>
      </c>
      <c r="D29" s="82">
        <v>306636.84999999998</v>
      </c>
      <c r="E29" s="82">
        <v>893816.09000000008</v>
      </c>
      <c r="F29" s="82">
        <v>1835484.76</v>
      </c>
      <c r="G29" s="82">
        <v>2560569.2999999998</v>
      </c>
      <c r="H29" s="82">
        <v>2898559.07</v>
      </c>
      <c r="I29" s="82">
        <v>3052239.37</v>
      </c>
      <c r="J29" s="82">
        <v>9012863</v>
      </c>
      <c r="K29" s="82">
        <v>7905324.3200000003</v>
      </c>
      <c r="L29" s="82">
        <v>14163500.470000001</v>
      </c>
      <c r="M29" s="82">
        <v>12481353.880000001</v>
      </c>
      <c r="N29" s="82">
        <v>31659873.41</v>
      </c>
      <c r="O29" s="82">
        <v>86770220.520000011</v>
      </c>
    </row>
    <row r="30" spans="2:15" s="3" customFormat="1" ht="24" customHeight="1">
      <c r="B30" s="66" t="s">
        <v>143</v>
      </c>
      <c r="C30" s="249" t="s">
        <v>676</v>
      </c>
      <c r="D30" s="82">
        <v>1950907.24</v>
      </c>
      <c r="E30" s="82">
        <v>7189327.7300000004</v>
      </c>
      <c r="F30" s="82">
        <v>14844877.34</v>
      </c>
      <c r="G30" s="82">
        <v>20919564.190000001</v>
      </c>
      <c r="H30" s="82">
        <v>25520675.02</v>
      </c>
      <c r="I30" s="82">
        <v>30508950.140000001</v>
      </c>
      <c r="J30" s="82">
        <v>72899204.030000001</v>
      </c>
      <c r="K30" s="82">
        <v>68062161.170000002</v>
      </c>
      <c r="L30" s="82">
        <v>116422366.97</v>
      </c>
      <c r="M30" s="82">
        <v>65208875.859999999</v>
      </c>
      <c r="N30" s="82">
        <v>143180452.31</v>
      </c>
      <c r="O30" s="82">
        <v>566707362</v>
      </c>
    </row>
    <row r="31" spans="2:15" s="3" customFormat="1">
      <c r="B31" s="66" t="s">
        <v>320</v>
      </c>
      <c r="C31" s="249" t="s">
        <v>677</v>
      </c>
      <c r="D31" s="82">
        <v>619702.55999999994</v>
      </c>
      <c r="E31" s="82">
        <v>1731855.35</v>
      </c>
      <c r="F31" s="82">
        <v>3201869.96</v>
      </c>
      <c r="G31" s="82">
        <v>4014493.09</v>
      </c>
      <c r="H31" s="82">
        <v>4975357.09</v>
      </c>
      <c r="I31" s="82">
        <v>5433125.25</v>
      </c>
      <c r="J31" s="82">
        <v>12763370.539999999</v>
      </c>
      <c r="K31" s="82">
        <v>16120341.119999999</v>
      </c>
      <c r="L31" s="82">
        <v>47328286.700000003</v>
      </c>
      <c r="M31" s="82">
        <v>50280683.770000003</v>
      </c>
      <c r="N31" s="82">
        <v>445135880.36000001</v>
      </c>
      <c r="O31" s="82">
        <v>591604965.78999996</v>
      </c>
    </row>
    <row r="32" spans="2:15" s="3" customFormat="1">
      <c r="B32" s="66" t="s">
        <v>144</v>
      </c>
      <c r="C32" s="249" t="s">
        <v>678</v>
      </c>
      <c r="D32" s="82">
        <v>4067348.44</v>
      </c>
      <c r="E32" s="82">
        <v>15206293.890000001</v>
      </c>
      <c r="F32" s="82">
        <v>30643094.949999999</v>
      </c>
      <c r="G32" s="82">
        <v>47206572.57</v>
      </c>
      <c r="H32" s="82">
        <v>58778761.189999998</v>
      </c>
      <c r="I32" s="82">
        <v>73096826.590000004</v>
      </c>
      <c r="J32" s="82">
        <v>179546152.13999999</v>
      </c>
      <c r="K32" s="82">
        <v>184333870.88</v>
      </c>
      <c r="L32" s="82">
        <v>408401962.42000002</v>
      </c>
      <c r="M32" s="82">
        <v>320929733.67000002</v>
      </c>
      <c r="N32" s="82">
        <v>771945935.23000002</v>
      </c>
      <c r="O32" s="82">
        <v>2094156551.97</v>
      </c>
    </row>
    <row r="33" spans="2:15" s="3" customFormat="1">
      <c r="B33" s="66" t="s">
        <v>325</v>
      </c>
      <c r="C33" s="249" t="s">
        <v>679</v>
      </c>
      <c r="D33" s="82">
        <v>951253.51</v>
      </c>
      <c r="E33" s="82">
        <v>2576775.84</v>
      </c>
      <c r="F33" s="82">
        <v>4820089.37</v>
      </c>
      <c r="G33" s="82">
        <v>6708783.8300000001</v>
      </c>
      <c r="H33" s="82">
        <v>7760634.8300000001</v>
      </c>
      <c r="I33" s="82">
        <v>10861503.640000001</v>
      </c>
      <c r="J33" s="82">
        <v>26064352.41</v>
      </c>
      <c r="K33" s="82">
        <v>27768112.039999999</v>
      </c>
      <c r="L33" s="82">
        <v>53354442.240000002</v>
      </c>
      <c r="M33" s="82">
        <v>42460313.789999999</v>
      </c>
      <c r="N33" s="82">
        <v>173517028.00999999</v>
      </c>
      <c r="O33" s="82">
        <v>356843289.50999999</v>
      </c>
    </row>
    <row r="34" spans="2:15" s="3" customFormat="1">
      <c r="B34" s="66" t="s">
        <v>328</v>
      </c>
      <c r="C34" s="249" t="s">
        <v>680</v>
      </c>
      <c r="D34" s="82">
        <v>13789452.619999999</v>
      </c>
      <c r="E34" s="82">
        <v>41515355.390000001</v>
      </c>
      <c r="F34" s="82">
        <v>81320875.969999999</v>
      </c>
      <c r="G34" s="82">
        <v>114855119.12</v>
      </c>
      <c r="H34" s="82">
        <v>133380562.23</v>
      </c>
      <c r="I34" s="82">
        <v>160308596.94999999</v>
      </c>
      <c r="J34" s="82">
        <v>413372338.88</v>
      </c>
      <c r="K34" s="82">
        <v>445629509.32000005</v>
      </c>
      <c r="L34" s="82">
        <v>1036699711.55</v>
      </c>
      <c r="M34" s="82">
        <v>729907289.67999995</v>
      </c>
      <c r="N34" s="82">
        <v>6686930206.8800001</v>
      </c>
      <c r="O34" s="82">
        <v>9857709018.5900002</v>
      </c>
    </row>
    <row r="35" spans="2:15" s="3" customFormat="1" ht="15.5">
      <c r="B35" s="63" t="str">
        <f>B1&amp;", continued"</f>
        <v>Table 1.5, continued</v>
      </c>
      <c r="C35" s="246"/>
      <c r="D35" s="100"/>
      <c r="E35" s="100"/>
      <c r="F35" s="100"/>
      <c r="G35" s="100"/>
      <c r="H35" s="100"/>
      <c r="I35" s="100"/>
      <c r="J35" s="100"/>
      <c r="K35" s="100"/>
      <c r="L35" s="100"/>
      <c r="M35" s="100"/>
      <c r="N35" s="100"/>
      <c r="O35" s="100"/>
    </row>
    <row r="36" spans="2:15" s="3" customFormat="1">
      <c r="B36" s="64" t="str">
        <f>$B$2</f>
        <v>Virginia Adjusted Gross Income by Locality/Income Level, Taxable Year 2023</v>
      </c>
      <c r="C36" s="247"/>
      <c r="D36" s="100"/>
      <c r="E36" s="100"/>
      <c r="F36" s="100"/>
      <c r="G36" s="100"/>
      <c r="H36" s="100"/>
      <c r="I36" s="100"/>
      <c r="J36" s="100"/>
      <c r="K36" s="100"/>
      <c r="L36" s="100"/>
      <c r="M36" s="100"/>
      <c r="N36" s="100"/>
      <c r="O36" s="100"/>
    </row>
    <row r="37" spans="2:15" s="3" customFormat="1" ht="3" customHeight="1" thickBot="1">
      <c r="B37" s="101"/>
      <c r="C37" s="248"/>
      <c r="D37" s="102"/>
      <c r="E37" s="102"/>
      <c r="F37" s="102"/>
      <c r="G37" s="103"/>
      <c r="H37" s="103"/>
      <c r="I37" s="103"/>
      <c r="J37" s="103"/>
      <c r="K37" s="103"/>
      <c r="L37" s="103"/>
      <c r="M37" s="103"/>
      <c r="N37" s="103"/>
      <c r="O37" s="103"/>
    </row>
    <row r="38" spans="2:15" s="3" customFormat="1" ht="26">
      <c r="B38" s="271" t="s">
        <v>125</v>
      </c>
      <c r="C38" s="270" t="str">
        <f>C$4</f>
        <v>FIPS</v>
      </c>
      <c r="D38" s="269" t="str">
        <f>D$4</f>
        <v>$0 to $4,999</v>
      </c>
      <c r="E38" s="269" t="str">
        <f t="shared" ref="E38:O38" si="0">E$4</f>
        <v>$5,000 to $9,999</v>
      </c>
      <c r="F38" s="269" t="str">
        <f t="shared" si="0"/>
        <v>$10,000 to $14,999</v>
      </c>
      <c r="G38" s="269" t="str">
        <f t="shared" si="0"/>
        <v>$15,000 to $19,999</v>
      </c>
      <c r="H38" s="269" t="str">
        <f t="shared" si="0"/>
        <v>$20,000 to $24,999</v>
      </c>
      <c r="I38" s="269" t="str">
        <f t="shared" si="0"/>
        <v>$25,000 to $29,999</v>
      </c>
      <c r="J38" s="269" t="str">
        <f t="shared" si="0"/>
        <v>$30,000 to $39,999</v>
      </c>
      <c r="K38" s="269" t="str">
        <f t="shared" si="0"/>
        <v>$40,000 to $49,999</v>
      </c>
      <c r="L38" s="269" t="str">
        <f t="shared" si="0"/>
        <v>$50,000 to $74,999</v>
      </c>
      <c r="M38" s="269" t="str">
        <f t="shared" si="0"/>
        <v>$75,000 to $99,999</v>
      </c>
      <c r="N38" s="269" t="str">
        <f t="shared" si="0"/>
        <v>$100,000 and Over</v>
      </c>
      <c r="O38" s="269" t="str">
        <f t="shared" si="0"/>
        <v>Total Adjusted Gross Income</v>
      </c>
    </row>
    <row r="39" spans="2:15" s="3" customFormat="1" ht="21" customHeight="1">
      <c r="B39" s="66" t="s">
        <v>331</v>
      </c>
      <c r="C39" s="249" t="s">
        <v>686</v>
      </c>
      <c r="D39" s="81">
        <v>6372364.3799999999</v>
      </c>
      <c r="E39" s="81">
        <v>19636141.269999996</v>
      </c>
      <c r="F39" s="81">
        <v>38784901.010000005</v>
      </c>
      <c r="G39" s="81">
        <v>53627133.829999998</v>
      </c>
      <c r="H39" s="81">
        <v>64340477.649999999</v>
      </c>
      <c r="I39" s="81">
        <v>81869931.030000001</v>
      </c>
      <c r="J39" s="81">
        <v>215328138.04000002</v>
      </c>
      <c r="K39" s="81">
        <v>225571562.69</v>
      </c>
      <c r="L39" s="81">
        <v>425792084.69</v>
      </c>
      <c r="M39" s="81">
        <v>281622296.31</v>
      </c>
      <c r="N39" s="81">
        <v>1467396869.6500001</v>
      </c>
      <c r="O39" s="81">
        <v>2880341900.5500002</v>
      </c>
    </row>
    <row r="40" spans="2:15" s="3" customFormat="1">
      <c r="B40" s="66" t="s">
        <v>147</v>
      </c>
      <c r="C40" s="249" t="s">
        <v>687</v>
      </c>
      <c r="D40" s="82">
        <v>1449808.4900000002</v>
      </c>
      <c r="E40" s="82">
        <v>4589953.17</v>
      </c>
      <c r="F40" s="82">
        <v>8013428.9299999997</v>
      </c>
      <c r="G40" s="82">
        <v>11143046.58</v>
      </c>
      <c r="H40" s="82">
        <v>13526253.550000001</v>
      </c>
      <c r="I40" s="82">
        <v>18249148.309999999</v>
      </c>
      <c r="J40" s="82">
        <v>47641865.290000007</v>
      </c>
      <c r="K40" s="82">
        <v>52799744</v>
      </c>
      <c r="L40" s="82">
        <v>118955942.02</v>
      </c>
      <c r="M40" s="82">
        <v>97714372.019999996</v>
      </c>
      <c r="N40" s="82">
        <v>565696012.95000005</v>
      </c>
      <c r="O40" s="82">
        <v>939779575.30999994</v>
      </c>
    </row>
    <row r="41" spans="2:15" s="3" customFormat="1">
      <c r="B41" s="66" t="s">
        <v>336</v>
      </c>
      <c r="C41" s="249" t="s">
        <v>688</v>
      </c>
      <c r="D41" s="82">
        <v>1394513.48</v>
      </c>
      <c r="E41" s="82">
        <v>4633732.22</v>
      </c>
      <c r="F41" s="82">
        <v>8389144.3200000003</v>
      </c>
      <c r="G41" s="82">
        <v>12807503.060000001</v>
      </c>
      <c r="H41" s="82">
        <v>15678301.550000001</v>
      </c>
      <c r="I41" s="82">
        <v>19685819.84</v>
      </c>
      <c r="J41" s="82">
        <v>51038074.700000003</v>
      </c>
      <c r="K41" s="82">
        <v>58600286.620000005</v>
      </c>
      <c r="L41" s="82">
        <v>134603211.83000001</v>
      </c>
      <c r="M41" s="82">
        <v>102099384.95</v>
      </c>
      <c r="N41" s="82">
        <v>373829410.45999998</v>
      </c>
      <c r="O41" s="82">
        <v>782759383.02999997</v>
      </c>
    </row>
    <row r="42" spans="2:15" s="3" customFormat="1">
      <c r="B42" s="66" t="s">
        <v>188</v>
      </c>
      <c r="C42" s="249" t="s">
        <v>689</v>
      </c>
      <c r="D42" s="82">
        <v>4623355.46</v>
      </c>
      <c r="E42" s="82">
        <v>14760598.739999998</v>
      </c>
      <c r="F42" s="82">
        <v>29117771.539999999</v>
      </c>
      <c r="G42" s="82">
        <v>39769682.200000003</v>
      </c>
      <c r="H42" s="82">
        <v>50951790.219999999</v>
      </c>
      <c r="I42" s="82">
        <v>60313091.240000002</v>
      </c>
      <c r="J42" s="82">
        <v>153167032.37</v>
      </c>
      <c r="K42" s="82">
        <v>161007979.01999998</v>
      </c>
      <c r="L42" s="82">
        <v>406515271.61000001</v>
      </c>
      <c r="M42" s="82">
        <v>382263523.04000002</v>
      </c>
      <c r="N42" s="82">
        <v>2083633632.27</v>
      </c>
      <c r="O42" s="82">
        <v>3386123727.71</v>
      </c>
    </row>
    <row r="43" spans="2:15" s="3" customFormat="1">
      <c r="B43" s="66" t="s">
        <v>341</v>
      </c>
      <c r="C43" s="249" t="s">
        <v>690</v>
      </c>
      <c r="D43" s="82">
        <v>23620476.350000001</v>
      </c>
      <c r="E43" s="82">
        <v>74559458.449999988</v>
      </c>
      <c r="F43" s="82">
        <v>133485316.44000001</v>
      </c>
      <c r="G43" s="82">
        <v>178422312.13</v>
      </c>
      <c r="H43" s="82">
        <v>223938736.5</v>
      </c>
      <c r="I43" s="82">
        <v>274640230.23000002</v>
      </c>
      <c r="J43" s="82">
        <v>701714029.66000009</v>
      </c>
      <c r="K43" s="82">
        <v>772788492.06999993</v>
      </c>
      <c r="L43" s="82">
        <v>1975031674.8199999</v>
      </c>
      <c r="M43" s="82">
        <v>1678634746.1300001</v>
      </c>
      <c r="N43" s="82">
        <v>12910179349.43</v>
      </c>
      <c r="O43" s="82">
        <v>18947014822.209999</v>
      </c>
    </row>
    <row r="44" spans="2:15" s="3" customFormat="1" ht="21" customHeight="1">
      <c r="B44" s="66" t="s">
        <v>344</v>
      </c>
      <c r="C44" s="249" t="s">
        <v>691</v>
      </c>
      <c r="D44" s="82">
        <v>1182554.46</v>
      </c>
      <c r="E44" s="82">
        <v>4199620.87</v>
      </c>
      <c r="F44" s="82">
        <v>7215766.9000000004</v>
      </c>
      <c r="G44" s="82">
        <v>10814249.43</v>
      </c>
      <c r="H44" s="82">
        <v>14250708.810000001</v>
      </c>
      <c r="I44" s="82">
        <v>18242063.27</v>
      </c>
      <c r="J44" s="82">
        <v>45104473.989999995</v>
      </c>
      <c r="K44" s="82">
        <v>54988556.5</v>
      </c>
      <c r="L44" s="82">
        <v>125604247.23</v>
      </c>
      <c r="M44" s="82">
        <v>87936269.310000002</v>
      </c>
      <c r="N44" s="82">
        <v>289842348.19</v>
      </c>
      <c r="O44" s="82">
        <v>659380858.96000004</v>
      </c>
    </row>
    <row r="45" spans="2:15" s="3" customFormat="1">
      <c r="B45" s="66" t="s">
        <v>347</v>
      </c>
      <c r="C45" s="249" t="s">
        <v>692</v>
      </c>
      <c r="D45" s="82">
        <v>1539269.56</v>
      </c>
      <c r="E45" s="82">
        <v>5721611.4399999995</v>
      </c>
      <c r="F45" s="82">
        <v>6495986.7200000007</v>
      </c>
      <c r="G45" s="82">
        <v>6738857.5599999996</v>
      </c>
      <c r="H45" s="82">
        <v>8206637.1600000001</v>
      </c>
      <c r="I45" s="82">
        <v>9874490.8399999999</v>
      </c>
      <c r="J45" s="82">
        <v>24012014.219999999</v>
      </c>
      <c r="K45" s="82">
        <v>24727585.09</v>
      </c>
      <c r="L45" s="82">
        <v>55163108.859999999</v>
      </c>
      <c r="M45" s="82">
        <v>45610982.719999999</v>
      </c>
      <c r="N45" s="82">
        <v>416102211.68000001</v>
      </c>
      <c r="O45" s="82">
        <v>604192755.85000002</v>
      </c>
    </row>
    <row r="46" spans="2:15" s="3" customFormat="1">
      <c r="B46" s="66" t="s">
        <v>350</v>
      </c>
      <c r="C46" s="249" t="s">
        <v>693</v>
      </c>
      <c r="D46" s="82">
        <v>2321124.29</v>
      </c>
      <c r="E46" s="82">
        <v>6656470.3599999994</v>
      </c>
      <c r="F46" s="82">
        <v>10408065.57</v>
      </c>
      <c r="G46" s="82">
        <v>14138393.27</v>
      </c>
      <c r="H46" s="82">
        <v>17373119.98</v>
      </c>
      <c r="I46" s="82">
        <v>20265728.780000001</v>
      </c>
      <c r="J46" s="82">
        <v>56296912.159999996</v>
      </c>
      <c r="K46" s="82">
        <v>64870454.850000001</v>
      </c>
      <c r="L46" s="82">
        <v>131715343.05</v>
      </c>
      <c r="M46" s="82">
        <v>100026330.11</v>
      </c>
      <c r="N46" s="82">
        <v>515448949.74000001</v>
      </c>
      <c r="O46" s="82">
        <v>939520892.16000009</v>
      </c>
    </row>
    <row r="47" spans="2:15" s="3" customFormat="1">
      <c r="B47" s="66"/>
      <c r="C47" s="249"/>
      <c r="D47" s="82"/>
      <c r="E47" s="82"/>
      <c r="F47" s="82"/>
      <c r="G47" s="82"/>
      <c r="H47" s="82"/>
      <c r="I47" s="82"/>
      <c r="J47" s="82"/>
      <c r="K47" s="82"/>
      <c r="L47" s="82"/>
      <c r="M47" s="82"/>
      <c r="N47" s="82"/>
      <c r="O47" s="82"/>
    </row>
    <row r="48" spans="2:15" s="3" customFormat="1">
      <c r="B48" s="272" t="s">
        <v>152</v>
      </c>
      <c r="C48" s="273"/>
      <c r="D48" s="274">
        <f t="shared" ref="D48:O48" si="1">SUM(D5:D34,D39:D46)</f>
        <v>147853196.00999999</v>
      </c>
      <c r="E48" s="274">
        <f t="shared" si="1"/>
        <v>464335022.77999997</v>
      </c>
      <c r="F48" s="274">
        <f t="shared" si="1"/>
        <v>855172260.33999991</v>
      </c>
      <c r="G48" s="274">
        <f t="shared" si="1"/>
        <v>1179715243.5800002</v>
      </c>
      <c r="H48" s="274">
        <f t="shared" si="1"/>
        <v>1442497878.2</v>
      </c>
      <c r="I48" s="274">
        <f t="shared" si="1"/>
        <v>1751220206.6599998</v>
      </c>
      <c r="J48" s="274">
        <f t="shared" si="1"/>
        <v>4400826479.1299992</v>
      </c>
      <c r="K48" s="274">
        <f t="shared" si="1"/>
        <v>4657495487.1100006</v>
      </c>
      <c r="L48" s="274">
        <f t="shared" si="1"/>
        <v>10886153958.129999</v>
      </c>
      <c r="M48" s="274">
        <f t="shared" si="1"/>
        <v>8941591530.4500008</v>
      </c>
      <c r="N48" s="274">
        <f t="shared" si="1"/>
        <v>57831532204.879997</v>
      </c>
      <c r="O48" s="274">
        <f t="shared" si="1"/>
        <v>92558393467.270004</v>
      </c>
    </row>
    <row r="49" spans="2:15">
      <c r="B49" s="66"/>
      <c r="C49" s="249"/>
      <c r="D49" s="82"/>
      <c r="E49" s="82"/>
      <c r="F49" s="82"/>
      <c r="G49" s="82"/>
      <c r="H49" s="82"/>
      <c r="I49" s="82"/>
      <c r="J49" s="82"/>
      <c r="K49" s="82"/>
      <c r="L49" s="82"/>
      <c r="M49" s="82"/>
      <c r="N49" s="82"/>
      <c r="O49" s="82"/>
    </row>
    <row r="50" spans="2:15">
      <c r="B50" s="66"/>
      <c r="C50" s="249"/>
      <c r="D50" s="82"/>
      <c r="E50" s="82"/>
      <c r="F50" s="82"/>
      <c r="G50" s="82"/>
      <c r="H50" s="82"/>
      <c r="I50" s="82"/>
      <c r="J50" s="82"/>
      <c r="K50" s="82"/>
      <c r="L50" s="82"/>
      <c r="M50" s="82"/>
      <c r="N50" s="82"/>
      <c r="O50" s="82"/>
    </row>
    <row r="51" spans="2:15" s="3" customFormat="1" ht="15.5">
      <c r="B51" s="63" t="str">
        <f>$B$35</f>
        <v>Table 1.5, continued</v>
      </c>
      <c r="C51" s="246"/>
      <c r="D51" s="100"/>
      <c r="E51" s="100"/>
      <c r="F51" s="100"/>
      <c r="G51" s="100"/>
      <c r="H51" s="100"/>
      <c r="I51" s="100"/>
      <c r="J51" s="100"/>
      <c r="K51" s="100"/>
      <c r="L51" s="100"/>
      <c r="M51" s="100"/>
      <c r="N51" s="100"/>
      <c r="O51" s="100"/>
    </row>
    <row r="52" spans="2:15" s="3" customFormat="1">
      <c r="B52" s="64" t="str">
        <f>$B$2</f>
        <v>Virginia Adjusted Gross Income by Locality/Income Level, Taxable Year 2023</v>
      </c>
      <c r="C52" s="247"/>
      <c r="D52" s="100"/>
      <c r="E52" s="100"/>
      <c r="F52" s="100"/>
      <c r="G52" s="100"/>
      <c r="H52" s="100"/>
      <c r="I52" s="100"/>
      <c r="J52" s="100"/>
      <c r="K52" s="100"/>
      <c r="L52" s="100"/>
      <c r="M52" s="100"/>
      <c r="N52" s="100"/>
      <c r="O52" s="100"/>
    </row>
    <row r="53" spans="2:15" s="3" customFormat="1" ht="3" customHeight="1" thickBot="1">
      <c r="B53" s="101"/>
      <c r="C53" s="248"/>
      <c r="D53" s="102"/>
      <c r="E53" s="102"/>
      <c r="F53" s="102"/>
      <c r="G53" s="103"/>
      <c r="H53" s="103"/>
      <c r="I53" s="103"/>
      <c r="J53" s="103"/>
      <c r="K53" s="103"/>
      <c r="L53" s="103"/>
      <c r="M53" s="103"/>
      <c r="N53" s="103"/>
      <c r="O53" s="103"/>
    </row>
    <row r="54" spans="2:15" s="3" customFormat="1" ht="26">
      <c r="B54" s="271" t="s">
        <v>43</v>
      </c>
      <c r="C54" s="270" t="str">
        <f>C$4</f>
        <v>FIPS</v>
      </c>
      <c r="D54" s="269" t="str">
        <f>D$4</f>
        <v>$0 to $4,999</v>
      </c>
      <c r="E54" s="269" t="str">
        <f t="shared" ref="E54:O54" si="2">E$4</f>
        <v>$5,000 to $9,999</v>
      </c>
      <c r="F54" s="269" t="str">
        <f t="shared" si="2"/>
        <v>$10,000 to $14,999</v>
      </c>
      <c r="G54" s="269" t="str">
        <f t="shared" si="2"/>
        <v>$15,000 to $19,999</v>
      </c>
      <c r="H54" s="269" t="str">
        <f t="shared" si="2"/>
        <v>$20,000 to $24,999</v>
      </c>
      <c r="I54" s="269" t="str">
        <f t="shared" si="2"/>
        <v>$25,000 to $29,999</v>
      </c>
      <c r="J54" s="269" t="str">
        <f t="shared" si="2"/>
        <v>$30,000 to $39,999</v>
      </c>
      <c r="K54" s="269" t="str">
        <f t="shared" si="2"/>
        <v>$40,000 to $49,999</v>
      </c>
      <c r="L54" s="269" t="str">
        <f t="shared" si="2"/>
        <v>$50,000 to $74,999</v>
      </c>
      <c r="M54" s="269" t="str">
        <f t="shared" si="2"/>
        <v>$75,000 to $99,999</v>
      </c>
      <c r="N54" s="269" t="str">
        <f t="shared" si="2"/>
        <v>$100,000 and Over</v>
      </c>
      <c r="O54" s="269" t="str">
        <f t="shared" si="2"/>
        <v>Total Adjusted Gross Income</v>
      </c>
    </row>
    <row r="55" spans="2:15" s="3" customFormat="1" ht="21" customHeight="1">
      <c r="B55" s="66" t="s">
        <v>254</v>
      </c>
      <c r="C55" s="249" t="s">
        <v>694</v>
      </c>
      <c r="D55" s="81">
        <v>4436481.1400000006</v>
      </c>
      <c r="E55" s="81">
        <v>11846219.66</v>
      </c>
      <c r="F55" s="81">
        <v>17935931.460000001</v>
      </c>
      <c r="G55" s="81">
        <v>22343527.289999999</v>
      </c>
      <c r="H55" s="81">
        <v>28334327.629999999</v>
      </c>
      <c r="I55" s="81">
        <v>33038428.91</v>
      </c>
      <c r="J55" s="81">
        <v>84265391.390000001</v>
      </c>
      <c r="K55" s="81">
        <v>78790731.669999987</v>
      </c>
      <c r="L55" s="81">
        <v>155338791.53999999</v>
      </c>
      <c r="M55" s="81">
        <v>121906294.18000001</v>
      </c>
      <c r="N55" s="81">
        <v>429295514.66000003</v>
      </c>
      <c r="O55" s="81">
        <v>987531639.52999997</v>
      </c>
    </row>
    <row r="56" spans="2:15" s="3" customFormat="1">
      <c r="B56" s="66" t="s">
        <v>256</v>
      </c>
      <c r="C56" s="249" t="s">
        <v>695</v>
      </c>
      <c r="D56" s="82">
        <v>6519461.5700000003</v>
      </c>
      <c r="E56" s="82">
        <v>17945185.990000002</v>
      </c>
      <c r="F56" s="82">
        <v>29247669.57</v>
      </c>
      <c r="G56" s="82">
        <v>38319659.469999999</v>
      </c>
      <c r="H56" s="82">
        <v>48025683.289999999</v>
      </c>
      <c r="I56" s="82">
        <v>60265070.960000001</v>
      </c>
      <c r="J56" s="82">
        <v>162525819.88999999</v>
      </c>
      <c r="K56" s="82">
        <v>175619896</v>
      </c>
      <c r="L56" s="82">
        <v>456552227.23000002</v>
      </c>
      <c r="M56" s="82">
        <v>422169209.63</v>
      </c>
      <c r="N56" s="82">
        <v>6357073443.6899996</v>
      </c>
      <c r="O56" s="82">
        <v>7774263327.289999</v>
      </c>
    </row>
    <row r="57" spans="2:15" s="3" customFormat="1">
      <c r="B57" s="66" t="s">
        <v>259</v>
      </c>
      <c r="C57" s="249" t="s">
        <v>696</v>
      </c>
      <c r="D57" s="82">
        <v>1152518.1200000001</v>
      </c>
      <c r="E57" s="82">
        <v>3533966.0500000003</v>
      </c>
      <c r="F57" s="82">
        <v>5746453.8600000003</v>
      </c>
      <c r="G57" s="82">
        <v>7071421</v>
      </c>
      <c r="H57" s="82">
        <v>9445317.0500000007</v>
      </c>
      <c r="I57" s="82">
        <v>14025504.289999999</v>
      </c>
      <c r="J57" s="82">
        <v>27262718.899999999</v>
      </c>
      <c r="K57" s="82">
        <v>28052781.229999997</v>
      </c>
      <c r="L57" s="82">
        <v>64854821.289999999</v>
      </c>
      <c r="M57" s="82">
        <v>60654981.810000002</v>
      </c>
      <c r="N57" s="82">
        <v>171987971.33000001</v>
      </c>
      <c r="O57" s="82">
        <v>393788454.93000001</v>
      </c>
    </row>
    <row r="58" spans="2:15" s="3" customFormat="1">
      <c r="B58" s="66" t="s">
        <v>262</v>
      </c>
      <c r="C58" s="249" t="s">
        <v>697</v>
      </c>
      <c r="D58" s="82">
        <v>740446.01</v>
      </c>
      <c r="E58" s="82">
        <v>2258311.65</v>
      </c>
      <c r="F58" s="82">
        <v>4353599.4800000004</v>
      </c>
      <c r="G58" s="82">
        <v>5992743.7199999997</v>
      </c>
      <c r="H58" s="82">
        <v>7504858.6600000001</v>
      </c>
      <c r="I58" s="82">
        <v>9912051.6300000008</v>
      </c>
      <c r="J58" s="82">
        <v>23168272.420000002</v>
      </c>
      <c r="K58" s="82">
        <v>27363211.16</v>
      </c>
      <c r="L58" s="82">
        <v>59690274.869999997</v>
      </c>
      <c r="M58" s="82">
        <v>50461744.619999997</v>
      </c>
      <c r="N58" s="82">
        <v>234031024.36000001</v>
      </c>
      <c r="O58" s="82">
        <v>425476538.58000004</v>
      </c>
    </row>
    <row r="59" spans="2:15" s="3" customFormat="1">
      <c r="B59" s="66" t="s">
        <v>265</v>
      </c>
      <c r="C59" s="249" t="s">
        <v>698</v>
      </c>
      <c r="D59" s="82">
        <v>1256774.53</v>
      </c>
      <c r="E59" s="82">
        <v>5334530.22</v>
      </c>
      <c r="F59" s="82">
        <v>10328439.350000001</v>
      </c>
      <c r="G59" s="82">
        <v>14443458.15</v>
      </c>
      <c r="H59" s="82">
        <v>17683929.510000002</v>
      </c>
      <c r="I59" s="82">
        <v>23125221.600000001</v>
      </c>
      <c r="J59" s="82">
        <v>57756350.879999995</v>
      </c>
      <c r="K59" s="82">
        <v>60037900.469999999</v>
      </c>
      <c r="L59" s="82">
        <v>137871020.09999999</v>
      </c>
      <c r="M59" s="82">
        <v>116573437.45999999</v>
      </c>
      <c r="N59" s="82">
        <v>378849267.25999999</v>
      </c>
      <c r="O59" s="82">
        <v>823260329.52999997</v>
      </c>
    </row>
    <row r="60" spans="2:15" s="3" customFormat="1" ht="21" customHeight="1">
      <c r="B60" s="66" t="s">
        <v>267</v>
      </c>
      <c r="C60" s="249" t="s">
        <v>699</v>
      </c>
      <c r="D60" s="82">
        <v>915476.65</v>
      </c>
      <c r="E60" s="82">
        <v>3001285.69</v>
      </c>
      <c r="F60" s="82">
        <v>4714801.24</v>
      </c>
      <c r="G60" s="82">
        <v>7465263.2199999997</v>
      </c>
      <c r="H60" s="82">
        <v>9758101.1699999999</v>
      </c>
      <c r="I60" s="82">
        <v>12177116.859999999</v>
      </c>
      <c r="J60" s="82">
        <v>27008568.920000002</v>
      </c>
      <c r="K60" s="82">
        <v>30280818.299999997</v>
      </c>
      <c r="L60" s="82">
        <v>74045593.980000004</v>
      </c>
      <c r="M60" s="82">
        <v>63128615.109999999</v>
      </c>
      <c r="N60" s="82">
        <v>208110672.18000001</v>
      </c>
      <c r="O60" s="82">
        <v>440606313.31999999</v>
      </c>
    </row>
    <row r="61" spans="2:15" s="3" customFormat="1">
      <c r="B61" s="66" t="s">
        <v>270</v>
      </c>
      <c r="C61" s="249" t="s">
        <v>700</v>
      </c>
      <c r="D61" s="82">
        <v>15677446.52</v>
      </c>
      <c r="E61" s="82">
        <v>36779032.909999996</v>
      </c>
      <c r="F61" s="82">
        <v>57872033.189999998</v>
      </c>
      <c r="G61" s="82">
        <v>72581583.269999996</v>
      </c>
      <c r="H61" s="82">
        <v>88454510.799999997</v>
      </c>
      <c r="I61" s="82">
        <v>106827829.08</v>
      </c>
      <c r="J61" s="82">
        <v>265011595.34</v>
      </c>
      <c r="K61" s="82">
        <v>300635840.41000003</v>
      </c>
      <c r="L61" s="82">
        <v>1085855610.72</v>
      </c>
      <c r="M61" s="82">
        <v>1357071359.75</v>
      </c>
      <c r="N61" s="82">
        <v>16968110013.07</v>
      </c>
      <c r="O61" s="82">
        <v>20354876855.059998</v>
      </c>
    </row>
    <row r="62" spans="2:15" s="3" customFormat="1">
      <c r="B62" s="66" t="s">
        <v>273</v>
      </c>
      <c r="C62" s="249" t="s">
        <v>701</v>
      </c>
      <c r="D62" s="82">
        <v>3863061.4699999997</v>
      </c>
      <c r="E62" s="82">
        <v>13181905.749999998</v>
      </c>
      <c r="F62" s="82">
        <v>23381124.200000003</v>
      </c>
      <c r="G62" s="82">
        <v>34154153.340000004</v>
      </c>
      <c r="H62" s="82">
        <v>41370528.729999997</v>
      </c>
      <c r="I62" s="82">
        <v>52962168.539999999</v>
      </c>
      <c r="J62" s="82">
        <v>131519905.13</v>
      </c>
      <c r="K62" s="82">
        <v>163501010.64999998</v>
      </c>
      <c r="L62" s="82">
        <v>379819421.62</v>
      </c>
      <c r="M62" s="82">
        <v>328031103.31999999</v>
      </c>
      <c r="N62" s="82">
        <v>1723237171.4300001</v>
      </c>
      <c r="O62" s="82">
        <v>2895021554.1800003</v>
      </c>
    </row>
    <row r="63" spans="2:15" s="3" customFormat="1">
      <c r="B63" s="66" t="s">
        <v>165</v>
      </c>
      <c r="C63" s="249" t="s">
        <v>702</v>
      </c>
      <c r="D63" s="82">
        <v>336900.88</v>
      </c>
      <c r="E63" s="82">
        <v>1210846.1399999999</v>
      </c>
      <c r="F63" s="82">
        <v>1795848.31</v>
      </c>
      <c r="G63" s="82">
        <v>3023792.64</v>
      </c>
      <c r="H63" s="82">
        <v>3581672.65</v>
      </c>
      <c r="I63" s="82">
        <v>3099721.44</v>
      </c>
      <c r="J63" s="82">
        <v>10187494.199999999</v>
      </c>
      <c r="K63" s="82">
        <v>10973962.789999999</v>
      </c>
      <c r="L63" s="82">
        <v>21489089.82</v>
      </c>
      <c r="M63" s="82">
        <v>16810526.899999999</v>
      </c>
      <c r="N63" s="82">
        <v>77177039.290000007</v>
      </c>
      <c r="O63" s="82">
        <v>149686895.06</v>
      </c>
    </row>
    <row r="64" spans="2:15" s="3" customFormat="1">
      <c r="B64" s="66" t="s">
        <v>278</v>
      </c>
      <c r="C64" s="249" t="s">
        <v>703</v>
      </c>
      <c r="D64" s="82">
        <v>4204722.5</v>
      </c>
      <c r="E64" s="82">
        <v>13594399.200000001</v>
      </c>
      <c r="F64" s="82">
        <v>23549422.530000001</v>
      </c>
      <c r="G64" s="82">
        <v>32992295.149999999</v>
      </c>
      <c r="H64" s="82">
        <v>40176077.200000003</v>
      </c>
      <c r="I64" s="82">
        <v>51449675.630000003</v>
      </c>
      <c r="J64" s="82">
        <v>128698616.34999999</v>
      </c>
      <c r="K64" s="82">
        <v>144708615.53</v>
      </c>
      <c r="L64" s="82">
        <v>339068612.61000001</v>
      </c>
      <c r="M64" s="82">
        <v>304682066.63999999</v>
      </c>
      <c r="N64" s="82">
        <v>1923210915.6400001</v>
      </c>
      <c r="O64" s="82">
        <v>3006335418.9800005</v>
      </c>
    </row>
    <row r="65" spans="2:15" s="3" customFormat="1" ht="24" customHeight="1">
      <c r="B65" s="66" t="s">
        <v>281</v>
      </c>
      <c r="C65" s="249" t="s">
        <v>704</v>
      </c>
      <c r="D65" s="82">
        <v>338761.53</v>
      </c>
      <c r="E65" s="82">
        <v>953234.78</v>
      </c>
      <c r="F65" s="82">
        <v>1772154.2999999998</v>
      </c>
      <c r="G65" s="82">
        <v>2139273.9</v>
      </c>
      <c r="H65" s="82">
        <v>3154905.4</v>
      </c>
      <c r="I65" s="82">
        <v>4074463.44</v>
      </c>
      <c r="J65" s="82">
        <v>10483328.310000001</v>
      </c>
      <c r="K65" s="82">
        <v>11769292.379999999</v>
      </c>
      <c r="L65" s="82">
        <v>27226382.350000001</v>
      </c>
      <c r="M65" s="82">
        <v>22004831.079999998</v>
      </c>
      <c r="N65" s="82">
        <v>67532685.370000005</v>
      </c>
      <c r="O65" s="82">
        <v>151449312.84</v>
      </c>
    </row>
    <row r="66" spans="2:15" s="3" customFormat="1">
      <c r="B66" s="66" t="s">
        <v>283</v>
      </c>
      <c r="C66" s="249" t="s">
        <v>705</v>
      </c>
      <c r="D66" s="82">
        <v>1766093.7199999997</v>
      </c>
      <c r="E66" s="82">
        <v>5816632.8499999996</v>
      </c>
      <c r="F66" s="82">
        <v>8926045.4800000004</v>
      </c>
      <c r="G66" s="82">
        <v>13012836.9</v>
      </c>
      <c r="H66" s="82">
        <v>15668467.050000001</v>
      </c>
      <c r="I66" s="82">
        <v>18923909.690000001</v>
      </c>
      <c r="J66" s="82">
        <v>50893179.299999997</v>
      </c>
      <c r="K66" s="82">
        <v>56840681.040000007</v>
      </c>
      <c r="L66" s="82">
        <v>148157008.28999999</v>
      </c>
      <c r="M66" s="82">
        <v>137272534.18000001</v>
      </c>
      <c r="N66" s="82">
        <v>850021632.14999998</v>
      </c>
      <c r="O66" s="82">
        <v>1307299020.6500001</v>
      </c>
    </row>
    <row r="67" spans="2:15" s="3" customFormat="1">
      <c r="B67" s="66" t="s">
        <v>286</v>
      </c>
      <c r="C67" s="249" t="s">
        <v>706</v>
      </c>
      <c r="D67" s="82">
        <v>855479.13</v>
      </c>
      <c r="E67" s="82">
        <v>3019859.87</v>
      </c>
      <c r="F67" s="82">
        <v>5322578.5199999996</v>
      </c>
      <c r="G67" s="82">
        <v>8019846.5</v>
      </c>
      <c r="H67" s="82">
        <v>10100652.74</v>
      </c>
      <c r="I67" s="82">
        <v>12374083.880000001</v>
      </c>
      <c r="J67" s="82">
        <v>26454883.350000001</v>
      </c>
      <c r="K67" s="82">
        <v>25533053.640000001</v>
      </c>
      <c r="L67" s="82">
        <v>56203054.68</v>
      </c>
      <c r="M67" s="82">
        <v>40219841.149999999</v>
      </c>
      <c r="N67" s="82">
        <v>134434448.58000001</v>
      </c>
      <c r="O67" s="82">
        <v>322537782.04000002</v>
      </c>
    </row>
    <row r="68" spans="2:15" s="3" customFormat="1">
      <c r="B68" s="66" t="s">
        <v>289</v>
      </c>
      <c r="C68" s="249" t="s">
        <v>707</v>
      </c>
      <c r="D68" s="82">
        <v>832500.03</v>
      </c>
      <c r="E68" s="82">
        <v>2813709.45</v>
      </c>
      <c r="F68" s="82">
        <v>5167234.1900000004</v>
      </c>
      <c r="G68" s="82">
        <v>7029480.3499999996</v>
      </c>
      <c r="H68" s="82">
        <v>9302423.8200000003</v>
      </c>
      <c r="I68" s="82">
        <v>11589653.060000001</v>
      </c>
      <c r="J68" s="82">
        <v>23171861.829999998</v>
      </c>
      <c r="K68" s="82">
        <v>25005394.600000001</v>
      </c>
      <c r="L68" s="82">
        <v>55030737.520000003</v>
      </c>
      <c r="M68" s="82">
        <v>54404602.93</v>
      </c>
      <c r="N68" s="82">
        <v>154036258.96000001</v>
      </c>
      <c r="O68" s="82">
        <v>348383856.74000001</v>
      </c>
    </row>
    <row r="69" spans="2:15" s="3" customFormat="1">
      <c r="B69" s="66" t="s">
        <v>291</v>
      </c>
      <c r="C69" s="249" t="s">
        <v>708</v>
      </c>
      <c r="D69" s="82">
        <v>770477.21</v>
      </c>
      <c r="E69" s="82">
        <v>2372535.77</v>
      </c>
      <c r="F69" s="82">
        <v>4818786.8</v>
      </c>
      <c r="G69" s="82">
        <v>6093777.1600000001</v>
      </c>
      <c r="H69" s="82">
        <v>9141295.0700000003</v>
      </c>
      <c r="I69" s="82">
        <v>11006615.43</v>
      </c>
      <c r="J69" s="82">
        <v>26812329.009999998</v>
      </c>
      <c r="K69" s="82">
        <v>29679054.77</v>
      </c>
      <c r="L69" s="82">
        <v>64684666.140000001</v>
      </c>
      <c r="M69" s="82">
        <v>43079961.189999998</v>
      </c>
      <c r="N69" s="82">
        <v>149919339.72</v>
      </c>
      <c r="O69" s="82">
        <v>348378838.26999998</v>
      </c>
    </row>
    <row r="70" spans="2:15" s="3" customFormat="1" ht="15.5">
      <c r="B70" s="63" t="str">
        <f>$B$35</f>
        <v>Table 1.5, continued</v>
      </c>
      <c r="C70" s="246"/>
      <c r="D70" s="100"/>
      <c r="E70" s="100"/>
      <c r="F70" s="100"/>
      <c r="G70" s="100"/>
      <c r="H70" s="100"/>
      <c r="I70" s="100"/>
      <c r="J70" s="100"/>
      <c r="K70" s="100"/>
      <c r="L70" s="100"/>
      <c r="M70" s="100"/>
      <c r="N70" s="100"/>
      <c r="O70" s="100"/>
    </row>
    <row r="71" spans="2:15" s="3" customFormat="1">
      <c r="B71" s="64" t="str">
        <f>$B$2</f>
        <v>Virginia Adjusted Gross Income by Locality/Income Level, Taxable Year 2023</v>
      </c>
      <c r="C71" s="247"/>
      <c r="D71" s="100"/>
      <c r="E71" s="100"/>
      <c r="F71" s="100"/>
      <c r="G71" s="100"/>
      <c r="H71" s="100"/>
      <c r="I71" s="100"/>
      <c r="J71" s="100"/>
      <c r="K71" s="100"/>
      <c r="L71" s="100"/>
      <c r="M71" s="100"/>
      <c r="N71" s="100"/>
      <c r="O71" s="100"/>
    </row>
    <row r="72" spans="2:15" s="3" customFormat="1" ht="3" customHeight="1" thickBot="1">
      <c r="B72" s="101"/>
      <c r="C72" s="248"/>
      <c r="D72" s="102"/>
      <c r="E72" s="102"/>
      <c r="F72" s="102"/>
      <c r="G72" s="103"/>
      <c r="H72" s="103"/>
      <c r="I72" s="103"/>
      <c r="J72" s="103"/>
      <c r="K72" s="103"/>
      <c r="L72" s="103"/>
      <c r="M72" s="103"/>
      <c r="N72" s="103"/>
      <c r="O72" s="103"/>
    </row>
    <row r="73" spans="2:15" s="3" customFormat="1" ht="26">
      <c r="B73" s="271" t="s">
        <v>43</v>
      </c>
      <c r="C73" s="270" t="str">
        <f>C$4</f>
        <v>FIPS</v>
      </c>
      <c r="D73" s="269" t="str">
        <f>D$4</f>
        <v>$0 to $4,999</v>
      </c>
      <c r="E73" s="269" t="str">
        <f t="shared" ref="E73:O73" si="3">E$4</f>
        <v>$5,000 to $9,999</v>
      </c>
      <c r="F73" s="269" t="str">
        <f t="shared" si="3"/>
        <v>$10,000 to $14,999</v>
      </c>
      <c r="G73" s="269" t="str">
        <f t="shared" si="3"/>
        <v>$15,000 to $19,999</v>
      </c>
      <c r="H73" s="269" t="str">
        <f t="shared" si="3"/>
        <v>$20,000 to $24,999</v>
      </c>
      <c r="I73" s="269" t="str">
        <f t="shared" si="3"/>
        <v>$25,000 to $29,999</v>
      </c>
      <c r="J73" s="269" t="str">
        <f t="shared" si="3"/>
        <v>$30,000 to $39,999</v>
      </c>
      <c r="K73" s="269" t="str">
        <f t="shared" si="3"/>
        <v>$40,000 to $49,999</v>
      </c>
      <c r="L73" s="269" t="str">
        <f t="shared" si="3"/>
        <v>$50,000 to $74,999</v>
      </c>
      <c r="M73" s="269" t="str">
        <f t="shared" si="3"/>
        <v>$75,000 to $99,999</v>
      </c>
      <c r="N73" s="269" t="str">
        <f t="shared" si="3"/>
        <v>$100,000 and Over</v>
      </c>
      <c r="O73" s="269" t="str">
        <f t="shared" si="3"/>
        <v>Total Adjusted Gross Income</v>
      </c>
    </row>
    <row r="74" spans="2:15" s="3" customFormat="1" ht="21" customHeight="1">
      <c r="B74" s="66" t="s">
        <v>293</v>
      </c>
      <c r="C74" s="249" t="s">
        <v>709</v>
      </c>
      <c r="D74" s="81">
        <v>3038820.38</v>
      </c>
      <c r="E74" s="81">
        <v>10257253.33</v>
      </c>
      <c r="F74" s="81">
        <v>18656711.82</v>
      </c>
      <c r="G74" s="81">
        <v>25721650.190000001</v>
      </c>
      <c r="H74" s="81">
        <v>30107640.440000001</v>
      </c>
      <c r="I74" s="81">
        <v>40545350.740000002</v>
      </c>
      <c r="J74" s="81">
        <v>99430532.120000005</v>
      </c>
      <c r="K74" s="81">
        <v>108681725.13</v>
      </c>
      <c r="L74" s="81">
        <v>226337014.34</v>
      </c>
      <c r="M74" s="81">
        <v>205375800.37</v>
      </c>
      <c r="N74" s="81">
        <v>756041174.63999999</v>
      </c>
      <c r="O74" s="81">
        <v>1524193673.5</v>
      </c>
    </row>
    <row r="75" spans="2:15" s="3" customFormat="1">
      <c r="B75" s="66" t="s">
        <v>295</v>
      </c>
      <c r="C75" s="249" t="s">
        <v>710</v>
      </c>
      <c r="D75" s="82">
        <v>1341241.83</v>
      </c>
      <c r="E75" s="82">
        <v>5115954.09</v>
      </c>
      <c r="F75" s="82">
        <v>8950689.6899999995</v>
      </c>
      <c r="G75" s="82">
        <v>12838246.619999999</v>
      </c>
      <c r="H75" s="82">
        <v>16660575.26</v>
      </c>
      <c r="I75" s="82">
        <v>21164576.98</v>
      </c>
      <c r="J75" s="82">
        <v>52192624.189999998</v>
      </c>
      <c r="K75" s="82">
        <v>62776312.909999996</v>
      </c>
      <c r="L75" s="82">
        <v>159605413.16</v>
      </c>
      <c r="M75" s="82">
        <v>141425083.28</v>
      </c>
      <c r="N75" s="82">
        <v>517993751.27999997</v>
      </c>
      <c r="O75" s="82">
        <v>1000064469.29</v>
      </c>
    </row>
    <row r="76" spans="2:15" s="3" customFormat="1">
      <c r="B76" s="66" t="s">
        <v>298</v>
      </c>
      <c r="C76" s="249" t="s">
        <v>711</v>
      </c>
      <c r="D76" s="82">
        <v>1699246.16</v>
      </c>
      <c r="E76" s="82">
        <v>5709772.4400000004</v>
      </c>
      <c r="F76" s="82">
        <v>10166456.919999998</v>
      </c>
      <c r="G76" s="82">
        <v>14209310.82</v>
      </c>
      <c r="H76" s="82">
        <v>18715402.09</v>
      </c>
      <c r="I76" s="82">
        <v>23705364.600000001</v>
      </c>
      <c r="J76" s="82">
        <v>53957887.730000004</v>
      </c>
      <c r="K76" s="82">
        <v>51427835.469999999</v>
      </c>
      <c r="L76" s="82">
        <v>114193814.40000001</v>
      </c>
      <c r="M76" s="82">
        <v>97421103.790000007</v>
      </c>
      <c r="N76" s="82">
        <v>236090373.34999999</v>
      </c>
      <c r="O76" s="82">
        <v>627296567.76999998</v>
      </c>
    </row>
    <row r="77" spans="2:15" s="3" customFormat="1">
      <c r="B77" s="66" t="s">
        <v>166</v>
      </c>
      <c r="C77" s="249" t="s">
        <v>712</v>
      </c>
      <c r="D77" s="82">
        <v>356744.42</v>
      </c>
      <c r="E77" s="82">
        <v>1288564.21</v>
      </c>
      <c r="F77" s="82">
        <v>2430753.39</v>
      </c>
      <c r="G77" s="82">
        <v>2921166.41</v>
      </c>
      <c r="H77" s="82">
        <v>4252833.7699999996</v>
      </c>
      <c r="I77" s="82">
        <v>5105508.6100000003</v>
      </c>
      <c r="J77" s="82">
        <v>14128163.83</v>
      </c>
      <c r="K77" s="82">
        <v>15079650</v>
      </c>
      <c r="L77" s="82">
        <v>34231098.359999999</v>
      </c>
      <c r="M77" s="82">
        <v>27736201.559999999</v>
      </c>
      <c r="N77" s="82">
        <v>154704620.81</v>
      </c>
      <c r="O77" s="82">
        <v>262235305.37</v>
      </c>
    </row>
    <row r="78" spans="2:15" s="3" customFormat="1">
      <c r="B78" s="66" t="s">
        <v>303</v>
      </c>
      <c r="C78" s="249" t="s">
        <v>713</v>
      </c>
      <c r="D78" s="82">
        <v>740626.06</v>
      </c>
      <c r="E78" s="82">
        <v>2165209.7399999998</v>
      </c>
      <c r="F78" s="82">
        <v>4122721.08</v>
      </c>
      <c r="G78" s="82">
        <v>5622351.79</v>
      </c>
      <c r="H78" s="82">
        <v>7547985.0099999998</v>
      </c>
      <c r="I78" s="82">
        <v>9225617.9399999995</v>
      </c>
      <c r="J78" s="82">
        <v>22825401.369999997</v>
      </c>
      <c r="K78" s="82">
        <v>19598091.48</v>
      </c>
      <c r="L78" s="82">
        <v>47757452.840000004</v>
      </c>
      <c r="M78" s="82">
        <v>36337946.090000004</v>
      </c>
      <c r="N78" s="82">
        <v>134618495.75999999</v>
      </c>
      <c r="O78" s="82">
        <v>290561899.15999997</v>
      </c>
    </row>
    <row r="79" spans="2:15" s="3" customFormat="1" ht="24" customHeight="1">
      <c r="B79" s="66" t="s">
        <v>304</v>
      </c>
      <c r="C79" s="249" t="s">
        <v>714</v>
      </c>
      <c r="D79" s="82">
        <v>18741369.27</v>
      </c>
      <c r="E79" s="82">
        <v>59522087.469999999</v>
      </c>
      <c r="F79" s="82">
        <v>105738803.56</v>
      </c>
      <c r="G79" s="82">
        <v>141861024.33000001</v>
      </c>
      <c r="H79" s="82">
        <v>170596384.84</v>
      </c>
      <c r="I79" s="82">
        <v>214268124.59999999</v>
      </c>
      <c r="J79" s="82">
        <v>558045194.76999998</v>
      </c>
      <c r="K79" s="82">
        <v>638295225.95000005</v>
      </c>
      <c r="L79" s="82">
        <v>1674696509.6099999</v>
      </c>
      <c r="M79" s="82">
        <v>1511532109.3</v>
      </c>
      <c r="N79" s="82">
        <v>10911434355.709999</v>
      </c>
      <c r="O79" s="82">
        <v>16004731189.41</v>
      </c>
    </row>
    <row r="80" spans="2:15" s="3" customFormat="1">
      <c r="B80" s="66" t="s">
        <v>307</v>
      </c>
      <c r="C80" s="249" t="s">
        <v>715</v>
      </c>
      <c r="D80" s="82">
        <v>931589.71</v>
      </c>
      <c r="E80" s="82">
        <v>2583765.81</v>
      </c>
      <c r="F80" s="82">
        <v>4150316.1499999994</v>
      </c>
      <c r="G80" s="82">
        <v>5387731.6600000001</v>
      </c>
      <c r="H80" s="82">
        <v>6438313.6500000004</v>
      </c>
      <c r="I80" s="82">
        <v>8283487.7699999996</v>
      </c>
      <c r="J80" s="82">
        <v>22498708.060000002</v>
      </c>
      <c r="K80" s="82">
        <v>24140824.34</v>
      </c>
      <c r="L80" s="82">
        <v>64734609.329999998</v>
      </c>
      <c r="M80" s="82">
        <v>65166552.380000003</v>
      </c>
      <c r="N80" s="82">
        <v>637546324.39999998</v>
      </c>
      <c r="O80" s="82">
        <v>841862223.25999999</v>
      </c>
    </row>
    <row r="81" spans="2:15" s="3" customFormat="1">
      <c r="B81" s="66" t="s">
        <v>308</v>
      </c>
      <c r="C81" s="249" t="s">
        <v>716</v>
      </c>
      <c r="D81" s="82">
        <v>251153.64</v>
      </c>
      <c r="E81" s="82">
        <v>829923.6</v>
      </c>
      <c r="F81" s="82">
        <v>1331795.31</v>
      </c>
      <c r="G81" s="82">
        <v>2346367.6</v>
      </c>
      <c r="H81" s="82">
        <v>2817619.12</v>
      </c>
      <c r="I81" s="82">
        <v>3295990.23</v>
      </c>
      <c r="J81" s="82">
        <v>9887065.0599999987</v>
      </c>
      <c r="K81" s="82">
        <v>10295840.02</v>
      </c>
      <c r="L81" s="82">
        <v>22049844.52</v>
      </c>
      <c r="M81" s="82">
        <v>21379046.27</v>
      </c>
      <c r="N81" s="82">
        <v>63053934.840000004</v>
      </c>
      <c r="O81" s="82">
        <v>137538580.20999998</v>
      </c>
    </row>
    <row r="82" spans="2:15" s="3" customFormat="1">
      <c r="B82" s="66" t="s">
        <v>311</v>
      </c>
      <c r="C82" s="249" t="s">
        <v>717</v>
      </c>
      <c r="D82" s="82">
        <v>2988128.6599999997</v>
      </c>
      <c r="E82" s="82">
        <v>9083564.9700000007</v>
      </c>
      <c r="F82" s="82">
        <v>16458738.830000002</v>
      </c>
      <c r="G82" s="82">
        <v>22259974.170000002</v>
      </c>
      <c r="H82" s="82">
        <v>26471409.780000001</v>
      </c>
      <c r="I82" s="82">
        <v>34337813.560000002</v>
      </c>
      <c r="J82" s="82">
        <v>79941063.640000001</v>
      </c>
      <c r="K82" s="82">
        <v>93603496.049999997</v>
      </c>
      <c r="L82" s="82">
        <v>224638493.65000001</v>
      </c>
      <c r="M82" s="82">
        <v>204069787.81</v>
      </c>
      <c r="N82" s="82">
        <v>1274112167.5899999</v>
      </c>
      <c r="O82" s="82">
        <v>1987964638.71</v>
      </c>
    </row>
    <row r="83" spans="2:15" s="3" customFormat="1">
      <c r="B83" s="66" t="s">
        <v>314</v>
      </c>
      <c r="C83" s="249" t="s">
        <v>718</v>
      </c>
      <c r="D83" s="82">
        <v>468362.19999999995</v>
      </c>
      <c r="E83" s="82">
        <v>1602833.3699999999</v>
      </c>
      <c r="F83" s="82">
        <v>3088285.5599999996</v>
      </c>
      <c r="G83" s="82">
        <v>4576313.97</v>
      </c>
      <c r="H83" s="82">
        <v>6425527.04</v>
      </c>
      <c r="I83" s="82">
        <v>7806110.1799999997</v>
      </c>
      <c r="J83" s="82">
        <v>18432439.370000001</v>
      </c>
      <c r="K83" s="82">
        <v>20236036.939999998</v>
      </c>
      <c r="L83" s="82">
        <v>44776113.450000003</v>
      </c>
      <c r="M83" s="82">
        <v>34694155.049999997</v>
      </c>
      <c r="N83" s="82">
        <v>96522686.200000003</v>
      </c>
      <c r="O83" s="82">
        <v>238628863.32999998</v>
      </c>
    </row>
    <row r="84" spans="2:15" s="3" customFormat="1" ht="24" customHeight="1">
      <c r="B84" s="66" t="s">
        <v>317</v>
      </c>
      <c r="C84" s="249" t="s">
        <v>719</v>
      </c>
      <c r="D84" s="82">
        <v>679548.19</v>
      </c>
      <c r="E84" s="82">
        <v>2260604.08</v>
      </c>
      <c r="F84" s="82">
        <v>3915853.63</v>
      </c>
      <c r="G84" s="82">
        <v>5521306.46</v>
      </c>
      <c r="H84" s="82">
        <v>6672498.7999999998</v>
      </c>
      <c r="I84" s="82">
        <v>8168979.4400000004</v>
      </c>
      <c r="J84" s="82">
        <v>17919836.329999998</v>
      </c>
      <c r="K84" s="82">
        <v>19341172.620000001</v>
      </c>
      <c r="L84" s="82">
        <v>42737466.5</v>
      </c>
      <c r="M84" s="82">
        <v>39715581.520000003</v>
      </c>
      <c r="N84" s="82">
        <v>103751668.11</v>
      </c>
      <c r="O84" s="82">
        <v>250684515.68000001</v>
      </c>
    </row>
    <row r="85" spans="2:15" s="3" customFormat="1">
      <c r="B85" s="66" t="s">
        <v>318</v>
      </c>
      <c r="C85" s="249" t="s">
        <v>720</v>
      </c>
      <c r="D85" s="82">
        <v>1249268.1400000001</v>
      </c>
      <c r="E85" s="82">
        <v>4181482.7399999998</v>
      </c>
      <c r="F85" s="82">
        <v>7712589.7200000007</v>
      </c>
      <c r="G85" s="82">
        <v>12516914.82</v>
      </c>
      <c r="H85" s="82">
        <v>15227449.539999999</v>
      </c>
      <c r="I85" s="82">
        <v>20462388.609999999</v>
      </c>
      <c r="J85" s="82">
        <v>50544169.899999999</v>
      </c>
      <c r="K85" s="82">
        <v>56817746.840000004</v>
      </c>
      <c r="L85" s="82">
        <v>131642162.18000001</v>
      </c>
      <c r="M85" s="82">
        <v>115659046.26000001</v>
      </c>
      <c r="N85" s="82">
        <v>388343447.55000001</v>
      </c>
      <c r="O85" s="82">
        <v>804356666.29999995</v>
      </c>
    </row>
    <row r="86" spans="2:15" s="3" customFormat="1">
      <c r="B86" s="66" t="s">
        <v>321</v>
      </c>
      <c r="C86" s="249" t="s">
        <v>721</v>
      </c>
      <c r="D86" s="82">
        <v>567582.20000000007</v>
      </c>
      <c r="E86" s="82">
        <v>2075803.63</v>
      </c>
      <c r="F86" s="82">
        <v>3928762.3</v>
      </c>
      <c r="G86" s="82">
        <v>5453663.6399999997</v>
      </c>
      <c r="H86" s="82">
        <v>6892090.8300000001</v>
      </c>
      <c r="I86" s="82">
        <v>8577252.7599999998</v>
      </c>
      <c r="J86" s="82">
        <v>21300850.41</v>
      </c>
      <c r="K86" s="82">
        <v>23371036.490000002</v>
      </c>
      <c r="L86" s="82">
        <v>50072527.950000003</v>
      </c>
      <c r="M86" s="82">
        <v>40252777.170000002</v>
      </c>
      <c r="N86" s="82">
        <v>166487604.78999999</v>
      </c>
      <c r="O86" s="82">
        <v>328979952.16999996</v>
      </c>
    </row>
    <row r="87" spans="2:15" s="3" customFormat="1">
      <c r="B87" s="66" t="s">
        <v>323</v>
      </c>
      <c r="C87" s="249" t="s">
        <v>722</v>
      </c>
      <c r="D87" s="82">
        <v>72869751.829999998</v>
      </c>
      <c r="E87" s="82">
        <v>185618311.75</v>
      </c>
      <c r="F87" s="82">
        <v>292151243.08999997</v>
      </c>
      <c r="G87" s="82">
        <v>360511482</v>
      </c>
      <c r="H87" s="82">
        <v>426079652.70999998</v>
      </c>
      <c r="I87" s="82">
        <v>498887828.97000003</v>
      </c>
      <c r="J87" s="82">
        <v>1226405558.6300001</v>
      </c>
      <c r="K87" s="82">
        <v>1382954654.05</v>
      </c>
      <c r="L87" s="82">
        <v>4025659136.0300002</v>
      </c>
      <c r="M87" s="82">
        <v>4354429578.2600002</v>
      </c>
      <c r="N87" s="82">
        <v>74925004367.309998</v>
      </c>
      <c r="O87" s="82">
        <v>87750571564.630005</v>
      </c>
    </row>
    <row r="88" spans="2:15" s="3" customFormat="1">
      <c r="B88" s="66" t="s">
        <v>326</v>
      </c>
      <c r="C88" s="249" t="s">
        <v>723</v>
      </c>
      <c r="D88" s="82">
        <v>3949631.25</v>
      </c>
      <c r="E88" s="82">
        <v>11404268.430000002</v>
      </c>
      <c r="F88" s="82">
        <v>18974368.140000001</v>
      </c>
      <c r="G88" s="82">
        <v>24640962.800000001</v>
      </c>
      <c r="H88" s="82">
        <v>31393227.73</v>
      </c>
      <c r="I88" s="82">
        <v>36234515.299999997</v>
      </c>
      <c r="J88" s="82">
        <v>91642967.099999994</v>
      </c>
      <c r="K88" s="82">
        <v>106558480.36</v>
      </c>
      <c r="L88" s="82">
        <v>291685290.00999999</v>
      </c>
      <c r="M88" s="82">
        <v>288885961.86000001</v>
      </c>
      <c r="N88" s="82">
        <v>3700224496.5599999</v>
      </c>
      <c r="O88" s="82">
        <v>4605594169.54</v>
      </c>
    </row>
    <row r="89" spans="2:15" s="3" customFormat="1" ht="24" customHeight="1">
      <c r="B89" s="66" t="s">
        <v>329</v>
      </c>
      <c r="C89" s="249" t="s">
        <v>724</v>
      </c>
      <c r="D89" s="82">
        <v>850750.8</v>
      </c>
      <c r="E89" s="82">
        <v>3056488.91</v>
      </c>
      <c r="F89" s="82">
        <v>5333828.95</v>
      </c>
      <c r="G89" s="82">
        <v>6665427.1699999999</v>
      </c>
      <c r="H89" s="82">
        <v>8670456.3000000007</v>
      </c>
      <c r="I89" s="82">
        <v>11332566.68</v>
      </c>
      <c r="J89" s="82">
        <v>26311295.539999999</v>
      </c>
      <c r="K89" s="82">
        <v>27651550.34</v>
      </c>
      <c r="L89" s="82">
        <v>66228333.079999998</v>
      </c>
      <c r="M89" s="82">
        <v>61543756.43</v>
      </c>
      <c r="N89" s="82">
        <v>244592927.09</v>
      </c>
      <c r="O89" s="82">
        <v>462237381.28999996</v>
      </c>
    </row>
    <row r="90" spans="2:15" s="3" customFormat="1">
      <c r="B90" s="66" t="s">
        <v>332</v>
      </c>
      <c r="C90" s="249" t="s">
        <v>725</v>
      </c>
      <c r="D90" s="82">
        <v>1287473.8399999999</v>
      </c>
      <c r="E90" s="82">
        <v>4065014.03</v>
      </c>
      <c r="F90" s="82">
        <v>7074624.4500000002</v>
      </c>
      <c r="G90" s="82">
        <v>10549523.710000001</v>
      </c>
      <c r="H90" s="82">
        <v>13551824.710000001</v>
      </c>
      <c r="I90" s="82">
        <v>16076377.67</v>
      </c>
      <c r="J90" s="82">
        <v>44520017.990000002</v>
      </c>
      <c r="K90" s="82">
        <v>51750111.599999994</v>
      </c>
      <c r="L90" s="82">
        <v>124697078.02</v>
      </c>
      <c r="M90" s="82">
        <v>120728749.69</v>
      </c>
      <c r="N90" s="82">
        <v>678881356.94000006</v>
      </c>
      <c r="O90" s="82">
        <v>1073182152.6500001</v>
      </c>
    </row>
    <row r="91" spans="2:15" s="3" customFormat="1">
      <c r="B91" s="66" t="s">
        <v>334</v>
      </c>
      <c r="C91" s="249" t="s">
        <v>726</v>
      </c>
      <c r="D91" s="82">
        <v>3105063.53</v>
      </c>
      <c r="E91" s="82">
        <v>9784045.0299999993</v>
      </c>
      <c r="F91" s="82">
        <v>17159586.82</v>
      </c>
      <c r="G91" s="82">
        <v>24050199.59</v>
      </c>
      <c r="H91" s="82">
        <v>30689112.460000001</v>
      </c>
      <c r="I91" s="82">
        <v>38009524</v>
      </c>
      <c r="J91" s="82">
        <v>98679555.370000005</v>
      </c>
      <c r="K91" s="82">
        <v>104367808.97</v>
      </c>
      <c r="L91" s="82">
        <v>222931903.78999999</v>
      </c>
      <c r="M91" s="82">
        <v>200724972.81999999</v>
      </c>
      <c r="N91" s="82">
        <v>962589962.08000004</v>
      </c>
      <c r="O91" s="82">
        <v>1712091734.46</v>
      </c>
    </row>
    <row r="92" spans="2:15" s="3" customFormat="1">
      <c r="B92" s="66" t="s">
        <v>337</v>
      </c>
      <c r="C92" s="249" t="s">
        <v>727</v>
      </c>
      <c r="D92" s="82">
        <v>5781946.6899999995</v>
      </c>
      <c r="E92" s="82">
        <v>17112676.190000001</v>
      </c>
      <c r="F92" s="82">
        <v>29035038.610000003</v>
      </c>
      <c r="G92" s="82">
        <v>39705617.68</v>
      </c>
      <c r="H92" s="82">
        <v>48159372.009999998</v>
      </c>
      <c r="I92" s="82">
        <v>57906987.310000002</v>
      </c>
      <c r="J92" s="82">
        <v>152590114.86000001</v>
      </c>
      <c r="K92" s="82">
        <v>169830829.75999999</v>
      </c>
      <c r="L92" s="82">
        <v>433573239.05000001</v>
      </c>
      <c r="M92" s="82">
        <v>417861574.68000001</v>
      </c>
      <c r="N92" s="82">
        <v>2575871602</v>
      </c>
      <c r="O92" s="82">
        <v>3947428998.8400002</v>
      </c>
    </row>
    <row r="93" spans="2:15" s="3" customFormat="1">
      <c r="B93" s="66" t="s">
        <v>339</v>
      </c>
      <c r="C93" s="249" t="s">
        <v>728</v>
      </c>
      <c r="D93" s="82">
        <v>818384.10999999987</v>
      </c>
      <c r="E93" s="82">
        <v>2928874.78</v>
      </c>
      <c r="F93" s="82">
        <v>5658169.96</v>
      </c>
      <c r="G93" s="82">
        <v>8120850.1200000001</v>
      </c>
      <c r="H93" s="82">
        <v>9495589.7799999993</v>
      </c>
      <c r="I93" s="82">
        <v>12565619.76</v>
      </c>
      <c r="J93" s="82">
        <v>30068029.140000001</v>
      </c>
      <c r="K93" s="82">
        <v>32179232.75</v>
      </c>
      <c r="L93" s="82">
        <v>77981043.890000001</v>
      </c>
      <c r="M93" s="82">
        <v>67218731.170000002</v>
      </c>
      <c r="N93" s="82">
        <v>209860699.66999999</v>
      </c>
      <c r="O93" s="82">
        <v>456895225.13</v>
      </c>
    </row>
    <row r="94" spans="2:15" s="3" customFormat="1" ht="24" customHeight="1">
      <c r="B94" s="66" t="s">
        <v>342</v>
      </c>
      <c r="C94" s="249" t="s">
        <v>729</v>
      </c>
      <c r="D94" s="82">
        <v>1556554.88</v>
      </c>
      <c r="E94" s="82">
        <v>5936079.2699999996</v>
      </c>
      <c r="F94" s="82">
        <v>11197684.66</v>
      </c>
      <c r="G94" s="82">
        <v>15374188.75</v>
      </c>
      <c r="H94" s="82">
        <v>20918880.739999998</v>
      </c>
      <c r="I94" s="82">
        <v>26196327.100000001</v>
      </c>
      <c r="J94" s="82">
        <v>65385437.469999999</v>
      </c>
      <c r="K94" s="82">
        <v>71398779.840000004</v>
      </c>
      <c r="L94" s="82">
        <v>180476126.18000001</v>
      </c>
      <c r="M94" s="82">
        <v>167150296.53</v>
      </c>
      <c r="N94" s="82">
        <v>755470260.29999995</v>
      </c>
      <c r="O94" s="82">
        <v>1321060615.7199998</v>
      </c>
    </row>
    <row r="95" spans="2:15" s="3" customFormat="1">
      <c r="B95" s="66" t="s">
        <v>345</v>
      </c>
      <c r="C95" s="249" t="s">
        <v>730</v>
      </c>
      <c r="D95" s="82">
        <v>1263872.23</v>
      </c>
      <c r="E95" s="82">
        <v>4258738.09</v>
      </c>
      <c r="F95" s="82">
        <v>6462741.4199999999</v>
      </c>
      <c r="G95" s="82">
        <v>8284299.5700000003</v>
      </c>
      <c r="H95" s="82">
        <v>10561043.76</v>
      </c>
      <c r="I95" s="82">
        <v>13045290.34</v>
      </c>
      <c r="J95" s="82">
        <v>35131799.390000001</v>
      </c>
      <c r="K95" s="82">
        <v>38993576.82</v>
      </c>
      <c r="L95" s="82">
        <v>108452825.78</v>
      </c>
      <c r="M95" s="82">
        <v>107771816.31999999</v>
      </c>
      <c r="N95" s="82">
        <v>2428950780.1700001</v>
      </c>
      <c r="O95" s="82">
        <v>2763176783.8900003</v>
      </c>
    </row>
    <row r="96" spans="2:15" s="3" customFormat="1">
      <c r="B96" s="66" t="s">
        <v>348</v>
      </c>
      <c r="C96" s="249" t="s">
        <v>731</v>
      </c>
      <c r="D96" s="82">
        <v>997248.5</v>
      </c>
      <c r="E96" s="82">
        <v>3226590.42</v>
      </c>
      <c r="F96" s="82">
        <v>5461478.8200000003</v>
      </c>
      <c r="G96" s="82">
        <v>7172059.4299999997</v>
      </c>
      <c r="H96" s="82">
        <v>9824581.6999999993</v>
      </c>
      <c r="I96" s="82">
        <v>12624329.140000001</v>
      </c>
      <c r="J96" s="82">
        <v>27672886.969999999</v>
      </c>
      <c r="K96" s="82">
        <v>26727358.25</v>
      </c>
      <c r="L96" s="82">
        <v>60979215.799999997</v>
      </c>
      <c r="M96" s="82">
        <v>48339087.770000003</v>
      </c>
      <c r="N96" s="82">
        <v>113406910.45999999</v>
      </c>
      <c r="O96" s="82">
        <v>316431747.25999999</v>
      </c>
    </row>
    <row r="97" spans="2:15" s="3" customFormat="1">
      <c r="B97" s="66" t="s">
        <v>351</v>
      </c>
      <c r="C97" s="249" t="s">
        <v>732</v>
      </c>
      <c r="D97" s="82">
        <v>950610.69</v>
      </c>
      <c r="E97" s="82">
        <v>3024578.33</v>
      </c>
      <c r="F97" s="82">
        <v>5805695.6799999997</v>
      </c>
      <c r="G97" s="82">
        <v>8133599.8899999997</v>
      </c>
      <c r="H97" s="82">
        <v>10954293.560000001</v>
      </c>
      <c r="I97" s="82">
        <v>12328552.6</v>
      </c>
      <c r="J97" s="82">
        <v>36578211.530000001</v>
      </c>
      <c r="K97" s="82">
        <v>40179445.829999998</v>
      </c>
      <c r="L97" s="82">
        <v>91888021.519999996</v>
      </c>
      <c r="M97" s="82">
        <v>83419829.25</v>
      </c>
      <c r="N97" s="82">
        <v>382932397.73000002</v>
      </c>
      <c r="O97" s="82">
        <v>676195236.61000001</v>
      </c>
    </row>
    <row r="98" spans="2:15" s="3" customFormat="1">
      <c r="B98" s="66" t="s">
        <v>353</v>
      </c>
      <c r="C98" s="249" t="s">
        <v>733</v>
      </c>
      <c r="D98" s="82">
        <v>698804.65999999992</v>
      </c>
      <c r="E98" s="82">
        <v>2322005.79</v>
      </c>
      <c r="F98" s="82">
        <v>3914600.7199999997</v>
      </c>
      <c r="G98" s="82">
        <v>6951479.8600000003</v>
      </c>
      <c r="H98" s="82">
        <v>7734905.54</v>
      </c>
      <c r="I98" s="82">
        <v>8945930.7200000007</v>
      </c>
      <c r="J98" s="82">
        <v>19485226.800000001</v>
      </c>
      <c r="K98" s="82">
        <v>22392683.25</v>
      </c>
      <c r="L98" s="82">
        <v>43285726.359999999</v>
      </c>
      <c r="M98" s="82">
        <v>30122684.879999999</v>
      </c>
      <c r="N98" s="82">
        <v>93626049.810000002</v>
      </c>
      <c r="O98" s="82">
        <v>239480098.39000002</v>
      </c>
    </row>
    <row r="99" spans="2:15" s="3" customFormat="1" ht="24" customHeight="1">
      <c r="B99" s="66" t="s">
        <v>78</v>
      </c>
      <c r="C99" s="249" t="s">
        <v>734</v>
      </c>
      <c r="D99" s="82">
        <v>2001205.3800000001</v>
      </c>
      <c r="E99" s="82">
        <v>7054737.6200000001</v>
      </c>
      <c r="F99" s="82">
        <v>12639036.67</v>
      </c>
      <c r="G99" s="82">
        <v>18347215.239999998</v>
      </c>
      <c r="H99" s="82">
        <v>21467439.949999999</v>
      </c>
      <c r="I99" s="82">
        <v>27339926.690000001</v>
      </c>
      <c r="J99" s="82">
        <v>63093769.510000005</v>
      </c>
      <c r="K99" s="82">
        <v>71699991.819999993</v>
      </c>
      <c r="L99" s="82">
        <v>140618384.66</v>
      </c>
      <c r="M99" s="82">
        <v>94809989.980000004</v>
      </c>
      <c r="N99" s="82">
        <v>347844440.82999998</v>
      </c>
      <c r="O99" s="82">
        <v>806916138.3499999</v>
      </c>
    </row>
    <row r="100" spans="2:15" s="3" customFormat="1">
      <c r="B100" s="66" t="s">
        <v>356</v>
      </c>
      <c r="C100" s="249" t="s">
        <v>735</v>
      </c>
      <c r="D100" s="82">
        <v>5896969.5099999998</v>
      </c>
      <c r="E100" s="82">
        <v>18363749.09</v>
      </c>
      <c r="F100" s="82">
        <v>29222591.949999999</v>
      </c>
      <c r="G100" s="82">
        <v>37074330.93</v>
      </c>
      <c r="H100" s="82">
        <v>46140791.219999999</v>
      </c>
      <c r="I100" s="82">
        <v>57940701.579999998</v>
      </c>
      <c r="J100" s="82">
        <v>156667159.19999999</v>
      </c>
      <c r="K100" s="82">
        <v>179405402.01999998</v>
      </c>
      <c r="L100" s="82">
        <v>480191171.35000002</v>
      </c>
      <c r="M100" s="82">
        <v>444374289.05000001</v>
      </c>
      <c r="N100" s="82">
        <v>4148528047.4099998</v>
      </c>
      <c r="O100" s="82">
        <v>5603805203.3099995</v>
      </c>
    </row>
    <row r="101" spans="2:15" s="3" customFormat="1">
      <c r="B101" s="66" t="s">
        <v>358</v>
      </c>
      <c r="C101" s="249" t="s">
        <v>736</v>
      </c>
      <c r="D101" s="82">
        <v>17913872.060000002</v>
      </c>
      <c r="E101" s="82">
        <v>56217986.099999994</v>
      </c>
      <c r="F101" s="82">
        <v>102553464.06999999</v>
      </c>
      <c r="G101" s="82">
        <v>136685918.53</v>
      </c>
      <c r="H101" s="82">
        <v>170052530.46000001</v>
      </c>
      <c r="I101" s="82">
        <v>214248002.81999999</v>
      </c>
      <c r="J101" s="82">
        <v>561583073.16000009</v>
      </c>
      <c r="K101" s="82">
        <v>638667936.17000008</v>
      </c>
      <c r="L101" s="82">
        <v>1552267928.22</v>
      </c>
      <c r="M101" s="82">
        <v>1263085124.1900001</v>
      </c>
      <c r="N101" s="82">
        <v>10568716587.85</v>
      </c>
      <c r="O101" s="82">
        <v>15281992423.630001</v>
      </c>
    </row>
    <row r="102" spans="2:15" s="3" customFormat="1">
      <c r="B102" s="66" t="s">
        <v>360</v>
      </c>
      <c r="C102" s="249" t="s">
        <v>737</v>
      </c>
      <c r="D102" s="82">
        <v>3076384.55</v>
      </c>
      <c r="E102" s="82">
        <v>9935260.959999999</v>
      </c>
      <c r="F102" s="82">
        <v>18381237.649999999</v>
      </c>
      <c r="G102" s="82">
        <v>26330752.739999998</v>
      </c>
      <c r="H102" s="82">
        <v>34108523.25</v>
      </c>
      <c r="I102" s="82">
        <v>45617778.719999999</v>
      </c>
      <c r="J102" s="82">
        <v>110950712.18000001</v>
      </c>
      <c r="K102" s="82">
        <v>102172864.84999999</v>
      </c>
      <c r="L102" s="82">
        <v>205467588.88999999</v>
      </c>
      <c r="M102" s="82">
        <v>144397915.47999999</v>
      </c>
      <c r="N102" s="82">
        <v>442316897.63999999</v>
      </c>
      <c r="O102" s="82">
        <v>1142755916.9099998</v>
      </c>
    </row>
    <row r="103" spans="2:15" s="3" customFormat="1">
      <c r="B103" s="66" t="s">
        <v>362</v>
      </c>
      <c r="C103" s="249" t="s">
        <v>738</v>
      </c>
      <c r="D103" s="82">
        <v>147658.53</v>
      </c>
      <c r="E103" s="82">
        <v>420496.38</v>
      </c>
      <c r="F103" s="82">
        <v>1024128.8</v>
      </c>
      <c r="G103" s="82">
        <v>1385793.63</v>
      </c>
      <c r="H103" s="82">
        <v>1459844.2</v>
      </c>
      <c r="I103" s="82">
        <v>1833540.64</v>
      </c>
      <c r="J103" s="82">
        <v>4261777.2300000004</v>
      </c>
      <c r="K103" s="82">
        <v>4795341.04</v>
      </c>
      <c r="L103" s="82">
        <v>10847602.699999999</v>
      </c>
      <c r="M103" s="82">
        <v>7832154.8700000001</v>
      </c>
      <c r="N103" s="82">
        <v>27512517.640000001</v>
      </c>
      <c r="O103" s="82">
        <v>61520855.659999996</v>
      </c>
    </row>
    <row r="104" spans="2:15" s="3" customFormat="1" ht="15.5">
      <c r="B104" s="63" t="str">
        <f>$B$35</f>
        <v>Table 1.5, continued</v>
      </c>
      <c r="C104" s="246"/>
      <c r="D104" s="100"/>
      <c r="E104" s="100"/>
      <c r="F104" s="100"/>
      <c r="G104" s="100"/>
      <c r="H104" s="100"/>
      <c r="I104" s="100"/>
      <c r="J104" s="100"/>
      <c r="K104" s="100"/>
      <c r="L104" s="100"/>
      <c r="M104" s="100"/>
      <c r="N104" s="100"/>
      <c r="O104" s="100"/>
    </row>
    <row r="105" spans="2:15" s="3" customFormat="1">
      <c r="B105" s="64" t="str">
        <f>$B$2</f>
        <v>Virginia Adjusted Gross Income by Locality/Income Level, Taxable Year 2023</v>
      </c>
      <c r="C105" s="247"/>
      <c r="D105" s="100"/>
      <c r="E105" s="100"/>
      <c r="F105" s="100"/>
      <c r="G105" s="100"/>
      <c r="H105" s="100"/>
      <c r="I105" s="100"/>
      <c r="J105" s="100"/>
      <c r="K105" s="100"/>
      <c r="L105" s="100"/>
      <c r="M105" s="100"/>
      <c r="N105" s="100"/>
      <c r="O105" s="100"/>
    </row>
    <row r="106" spans="2:15" s="3" customFormat="1" ht="3" customHeight="1" thickBot="1">
      <c r="B106" s="101"/>
      <c r="C106" s="248"/>
      <c r="D106" s="102"/>
      <c r="E106" s="102"/>
      <c r="F106" s="102"/>
      <c r="G106" s="103"/>
      <c r="H106" s="103"/>
      <c r="I106" s="103"/>
      <c r="J106" s="103"/>
      <c r="K106" s="103"/>
      <c r="L106" s="103"/>
      <c r="M106" s="103"/>
      <c r="N106" s="103"/>
      <c r="O106" s="103"/>
    </row>
    <row r="107" spans="2:15" s="3" customFormat="1" ht="26">
      <c r="B107" s="271" t="s">
        <v>43</v>
      </c>
      <c r="C107" s="270" t="str">
        <f>C$4</f>
        <v>FIPS</v>
      </c>
      <c r="D107" s="269" t="str">
        <f>D$4</f>
        <v>$0 to $4,999</v>
      </c>
      <c r="E107" s="269" t="str">
        <f t="shared" ref="E107:O107" si="4">E$4</f>
        <v>$5,000 to $9,999</v>
      </c>
      <c r="F107" s="269" t="str">
        <f t="shared" si="4"/>
        <v>$10,000 to $14,999</v>
      </c>
      <c r="G107" s="269" t="str">
        <f t="shared" si="4"/>
        <v>$15,000 to $19,999</v>
      </c>
      <c r="H107" s="269" t="str">
        <f t="shared" si="4"/>
        <v>$20,000 to $24,999</v>
      </c>
      <c r="I107" s="269" t="str">
        <f t="shared" si="4"/>
        <v>$25,000 to $29,999</v>
      </c>
      <c r="J107" s="269" t="str">
        <f t="shared" si="4"/>
        <v>$30,000 to $39,999</v>
      </c>
      <c r="K107" s="269" t="str">
        <f t="shared" si="4"/>
        <v>$40,000 to $49,999</v>
      </c>
      <c r="L107" s="269" t="str">
        <f t="shared" si="4"/>
        <v>$50,000 to $74,999</v>
      </c>
      <c r="M107" s="269" t="str">
        <f t="shared" si="4"/>
        <v>$75,000 to $99,999</v>
      </c>
      <c r="N107" s="269" t="str">
        <f t="shared" si="4"/>
        <v>$100,000 and Over</v>
      </c>
      <c r="O107" s="269" t="str">
        <f t="shared" si="4"/>
        <v>Total Adjusted Gross Income</v>
      </c>
    </row>
    <row r="108" spans="2:15" s="3" customFormat="1" ht="21" customHeight="1">
      <c r="B108" s="66" t="s">
        <v>364</v>
      </c>
      <c r="C108" s="249" t="s">
        <v>739</v>
      </c>
      <c r="D108" s="81">
        <v>1820449.2100000002</v>
      </c>
      <c r="E108" s="81">
        <v>6238065.9300000006</v>
      </c>
      <c r="F108" s="81">
        <v>10500473.59</v>
      </c>
      <c r="G108" s="81">
        <v>14830850.109999999</v>
      </c>
      <c r="H108" s="81">
        <v>17891916.039999999</v>
      </c>
      <c r="I108" s="81">
        <v>23307447.800000001</v>
      </c>
      <c r="J108" s="81">
        <v>56078151.810000002</v>
      </c>
      <c r="K108" s="81">
        <v>63354789.609999999</v>
      </c>
      <c r="L108" s="81">
        <v>166045679.68000001</v>
      </c>
      <c r="M108" s="81">
        <v>162573064.13</v>
      </c>
      <c r="N108" s="81">
        <v>1034990856.92</v>
      </c>
      <c r="O108" s="81">
        <v>1557631744.8299999</v>
      </c>
    </row>
    <row r="109" spans="2:15" s="3" customFormat="1">
      <c r="B109" s="66" t="s">
        <v>83</v>
      </c>
      <c r="C109" s="249" t="s">
        <v>740</v>
      </c>
      <c r="D109" s="82">
        <v>4487387.6800000006</v>
      </c>
      <c r="E109" s="82">
        <v>13661535.120000001</v>
      </c>
      <c r="F109" s="82">
        <v>21862119.75</v>
      </c>
      <c r="G109" s="82">
        <v>28398267.050000001</v>
      </c>
      <c r="H109" s="82">
        <v>34641441.850000001</v>
      </c>
      <c r="I109" s="82">
        <v>43338885.549999997</v>
      </c>
      <c r="J109" s="82">
        <v>113343903.12</v>
      </c>
      <c r="K109" s="82">
        <v>123427042.48999999</v>
      </c>
      <c r="L109" s="82">
        <v>314509468.80000001</v>
      </c>
      <c r="M109" s="82">
        <v>324014726.80000001</v>
      </c>
      <c r="N109" s="82">
        <v>3136279750.1999998</v>
      </c>
      <c r="O109" s="82">
        <v>4157964528.4099998</v>
      </c>
    </row>
    <row r="110" spans="2:15" s="3" customFormat="1">
      <c r="B110" s="66" t="s">
        <v>365</v>
      </c>
      <c r="C110" s="249" t="s">
        <v>741</v>
      </c>
      <c r="D110" s="82">
        <v>283927.89999999997</v>
      </c>
      <c r="E110" s="82">
        <v>1354575.27</v>
      </c>
      <c r="F110" s="82">
        <v>2613884.75</v>
      </c>
      <c r="G110" s="82">
        <v>3100556.9</v>
      </c>
      <c r="H110" s="82">
        <v>3962139.43</v>
      </c>
      <c r="I110" s="82">
        <v>5121949.17</v>
      </c>
      <c r="J110" s="82">
        <v>12942794.33</v>
      </c>
      <c r="K110" s="82">
        <v>14474583.5</v>
      </c>
      <c r="L110" s="82">
        <v>34589565.969999999</v>
      </c>
      <c r="M110" s="82">
        <v>26114830</v>
      </c>
      <c r="N110" s="82">
        <v>103808427.53</v>
      </c>
      <c r="O110" s="82">
        <v>208367234.75</v>
      </c>
    </row>
    <row r="111" spans="2:15" s="3" customFormat="1">
      <c r="B111" s="66" t="s">
        <v>366</v>
      </c>
      <c r="C111" s="249" t="s">
        <v>742</v>
      </c>
      <c r="D111" s="82">
        <v>1250723.6399999999</v>
      </c>
      <c r="E111" s="82">
        <v>4039668.41</v>
      </c>
      <c r="F111" s="82">
        <v>6693452.5800000001</v>
      </c>
      <c r="G111" s="82">
        <v>8716576.8900000006</v>
      </c>
      <c r="H111" s="82">
        <v>11463378.57</v>
      </c>
      <c r="I111" s="82">
        <v>14497345.91</v>
      </c>
      <c r="J111" s="82">
        <v>35509229.439999998</v>
      </c>
      <c r="K111" s="82">
        <v>39257916.25</v>
      </c>
      <c r="L111" s="82">
        <v>98487946.319999993</v>
      </c>
      <c r="M111" s="82">
        <v>110310539.2</v>
      </c>
      <c r="N111" s="82">
        <v>835504770.55999994</v>
      </c>
      <c r="O111" s="82">
        <v>1165731547.77</v>
      </c>
    </row>
    <row r="112" spans="2:15" s="3" customFormat="1">
      <c r="B112" s="66" t="s">
        <v>86</v>
      </c>
      <c r="C112" s="249" t="s">
        <v>743</v>
      </c>
      <c r="D112" s="82">
        <v>853873.09</v>
      </c>
      <c r="E112" s="82">
        <v>2977862.55</v>
      </c>
      <c r="F112" s="82">
        <v>5169388.1500000004</v>
      </c>
      <c r="G112" s="82">
        <v>6852300.5999999996</v>
      </c>
      <c r="H112" s="82">
        <v>8731817.4800000004</v>
      </c>
      <c r="I112" s="82">
        <v>11389678.529999999</v>
      </c>
      <c r="J112" s="82">
        <v>31241160.370000001</v>
      </c>
      <c r="K112" s="82">
        <v>34518271.960000001</v>
      </c>
      <c r="L112" s="82">
        <v>94564342.510000005</v>
      </c>
      <c r="M112" s="82">
        <v>85631662.780000001</v>
      </c>
      <c r="N112" s="82">
        <v>359870212.57999998</v>
      </c>
      <c r="O112" s="82">
        <v>641800570.5999999</v>
      </c>
    </row>
    <row r="113" spans="2:15" s="3" customFormat="1" ht="24" customHeight="1">
      <c r="B113" s="66" t="s">
        <v>171</v>
      </c>
      <c r="C113" s="249" t="s">
        <v>744</v>
      </c>
      <c r="D113" s="82">
        <v>626818.49</v>
      </c>
      <c r="E113" s="82">
        <v>2241450.37</v>
      </c>
      <c r="F113" s="82">
        <v>3971979.83</v>
      </c>
      <c r="G113" s="82">
        <v>5204913.47</v>
      </c>
      <c r="H113" s="82">
        <v>7199430.3799999999</v>
      </c>
      <c r="I113" s="82">
        <v>8782485.9299999997</v>
      </c>
      <c r="J113" s="82">
        <v>22114550.369999997</v>
      </c>
      <c r="K113" s="82">
        <v>19996639.91</v>
      </c>
      <c r="L113" s="82">
        <v>48475787.789999999</v>
      </c>
      <c r="M113" s="82">
        <v>36724601.530000001</v>
      </c>
      <c r="N113" s="82">
        <v>329739992.83999997</v>
      </c>
      <c r="O113" s="82">
        <v>485078650.90999997</v>
      </c>
    </row>
    <row r="114" spans="2:15" s="3" customFormat="1">
      <c r="B114" s="66" t="s">
        <v>257</v>
      </c>
      <c r="C114" s="249" t="s">
        <v>745</v>
      </c>
      <c r="D114" s="82">
        <v>1134195.17</v>
      </c>
      <c r="E114" s="82">
        <v>3522840.1199999996</v>
      </c>
      <c r="F114" s="82">
        <v>6927178.7600000007</v>
      </c>
      <c r="G114" s="82">
        <v>9855529.9399999995</v>
      </c>
      <c r="H114" s="82">
        <v>11066235.189999999</v>
      </c>
      <c r="I114" s="82">
        <v>14164888.609999999</v>
      </c>
      <c r="J114" s="82">
        <v>35187034.980000004</v>
      </c>
      <c r="K114" s="82">
        <v>33541860.559999999</v>
      </c>
      <c r="L114" s="82">
        <v>68192004.950000003</v>
      </c>
      <c r="M114" s="82">
        <v>53951101.009999998</v>
      </c>
      <c r="N114" s="82">
        <v>119107476.31999999</v>
      </c>
      <c r="O114" s="82">
        <v>356650345.61000001</v>
      </c>
    </row>
    <row r="115" spans="2:15" s="3" customFormat="1">
      <c r="B115" s="66" t="s">
        <v>260</v>
      </c>
      <c r="C115" s="249" t="s">
        <v>746</v>
      </c>
      <c r="D115" s="82">
        <v>26327818.329999998</v>
      </c>
      <c r="E115" s="82">
        <v>67227902.299999997</v>
      </c>
      <c r="F115" s="82">
        <v>99742458.049999997</v>
      </c>
      <c r="G115" s="82">
        <v>118661491.73</v>
      </c>
      <c r="H115" s="82">
        <v>139511688.16</v>
      </c>
      <c r="I115" s="82">
        <v>163410132.87</v>
      </c>
      <c r="J115" s="82">
        <v>404464044.81</v>
      </c>
      <c r="K115" s="82">
        <v>462289164.53999996</v>
      </c>
      <c r="L115" s="82">
        <v>1314683674.71</v>
      </c>
      <c r="M115" s="82">
        <v>1457938592.3900001</v>
      </c>
      <c r="N115" s="82">
        <v>27265584411.639999</v>
      </c>
      <c r="O115" s="82">
        <v>31519841379.529999</v>
      </c>
    </row>
    <row r="116" spans="2:15" s="3" customFormat="1">
      <c r="B116" s="66" t="s">
        <v>263</v>
      </c>
      <c r="C116" s="249" t="s">
        <v>747</v>
      </c>
      <c r="D116" s="82">
        <v>1680280.02</v>
      </c>
      <c r="E116" s="82">
        <v>6572455.5599999996</v>
      </c>
      <c r="F116" s="82">
        <v>10880527.02</v>
      </c>
      <c r="G116" s="82">
        <v>15501405.470000001</v>
      </c>
      <c r="H116" s="82">
        <v>20205076.440000001</v>
      </c>
      <c r="I116" s="82">
        <v>24453154.5</v>
      </c>
      <c r="J116" s="82">
        <v>63969557.490000002</v>
      </c>
      <c r="K116" s="82">
        <v>73068040.900000006</v>
      </c>
      <c r="L116" s="82">
        <v>182449219.47</v>
      </c>
      <c r="M116" s="82">
        <v>159179243.88999999</v>
      </c>
      <c r="N116" s="82">
        <v>895301185.04999995</v>
      </c>
      <c r="O116" s="82">
        <v>1453260145.8099999</v>
      </c>
    </row>
    <row r="117" spans="2:15" s="3" customFormat="1">
      <c r="B117" s="66" t="s">
        <v>266</v>
      </c>
      <c r="C117" s="249" t="s">
        <v>748</v>
      </c>
      <c r="D117" s="82">
        <v>556527.58000000007</v>
      </c>
      <c r="E117" s="82">
        <v>1890926.01</v>
      </c>
      <c r="F117" s="82">
        <v>3957524.62</v>
      </c>
      <c r="G117" s="82">
        <v>5155811.8600000003</v>
      </c>
      <c r="H117" s="82">
        <v>6310700.8300000001</v>
      </c>
      <c r="I117" s="82">
        <v>7660677.6200000001</v>
      </c>
      <c r="J117" s="82">
        <v>20832564.439999998</v>
      </c>
      <c r="K117" s="82">
        <v>22311323.509999998</v>
      </c>
      <c r="L117" s="82">
        <v>41921325.219999999</v>
      </c>
      <c r="M117" s="82">
        <v>31908862.02</v>
      </c>
      <c r="N117" s="82">
        <v>100616091.2</v>
      </c>
      <c r="O117" s="82">
        <v>243122334.91000003</v>
      </c>
    </row>
    <row r="118" spans="2:15" s="3" customFormat="1" ht="24" customHeight="1">
      <c r="B118" s="66" t="s">
        <v>268</v>
      </c>
      <c r="C118" s="249" t="s">
        <v>749</v>
      </c>
      <c r="D118" s="82">
        <v>738466.97</v>
      </c>
      <c r="E118" s="82">
        <v>2434380.23</v>
      </c>
      <c r="F118" s="82">
        <v>3854011.7399999998</v>
      </c>
      <c r="G118" s="82">
        <v>5187803.0999999996</v>
      </c>
      <c r="H118" s="82">
        <v>6567661.7300000004</v>
      </c>
      <c r="I118" s="82">
        <v>7574712.3099999996</v>
      </c>
      <c r="J118" s="82">
        <v>22198563.899999999</v>
      </c>
      <c r="K118" s="82">
        <v>25725331.149999999</v>
      </c>
      <c r="L118" s="82">
        <v>61865964.5</v>
      </c>
      <c r="M118" s="82">
        <v>53369347.670000002</v>
      </c>
      <c r="N118" s="82">
        <v>294024947.16000003</v>
      </c>
      <c r="O118" s="82">
        <v>483541190.46000004</v>
      </c>
    </row>
    <row r="119" spans="2:15" s="3" customFormat="1">
      <c r="B119" s="66" t="s">
        <v>271</v>
      </c>
      <c r="C119" s="249" t="s">
        <v>750</v>
      </c>
      <c r="D119" s="82">
        <v>387639.64</v>
      </c>
      <c r="E119" s="82">
        <v>1487965.81</v>
      </c>
      <c r="F119" s="82">
        <v>2549139.52</v>
      </c>
      <c r="G119" s="82">
        <v>3994709.56</v>
      </c>
      <c r="H119" s="82">
        <v>5264159.38</v>
      </c>
      <c r="I119" s="82">
        <v>6311856.4699999997</v>
      </c>
      <c r="J119" s="82">
        <v>13940937.75</v>
      </c>
      <c r="K119" s="82">
        <v>16924885.93</v>
      </c>
      <c r="L119" s="82">
        <v>37647655</v>
      </c>
      <c r="M119" s="82">
        <v>38037890</v>
      </c>
      <c r="N119" s="82">
        <v>195502060.66999999</v>
      </c>
      <c r="O119" s="82">
        <v>322048899.73000002</v>
      </c>
    </row>
    <row r="120" spans="2:15" s="3" customFormat="1">
      <c r="B120" s="66" t="s">
        <v>274</v>
      </c>
      <c r="C120" s="249" t="s">
        <v>751</v>
      </c>
      <c r="D120" s="82">
        <v>1936255.9</v>
      </c>
      <c r="E120" s="82">
        <v>6221068.6399999997</v>
      </c>
      <c r="F120" s="82">
        <v>11457654.85</v>
      </c>
      <c r="G120" s="82">
        <v>15916616.4</v>
      </c>
      <c r="H120" s="82">
        <v>20229012.739999998</v>
      </c>
      <c r="I120" s="82">
        <v>26171802.23</v>
      </c>
      <c r="J120" s="82">
        <v>60598345.960000001</v>
      </c>
      <c r="K120" s="82">
        <v>63488500.379999995</v>
      </c>
      <c r="L120" s="82">
        <v>127760625.89</v>
      </c>
      <c r="M120" s="82">
        <v>99089598.939999998</v>
      </c>
      <c r="N120" s="82">
        <v>405798996.47000003</v>
      </c>
      <c r="O120" s="82">
        <v>838668478.4000001</v>
      </c>
    </row>
    <row r="121" spans="2:15" s="3" customFormat="1">
      <c r="B121" s="66" t="s">
        <v>276</v>
      </c>
      <c r="C121" s="249" t="s">
        <v>752</v>
      </c>
      <c r="D121" s="82">
        <v>561277.93000000005</v>
      </c>
      <c r="E121" s="82">
        <v>1785838.3499999999</v>
      </c>
      <c r="F121" s="82">
        <v>3451633.63</v>
      </c>
      <c r="G121" s="82">
        <v>4638481.4800000004</v>
      </c>
      <c r="H121" s="82">
        <v>5895862.9299999997</v>
      </c>
      <c r="I121" s="82">
        <v>7226335.75</v>
      </c>
      <c r="J121" s="82">
        <v>19435241.600000001</v>
      </c>
      <c r="K121" s="82">
        <v>20249648.200000003</v>
      </c>
      <c r="L121" s="82">
        <v>47435380.039999999</v>
      </c>
      <c r="M121" s="82">
        <v>37945419.920000002</v>
      </c>
      <c r="N121" s="82">
        <v>241120428.08000001</v>
      </c>
      <c r="O121" s="82">
        <v>389745547.90999997</v>
      </c>
    </row>
    <row r="122" spans="2:15" s="3" customFormat="1">
      <c r="B122" s="66" t="s">
        <v>279</v>
      </c>
      <c r="C122" s="249" t="s">
        <v>753</v>
      </c>
      <c r="D122" s="82">
        <v>5685553.5099999998</v>
      </c>
      <c r="E122" s="82">
        <v>15937572.539999999</v>
      </c>
      <c r="F122" s="82">
        <v>27889927.879999999</v>
      </c>
      <c r="G122" s="82">
        <v>34577131.299999997</v>
      </c>
      <c r="H122" s="82">
        <v>44412237.649999999</v>
      </c>
      <c r="I122" s="82">
        <v>60524766.219999999</v>
      </c>
      <c r="J122" s="82">
        <v>147842033.92000002</v>
      </c>
      <c r="K122" s="82">
        <v>137310592.39999998</v>
      </c>
      <c r="L122" s="82">
        <v>318526726.98000002</v>
      </c>
      <c r="M122" s="82">
        <v>277153037.24000001</v>
      </c>
      <c r="N122" s="82">
        <v>1911043133.9100001</v>
      </c>
      <c r="O122" s="82">
        <v>2980902713.5500002</v>
      </c>
    </row>
    <row r="123" spans="2:15" s="3" customFormat="1" ht="24" customHeight="1">
      <c r="B123" s="66" t="s">
        <v>282</v>
      </c>
      <c r="C123" s="249" t="s">
        <v>754</v>
      </c>
      <c r="D123" s="82">
        <v>851370.24</v>
      </c>
      <c r="E123" s="82">
        <v>2936602.12</v>
      </c>
      <c r="F123" s="82">
        <v>5297075.1899999995</v>
      </c>
      <c r="G123" s="82">
        <v>6753155.7400000002</v>
      </c>
      <c r="H123" s="82">
        <v>8056646.9900000002</v>
      </c>
      <c r="I123" s="82">
        <v>11549941.140000001</v>
      </c>
      <c r="J123" s="82">
        <v>28730983.84</v>
      </c>
      <c r="K123" s="82">
        <v>30671809.560000002</v>
      </c>
      <c r="L123" s="82">
        <v>68121625.069999993</v>
      </c>
      <c r="M123" s="82">
        <v>57705499.5</v>
      </c>
      <c r="N123" s="82">
        <v>329899984.14999998</v>
      </c>
      <c r="O123" s="82">
        <v>550574693.53999996</v>
      </c>
    </row>
    <row r="124" spans="2:15" s="3" customFormat="1">
      <c r="B124" s="66" t="s">
        <v>284</v>
      </c>
      <c r="C124" s="249" t="s">
        <v>755</v>
      </c>
      <c r="D124" s="82">
        <v>1131064.77</v>
      </c>
      <c r="E124" s="82">
        <v>3572717.9</v>
      </c>
      <c r="F124" s="82">
        <v>6562169.0299999993</v>
      </c>
      <c r="G124" s="82">
        <v>8662635.5199999996</v>
      </c>
      <c r="H124" s="82">
        <v>9962818.6600000001</v>
      </c>
      <c r="I124" s="82">
        <v>14208239.68</v>
      </c>
      <c r="J124" s="82">
        <v>34952355.469999999</v>
      </c>
      <c r="K124" s="82">
        <v>40701580.620000005</v>
      </c>
      <c r="L124" s="82">
        <v>113246999.12</v>
      </c>
      <c r="M124" s="82">
        <v>120214990.3</v>
      </c>
      <c r="N124" s="82">
        <v>851193519.65999997</v>
      </c>
      <c r="O124" s="82">
        <v>1204409090.73</v>
      </c>
    </row>
    <row r="125" spans="2:15" s="3" customFormat="1">
      <c r="B125" s="66" t="s">
        <v>287</v>
      </c>
      <c r="C125" s="249" t="s">
        <v>756</v>
      </c>
      <c r="D125" s="82">
        <v>819204.1100000001</v>
      </c>
      <c r="E125" s="82">
        <v>2753471.13</v>
      </c>
      <c r="F125" s="82">
        <v>4655598.32</v>
      </c>
      <c r="G125" s="82">
        <v>6912830.5999999996</v>
      </c>
      <c r="H125" s="82">
        <v>8239671.7999999998</v>
      </c>
      <c r="I125" s="82">
        <v>9171281.4900000002</v>
      </c>
      <c r="J125" s="82">
        <v>23758261.43</v>
      </c>
      <c r="K125" s="82">
        <v>21548387.460000001</v>
      </c>
      <c r="L125" s="82">
        <v>47563701.170000002</v>
      </c>
      <c r="M125" s="82">
        <v>35203445.43</v>
      </c>
      <c r="N125" s="82">
        <v>260927163.22</v>
      </c>
      <c r="O125" s="82">
        <v>421553016.15999997</v>
      </c>
    </row>
    <row r="126" spans="2:15" s="3" customFormat="1">
      <c r="B126" s="66" t="s">
        <v>173</v>
      </c>
      <c r="C126" s="249" t="s">
        <v>757</v>
      </c>
      <c r="D126" s="82">
        <v>747456.10000000009</v>
      </c>
      <c r="E126" s="82">
        <v>2027883.84</v>
      </c>
      <c r="F126" s="82">
        <v>4026175.4699999997</v>
      </c>
      <c r="G126" s="82">
        <v>6110499.0599999996</v>
      </c>
      <c r="H126" s="82">
        <v>7146414.2999999998</v>
      </c>
      <c r="I126" s="82">
        <v>8501985.3800000008</v>
      </c>
      <c r="J126" s="82">
        <v>22863473.390000001</v>
      </c>
      <c r="K126" s="82">
        <v>22231439.25</v>
      </c>
      <c r="L126" s="82">
        <v>59423649.350000001</v>
      </c>
      <c r="M126" s="82">
        <v>46876306.850000001</v>
      </c>
      <c r="N126" s="82">
        <v>306042608.85000002</v>
      </c>
      <c r="O126" s="82">
        <v>485997891.84000003</v>
      </c>
    </row>
    <row r="127" spans="2:15" s="3" customFormat="1">
      <c r="B127" s="66" t="s">
        <v>292</v>
      </c>
      <c r="C127" s="249" t="s">
        <v>758</v>
      </c>
      <c r="D127" s="82">
        <v>642281.11</v>
      </c>
      <c r="E127" s="82">
        <v>2303462.6900000004</v>
      </c>
      <c r="F127" s="82">
        <v>4694688.78</v>
      </c>
      <c r="G127" s="82">
        <v>6398130.6299999999</v>
      </c>
      <c r="H127" s="82">
        <v>8551026.8599999994</v>
      </c>
      <c r="I127" s="82">
        <v>10341443.939999999</v>
      </c>
      <c r="J127" s="82">
        <v>26501583.240000002</v>
      </c>
      <c r="K127" s="82">
        <v>26168189.5</v>
      </c>
      <c r="L127" s="82">
        <v>54519816.560000002</v>
      </c>
      <c r="M127" s="82">
        <v>42559502.210000001</v>
      </c>
      <c r="N127" s="82">
        <v>129288140.34</v>
      </c>
      <c r="O127" s="82">
        <v>311968265.86000001</v>
      </c>
    </row>
    <row r="128" spans="2:15" s="3" customFormat="1" ht="24" customHeight="1">
      <c r="B128" s="66" t="s">
        <v>294</v>
      </c>
      <c r="C128" s="249" t="s">
        <v>759</v>
      </c>
      <c r="D128" s="82">
        <v>1804984.23</v>
      </c>
      <c r="E128" s="82">
        <v>5917733.8600000003</v>
      </c>
      <c r="F128" s="82">
        <v>10502428.129999999</v>
      </c>
      <c r="G128" s="82">
        <v>15449174.699999999</v>
      </c>
      <c r="H128" s="82">
        <v>20979410.829999998</v>
      </c>
      <c r="I128" s="82">
        <v>24552962.190000001</v>
      </c>
      <c r="J128" s="82">
        <v>65940961.349999994</v>
      </c>
      <c r="K128" s="82">
        <v>76732068.829999998</v>
      </c>
      <c r="L128" s="82">
        <v>189083400.24000001</v>
      </c>
      <c r="M128" s="82">
        <v>173677268.06</v>
      </c>
      <c r="N128" s="82">
        <v>810055319.63</v>
      </c>
      <c r="O128" s="82">
        <v>1394695712.0500002</v>
      </c>
    </row>
    <row r="129" spans="2:15" s="3" customFormat="1">
      <c r="B129" s="66" t="s">
        <v>296</v>
      </c>
      <c r="C129" s="249" t="s">
        <v>760</v>
      </c>
      <c r="D129" s="82">
        <v>1310608.1099999999</v>
      </c>
      <c r="E129" s="82">
        <v>4544929.72</v>
      </c>
      <c r="F129" s="82">
        <v>7932524.3300000001</v>
      </c>
      <c r="G129" s="82">
        <v>11154711.710000001</v>
      </c>
      <c r="H129" s="82">
        <v>14586937.310000001</v>
      </c>
      <c r="I129" s="82">
        <v>17468573.030000001</v>
      </c>
      <c r="J129" s="82">
        <v>46150002.030000001</v>
      </c>
      <c r="K129" s="82">
        <v>51300095.140000001</v>
      </c>
      <c r="L129" s="82">
        <v>104476627.98999999</v>
      </c>
      <c r="M129" s="82">
        <v>89847704</v>
      </c>
      <c r="N129" s="82">
        <v>295615158.83999997</v>
      </c>
      <c r="O129" s="82">
        <v>644387872.21000004</v>
      </c>
    </row>
    <row r="130" spans="2:15" s="3" customFormat="1">
      <c r="B130" s="66" t="s">
        <v>299</v>
      </c>
      <c r="C130" s="249" t="s">
        <v>761</v>
      </c>
      <c r="D130" s="82">
        <v>873757.3</v>
      </c>
      <c r="E130" s="82">
        <v>3077931.6500000004</v>
      </c>
      <c r="F130" s="82">
        <v>5085261.2299999995</v>
      </c>
      <c r="G130" s="82">
        <v>8535318.9900000002</v>
      </c>
      <c r="H130" s="82">
        <v>10757570.689999999</v>
      </c>
      <c r="I130" s="82">
        <v>13808333.720000001</v>
      </c>
      <c r="J130" s="82">
        <v>32253459.689999998</v>
      </c>
      <c r="K130" s="82">
        <v>33185313.780000001</v>
      </c>
      <c r="L130" s="82">
        <v>64027848.030000001</v>
      </c>
      <c r="M130" s="82">
        <v>50971174.149999999</v>
      </c>
      <c r="N130" s="82">
        <v>161505841.03</v>
      </c>
      <c r="O130" s="82">
        <v>384081810.25999999</v>
      </c>
    </row>
    <row r="131" spans="2:15" s="3" customFormat="1">
      <c r="B131" s="66" t="s">
        <v>301</v>
      </c>
      <c r="C131" s="249" t="s">
        <v>762</v>
      </c>
      <c r="D131" s="82">
        <v>3130209.1500000004</v>
      </c>
      <c r="E131" s="82">
        <v>10959318.970000001</v>
      </c>
      <c r="F131" s="82">
        <v>21063515.879999999</v>
      </c>
      <c r="G131" s="82">
        <v>30787750.5</v>
      </c>
      <c r="H131" s="82">
        <v>37425258.170000002</v>
      </c>
      <c r="I131" s="82">
        <v>47250175.170000002</v>
      </c>
      <c r="J131" s="82">
        <v>112313046.65000001</v>
      </c>
      <c r="K131" s="82">
        <v>123878042.05</v>
      </c>
      <c r="L131" s="82">
        <v>257063629.97</v>
      </c>
      <c r="M131" s="82">
        <v>208627173.47999999</v>
      </c>
      <c r="N131" s="82">
        <v>734430838.55999994</v>
      </c>
      <c r="O131" s="82">
        <v>1586928958.55</v>
      </c>
    </row>
    <row r="132" spans="2:15" s="3" customFormat="1">
      <c r="B132" s="66" t="s">
        <v>174</v>
      </c>
      <c r="C132" s="249" t="s">
        <v>763</v>
      </c>
      <c r="D132" s="82">
        <v>1500429.25</v>
      </c>
      <c r="E132" s="82">
        <v>4984264.4000000004</v>
      </c>
      <c r="F132" s="82">
        <v>7920846.5100000007</v>
      </c>
      <c r="G132" s="82">
        <v>9982076.6400000006</v>
      </c>
      <c r="H132" s="82">
        <v>13155937.390000001</v>
      </c>
      <c r="I132" s="82">
        <v>16245715.93</v>
      </c>
      <c r="J132" s="82">
        <v>42247781.700000003</v>
      </c>
      <c r="K132" s="82">
        <v>47208608.370000005</v>
      </c>
      <c r="L132" s="82">
        <v>123346551.56999999</v>
      </c>
      <c r="M132" s="82">
        <v>126669228.03</v>
      </c>
      <c r="N132" s="82">
        <v>1236528164.6300001</v>
      </c>
      <c r="O132" s="82">
        <v>1629789604.4200001</v>
      </c>
    </row>
    <row r="133" spans="2:15" s="3" customFormat="1" ht="24" customHeight="1">
      <c r="B133" s="66" t="s">
        <v>305</v>
      </c>
      <c r="C133" s="249" t="s">
        <v>764</v>
      </c>
      <c r="D133" s="82">
        <v>942351.31</v>
      </c>
      <c r="E133" s="82">
        <v>3524693.74</v>
      </c>
      <c r="F133" s="82">
        <v>6686107</v>
      </c>
      <c r="G133" s="82">
        <v>9112783.0800000001</v>
      </c>
      <c r="H133" s="82">
        <v>12226854.92</v>
      </c>
      <c r="I133" s="82">
        <v>15003994.619999999</v>
      </c>
      <c r="J133" s="82">
        <v>34065290.420000002</v>
      </c>
      <c r="K133" s="82">
        <v>37550432.200000003</v>
      </c>
      <c r="L133" s="82">
        <v>77481387.099999994</v>
      </c>
      <c r="M133" s="82">
        <v>53182452.810000002</v>
      </c>
      <c r="N133" s="82">
        <v>188231907.72</v>
      </c>
      <c r="O133" s="82">
        <v>438008254.91999996</v>
      </c>
    </row>
    <row r="134" spans="2:15" s="3" customFormat="1">
      <c r="B134" s="66" t="s">
        <v>175</v>
      </c>
      <c r="C134" s="249" t="s">
        <v>765</v>
      </c>
      <c r="D134" s="82">
        <v>1623704.5499999998</v>
      </c>
      <c r="E134" s="82">
        <v>5387555.5800000001</v>
      </c>
      <c r="F134" s="82">
        <v>10191809.57</v>
      </c>
      <c r="G134" s="82">
        <v>14015795.109999999</v>
      </c>
      <c r="H134" s="82">
        <v>17793503.960000001</v>
      </c>
      <c r="I134" s="82">
        <v>20769640.870000001</v>
      </c>
      <c r="J134" s="82">
        <v>56013500.450000003</v>
      </c>
      <c r="K134" s="82">
        <v>58696937.869999997</v>
      </c>
      <c r="L134" s="82">
        <v>142187919.94999999</v>
      </c>
      <c r="M134" s="82">
        <v>128750214.22</v>
      </c>
      <c r="N134" s="82">
        <v>537016030.48000002</v>
      </c>
      <c r="O134" s="82">
        <v>992446612.61000001</v>
      </c>
    </row>
    <row r="135" spans="2:15" s="3" customFormat="1">
      <c r="B135" s="66" t="s">
        <v>309</v>
      </c>
      <c r="C135" s="249" t="s">
        <v>766</v>
      </c>
      <c r="D135" s="82">
        <v>27454221.059999999</v>
      </c>
      <c r="E135" s="82">
        <v>79319564.689999998</v>
      </c>
      <c r="F135" s="82">
        <v>137616899.55000001</v>
      </c>
      <c r="G135" s="82">
        <v>183113482.08000001</v>
      </c>
      <c r="H135" s="82">
        <v>220018210.34999999</v>
      </c>
      <c r="I135" s="82">
        <v>261437351.19</v>
      </c>
      <c r="J135" s="82">
        <v>638727234.63999999</v>
      </c>
      <c r="K135" s="82">
        <v>724568111.92000008</v>
      </c>
      <c r="L135" s="82">
        <v>1970570995.51</v>
      </c>
      <c r="M135" s="82">
        <v>1941589321.77</v>
      </c>
      <c r="N135" s="82">
        <v>15309059250.17</v>
      </c>
      <c r="O135" s="82">
        <v>21493474642.93</v>
      </c>
    </row>
    <row r="136" spans="2:15" s="3" customFormat="1">
      <c r="B136" s="66" t="s">
        <v>312</v>
      </c>
      <c r="C136" s="249" t="s">
        <v>767</v>
      </c>
      <c r="D136" s="82">
        <v>1496940.54</v>
      </c>
      <c r="E136" s="82">
        <v>5160916.33</v>
      </c>
      <c r="F136" s="82">
        <v>10528169.799999999</v>
      </c>
      <c r="G136" s="82">
        <v>14794339.029999999</v>
      </c>
      <c r="H136" s="82">
        <v>16732408.24</v>
      </c>
      <c r="I136" s="82">
        <v>23637464.780000001</v>
      </c>
      <c r="J136" s="82">
        <v>59974661.079999998</v>
      </c>
      <c r="K136" s="82">
        <v>64928194.359999999</v>
      </c>
      <c r="L136" s="82">
        <v>146213447.19999999</v>
      </c>
      <c r="M136" s="82">
        <v>116442972.88</v>
      </c>
      <c r="N136" s="82">
        <v>371487215.91000003</v>
      </c>
      <c r="O136" s="82">
        <v>831396730.1500001</v>
      </c>
    </row>
    <row r="137" spans="2:15" s="3" customFormat="1">
      <c r="B137" s="66" t="s">
        <v>315</v>
      </c>
      <c r="C137" s="249" t="s">
        <v>768</v>
      </c>
      <c r="D137" s="82">
        <v>441002.94</v>
      </c>
      <c r="E137" s="82">
        <v>1372306.21</v>
      </c>
      <c r="F137" s="82">
        <v>2149408.4499999997</v>
      </c>
      <c r="G137" s="82">
        <v>2573607.09</v>
      </c>
      <c r="H137" s="82">
        <v>3698937.49</v>
      </c>
      <c r="I137" s="82">
        <v>4105332.05</v>
      </c>
      <c r="J137" s="82">
        <v>11568102.82</v>
      </c>
      <c r="K137" s="82">
        <v>12866501.15</v>
      </c>
      <c r="L137" s="82">
        <v>30820175.030000001</v>
      </c>
      <c r="M137" s="82">
        <v>29899078.120000001</v>
      </c>
      <c r="N137" s="82">
        <v>391933894.45999998</v>
      </c>
      <c r="O137" s="82">
        <v>491428345.81</v>
      </c>
    </row>
    <row r="138" spans="2:15" s="3" customFormat="1" ht="15.5">
      <c r="B138" s="63" t="str">
        <f>$B$35</f>
        <v>Table 1.5, continued</v>
      </c>
      <c r="C138" s="246"/>
      <c r="D138" s="100"/>
      <c r="E138" s="100"/>
      <c r="F138" s="100"/>
      <c r="G138" s="100"/>
      <c r="H138" s="100"/>
      <c r="I138" s="100"/>
      <c r="J138" s="100"/>
      <c r="K138" s="100"/>
      <c r="L138" s="100"/>
      <c r="M138" s="100"/>
      <c r="N138" s="100"/>
      <c r="O138" s="100"/>
    </row>
    <row r="139" spans="2:15" s="3" customFormat="1">
      <c r="B139" s="64" t="str">
        <f>$B$2</f>
        <v>Virginia Adjusted Gross Income by Locality/Income Level, Taxable Year 2023</v>
      </c>
      <c r="C139" s="247"/>
      <c r="D139" s="100"/>
      <c r="E139" s="100"/>
      <c r="F139" s="100"/>
      <c r="G139" s="100"/>
      <c r="H139" s="100"/>
      <c r="I139" s="100"/>
      <c r="J139" s="100"/>
      <c r="K139" s="100"/>
      <c r="L139" s="100"/>
      <c r="M139" s="100"/>
      <c r="N139" s="100"/>
      <c r="O139" s="100"/>
    </row>
    <row r="140" spans="2:15" s="3" customFormat="1" ht="3" customHeight="1" thickBot="1">
      <c r="B140" s="101"/>
      <c r="C140" s="248"/>
      <c r="D140" s="102"/>
      <c r="E140" s="102"/>
      <c r="F140" s="102"/>
      <c r="G140" s="103"/>
      <c r="H140" s="103"/>
      <c r="I140" s="103"/>
      <c r="J140" s="103"/>
      <c r="K140" s="103"/>
      <c r="L140" s="103"/>
      <c r="M140" s="103"/>
      <c r="N140" s="103"/>
      <c r="O140" s="103"/>
    </row>
    <row r="141" spans="2:15" s="3" customFormat="1" ht="26">
      <c r="B141" s="271" t="s">
        <v>43</v>
      </c>
      <c r="C141" s="270" t="str">
        <f>C$4</f>
        <v>FIPS</v>
      </c>
      <c r="D141" s="269" t="str">
        <f>D$4</f>
        <v>$0 to $4,999</v>
      </c>
      <c r="E141" s="269" t="str">
        <f t="shared" ref="E141:O141" si="5">E$4</f>
        <v>$5,000 to $9,999</v>
      </c>
      <c r="F141" s="269" t="str">
        <f t="shared" si="5"/>
        <v>$10,000 to $14,999</v>
      </c>
      <c r="G141" s="269" t="str">
        <f t="shared" si="5"/>
        <v>$15,000 to $19,999</v>
      </c>
      <c r="H141" s="269" t="str">
        <f t="shared" si="5"/>
        <v>$20,000 to $24,999</v>
      </c>
      <c r="I141" s="269" t="str">
        <f t="shared" si="5"/>
        <v>$25,000 to $29,999</v>
      </c>
      <c r="J141" s="269" t="str">
        <f t="shared" si="5"/>
        <v>$30,000 to $39,999</v>
      </c>
      <c r="K141" s="269" t="str">
        <f t="shared" si="5"/>
        <v>$40,000 to $49,999</v>
      </c>
      <c r="L141" s="269" t="str">
        <f t="shared" si="5"/>
        <v>$50,000 to $74,999</v>
      </c>
      <c r="M141" s="269" t="str">
        <f t="shared" si="5"/>
        <v>$75,000 to $99,999</v>
      </c>
      <c r="N141" s="269" t="str">
        <f t="shared" si="5"/>
        <v>$100,000 and Over</v>
      </c>
      <c r="O141" s="269" t="str">
        <f t="shared" si="5"/>
        <v>Total Adjusted Gross Income</v>
      </c>
    </row>
    <row r="142" spans="2:15" s="3" customFormat="1" ht="21" customHeight="1">
      <c r="B142" s="66" t="s">
        <v>176</v>
      </c>
      <c r="C142" s="249" t="s">
        <v>769</v>
      </c>
      <c r="D142" s="81">
        <v>1596081.5</v>
      </c>
      <c r="E142" s="81">
        <v>3216573.58</v>
      </c>
      <c r="F142" s="81">
        <v>4738005.5600000005</v>
      </c>
      <c r="G142" s="81">
        <v>6295552.6100000003</v>
      </c>
      <c r="H142" s="81">
        <v>7124641.1399999997</v>
      </c>
      <c r="I142" s="81">
        <v>8675842.5999999996</v>
      </c>
      <c r="J142" s="81">
        <v>19865600.780000001</v>
      </c>
      <c r="K142" s="81">
        <v>18369757.68</v>
      </c>
      <c r="L142" s="81">
        <v>47557333.780000001</v>
      </c>
      <c r="M142" s="81">
        <v>32634546.75</v>
      </c>
      <c r="N142" s="81">
        <v>181827962.15000001</v>
      </c>
      <c r="O142" s="81">
        <v>331901898.13</v>
      </c>
    </row>
    <row r="143" spans="2:15" s="3" customFormat="1">
      <c r="B143" s="66" t="s">
        <v>319</v>
      </c>
      <c r="C143" s="249" t="s">
        <v>770</v>
      </c>
      <c r="D143" s="82">
        <v>5772048.2799999993</v>
      </c>
      <c r="E143" s="82">
        <v>16820236.859999999</v>
      </c>
      <c r="F143" s="82">
        <v>29721778.5</v>
      </c>
      <c r="G143" s="82">
        <v>41676083.509999998</v>
      </c>
      <c r="H143" s="82">
        <v>49393564.759999998</v>
      </c>
      <c r="I143" s="82">
        <v>63402905.740000002</v>
      </c>
      <c r="J143" s="82">
        <v>164384266.26999998</v>
      </c>
      <c r="K143" s="82">
        <v>188005114.12</v>
      </c>
      <c r="L143" s="82">
        <v>450244381.60000002</v>
      </c>
      <c r="M143" s="82">
        <v>411396807.73000002</v>
      </c>
      <c r="N143" s="82">
        <v>2366929078.3400002</v>
      </c>
      <c r="O143" s="82">
        <v>3787746265.71</v>
      </c>
    </row>
    <row r="144" spans="2:15" s="3" customFormat="1">
      <c r="B144" s="66" t="s">
        <v>322</v>
      </c>
      <c r="C144" s="249" t="s">
        <v>771</v>
      </c>
      <c r="D144" s="82">
        <v>1382647.23</v>
      </c>
      <c r="E144" s="82">
        <v>3944877.66</v>
      </c>
      <c r="F144" s="82">
        <v>6696466.4900000002</v>
      </c>
      <c r="G144" s="82">
        <v>9492275.9000000004</v>
      </c>
      <c r="H144" s="82">
        <v>12101768.26</v>
      </c>
      <c r="I144" s="82">
        <v>14983173.699999999</v>
      </c>
      <c r="J144" s="82">
        <v>39615101.710000001</v>
      </c>
      <c r="K144" s="82">
        <v>42018065.390000001</v>
      </c>
      <c r="L144" s="82">
        <v>91380980.640000001</v>
      </c>
      <c r="M144" s="82">
        <v>78071353.040000007</v>
      </c>
      <c r="N144" s="82">
        <v>412670143.41000003</v>
      </c>
      <c r="O144" s="82">
        <v>712356853.43000007</v>
      </c>
    </row>
    <row r="145" spans="2:15" s="3" customFormat="1">
      <c r="B145" s="66" t="s">
        <v>324</v>
      </c>
      <c r="C145" s="249" t="s">
        <v>772</v>
      </c>
      <c r="D145" s="82">
        <v>4466786.08</v>
      </c>
      <c r="E145" s="82">
        <v>15626322.189999999</v>
      </c>
      <c r="F145" s="82">
        <v>26419459.479999997</v>
      </c>
      <c r="G145" s="82">
        <v>36093986.560000002</v>
      </c>
      <c r="H145" s="82">
        <v>43262904.140000001</v>
      </c>
      <c r="I145" s="82">
        <v>56451779.68</v>
      </c>
      <c r="J145" s="82">
        <v>153223915.09</v>
      </c>
      <c r="K145" s="82">
        <v>173274427.05000001</v>
      </c>
      <c r="L145" s="82">
        <v>397538236.93000001</v>
      </c>
      <c r="M145" s="82">
        <v>357954967.16000003</v>
      </c>
      <c r="N145" s="82">
        <v>1739348439.22</v>
      </c>
      <c r="O145" s="82">
        <v>3003661223.5799999</v>
      </c>
    </row>
    <row r="146" spans="2:15" s="3" customFormat="1">
      <c r="B146" s="66" t="s">
        <v>327</v>
      </c>
      <c r="C146" s="249" t="s">
        <v>773</v>
      </c>
      <c r="D146" s="82">
        <v>1168833.31</v>
      </c>
      <c r="E146" s="82">
        <v>4166298.4400000004</v>
      </c>
      <c r="F146" s="82">
        <v>7300848.9699999997</v>
      </c>
      <c r="G146" s="82">
        <v>11250199.57</v>
      </c>
      <c r="H146" s="82">
        <v>12819149.98</v>
      </c>
      <c r="I146" s="82">
        <v>16918947.210000001</v>
      </c>
      <c r="J146" s="82">
        <v>37390122.340000004</v>
      </c>
      <c r="K146" s="82">
        <v>38595023.969999999</v>
      </c>
      <c r="L146" s="82">
        <v>92189051.5</v>
      </c>
      <c r="M146" s="82">
        <v>76189886.189999998</v>
      </c>
      <c r="N146" s="82">
        <v>235675996.96000001</v>
      </c>
      <c r="O146" s="82">
        <v>533664358.44000006</v>
      </c>
    </row>
    <row r="147" spans="2:15" s="3" customFormat="1" ht="24" customHeight="1">
      <c r="B147" s="66" t="s">
        <v>330</v>
      </c>
      <c r="C147" s="249" t="s">
        <v>774</v>
      </c>
      <c r="D147" s="82">
        <v>1230615.5</v>
      </c>
      <c r="E147" s="82">
        <v>4352067.3100000005</v>
      </c>
      <c r="F147" s="82">
        <v>7427197.2199999988</v>
      </c>
      <c r="G147" s="82">
        <v>10209021.77</v>
      </c>
      <c r="H147" s="82">
        <v>12056403.1</v>
      </c>
      <c r="I147" s="82">
        <v>14405818.119999999</v>
      </c>
      <c r="J147" s="82">
        <v>36028668.670000002</v>
      </c>
      <c r="K147" s="82">
        <v>36432975.490000002</v>
      </c>
      <c r="L147" s="82">
        <v>78071127.840000004</v>
      </c>
      <c r="M147" s="82">
        <v>61962356.200000003</v>
      </c>
      <c r="N147" s="82">
        <v>180873016.75999999</v>
      </c>
      <c r="O147" s="82">
        <v>443049267.98000002</v>
      </c>
    </row>
    <row r="148" spans="2:15" s="3" customFormat="1">
      <c r="B148" s="66" t="s">
        <v>333</v>
      </c>
      <c r="C148" s="249" t="s">
        <v>775</v>
      </c>
      <c r="D148" s="82">
        <v>2531184.6300000004</v>
      </c>
      <c r="E148" s="82">
        <v>8268595.6899999995</v>
      </c>
      <c r="F148" s="82">
        <v>13692476.310000001</v>
      </c>
      <c r="G148" s="82">
        <v>19546711.43</v>
      </c>
      <c r="H148" s="82">
        <v>23894650.469999999</v>
      </c>
      <c r="I148" s="82">
        <v>32848716.530000001</v>
      </c>
      <c r="J148" s="82">
        <v>83522044.5</v>
      </c>
      <c r="K148" s="82">
        <v>93832611.629999995</v>
      </c>
      <c r="L148" s="82">
        <v>223022047.56</v>
      </c>
      <c r="M148" s="82">
        <v>185238455.25999999</v>
      </c>
      <c r="N148" s="82">
        <v>774177270.41999996</v>
      </c>
      <c r="O148" s="82">
        <v>1460574764.4299998</v>
      </c>
    </row>
    <row r="149" spans="2:15" s="3" customFormat="1">
      <c r="B149" s="66" t="s">
        <v>335</v>
      </c>
      <c r="C149" s="249" t="s">
        <v>776</v>
      </c>
      <c r="D149" s="82">
        <v>1607169.4100000001</v>
      </c>
      <c r="E149" s="82">
        <v>5023090.28</v>
      </c>
      <c r="F149" s="82">
        <v>10201890.360000001</v>
      </c>
      <c r="G149" s="82">
        <v>14824905.210000001</v>
      </c>
      <c r="H149" s="82">
        <v>16696340.43</v>
      </c>
      <c r="I149" s="82">
        <v>22094425.5</v>
      </c>
      <c r="J149" s="82">
        <v>52886652.189999998</v>
      </c>
      <c r="K149" s="82">
        <v>64369790.009999998</v>
      </c>
      <c r="L149" s="82">
        <v>117101771.90000001</v>
      </c>
      <c r="M149" s="82">
        <v>91182947.620000005</v>
      </c>
      <c r="N149" s="82">
        <v>250687211.41</v>
      </c>
      <c r="O149" s="82">
        <v>646676194.31999993</v>
      </c>
    </row>
    <row r="150" spans="2:15" s="3" customFormat="1">
      <c r="B150" s="66" t="s">
        <v>338</v>
      </c>
      <c r="C150" s="249" t="s">
        <v>777</v>
      </c>
      <c r="D150" s="82">
        <v>798850.75</v>
      </c>
      <c r="E150" s="82">
        <v>2773760.16</v>
      </c>
      <c r="F150" s="82">
        <v>5703951.5200000005</v>
      </c>
      <c r="G150" s="82">
        <v>8476936.6500000004</v>
      </c>
      <c r="H150" s="82">
        <v>9994862.5800000001</v>
      </c>
      <c r="I150" s="82">
        <v>12304928.039999999</v>
      </c>
      <c r="J150" s="82">
        <v>29764792.780000001</v>
      </c>
      <c r="K150" s="82">
        <v>33421005.450000003</v>
      </c>
      <c r="L150" s="82">
        <v>78681899.5</v>
      </c>
      <c r="M150" s="82">
        <v>65795932.630000003</v>
      </c>
      <c r="N150" s="82">
        <v>256419950.61000001</v>
      </c>
      <c r="O150" s="82">
        <v>504136870.67000002</v>
      </c>
    </row>
    <row r="151" spans="2:15" s="3" customFormat="1">
      <c r="B151" s="66" t="s">
        <v>340</v>
      </c>
      <c r="C151" s="249" t="s">
        <v>778</v>
      </c>
      <c r="D151" s="82">
        <v>7601715.8499999996</v>
      </c>
      <c r="E151" s="82">
        <v>23930625.459999997</v>
      </c>
      <c r="F151" s="82">
        <v>45382647.160000004</v>
      </c>
      <c r="G151" s="82">
        <v>58990766.329999998</v>
      </c>
      <c r="H151" s="82">
        <v>74090901.890000001</v>
      </c>
      <c r="I151" s="82">
        <v>89187390.129999995</v>
      </c>
      <c r="J151" s="82">
        <v>214431558.16000003</v>
      </c>
      <c r="K151" s="82">
        <v>234828376.47000003</v>
      </c>
      <c r="L151" s="82">
        <v>604282295.35000002</v>
      </c>
      <c r="M151" s="82">
        <v>587651452.28999996</v>
      </c>
      <c r="N151" s="82">
        <v>3877657102.8299999</v>
      </c>
      <c r="O151" s="82">
        <v>5818034831.9200001</v>
      </c>
    </row>
    <row r="152" spans="2:15" s="3" customFormat="1" ht="24" customHeight="1">
      <c r="B152" s="66" t="s">
        <v>343</v>
      </c>
      <c r="C152" s="249" t="s">
        <v>779</v>
      </c>
      <c r="D152" s="82">
        <v>7678037.540000001</v>
      </c>
      <c r="E152" s="82">
        <v>24623715.390000001</v>
      </c>
      <c r="F152" s="82">
        <v>41197537.789999999</v>
      </c>
      <c r="G152" s="82">
        <v>52549844.469999999</v>
      </c>
      <c r="H152" s="82">
        <v>67991676.700000003</v>
      </c>
      <c r="I152" s="82">
        <v>80680522.189999998</v>
      </c>
      <c r="J152" s="82">
        <v>195382965.63999999</v>
      </c>
      <c r="K152" s="82">
        <v>206993020.74000001</v>
      </c>
      <c r="L152" s="82">
        <v>563278352.87</v>
      </c>
      <c r="M152" s="82">
        <v>600452320.87</v>
      </c>
      <c r="N152" s="82">
        <v>5032940405.9499998</v>
      </c>
      <c r="O152" s="82">
        <v>6873768400.1499996</v>
      </c>
    </row>
    <row r="153" spans="2:15" s="3" customFormat="1">
      <c r="B153" s="66" t="s">
        <v>346</v>
      </c>
      <c r="C153" s="249" t="s">
        <v>780</v>
      </c>
      <c r="D153" s="82">
        <v>382240.3</v>
      </c>
      <c r="E153" s="82">
        <v>1465643.4300000002</v>
      </c>
      <c r="F153" s="82">
        <v>2327815.9300000002</v>
      </c>
      <c r="G153" s="82">
        <v>3535925.16</v>
      </c>
      <c r="H153" s="82">
        <v>4538723.79</v>
      </c>
      <c r="I153" s="82">
        <v>5133125.8600000003</v>
      </c>
      <c r="J153" s="82">
        <v>13286140.280000001</v>
      </c>
      <c r="K153" s="82">
        <v>12977100.699999999</v>
      </c>
      <c r="L153" s="82">
        <v>31691769.510000002</v>
      </c>
      <c r="M153" s="82">
        <v>28885616.329999998</v>
      </c>
      <c r="N153" s="82">
        <v>90046647.420000002</v>
      </c>
      <c r="O153" s="82">
        <v>194270748.71000001</v>
      </c>
    </row>
    <row r="154" spans="2:15" s="3" customFormat="1">
      <c r="B154" s="66" t="s">
        <v>349</v>
      </c>
      <c r="C154" s="249" t="s">
        <v>781</v>
      </c>
      <c r="D154" s="82">
        <v>570316.88</v>
      </c>
      <c r="E154" s="82">
        <v>1736225.3499999999</v>
      </c>
      <c r="F154" s="82">
        <v>3571714.26</v>
      </c>
      <c r="G154" s="82">
        <v>4006074.88</v>
      </c>
      <c r="H154" s="82">
        <v>5872710.8099999996</v>
      </c>
      <c r="I154" s="82">
        <v>6533506.8200000003</v>
      </c>
      <c r="J154" s="82">
        <v>18118060.390000001</v>
      </c>
      <c r="K154" s="82">
        <v>17227612.940000001</v>
      </c>
      <c r="L154" s="82">
        <v>35799824.57</v>
      </c>
      <c r="M154" s="82">
        <v>27474058.829999998</v>
      </c>
      <c r="N154" s="82">
        <v>88817202.650000006</v>
      </c>
      <c r="O154" s="82">
        <v>209727308.38</v>
      </c>
    </row>
    <row r="155" spans="2:15" s="3" customFormat="1">
      <c r="B155" s="66" t="s">
        <v>352</v>
      </c>
      <c r="C155" s="249" t="s">
        <v>782</v>
      </c>
      <c r="D155" s="82">
        <v>1941832.49</v>
      </c>
      <c r="E155" s="82">
        <v>6743642.8499999996</v>
      </c>
      <c r="F155" s="82">
        <v>12554766.17</v>
      </c>
      <c r="G155" s="82">
        <v>17225617.870000001</v>
      </c>
      <c r="H155" s="82">
        <v>22273721.75</v>
      </c>
      <c r="I155" s="82">
        <v>26999963.07</v>
      </c>
      <c r="J155" s="82">
        <v>63284648.010000005</v>
      </c>
      <c r="K155" s="82">
        <v>64385691.049999997</v>
      </c>
      <c r="L155" s="82">
        <v>134511684.55000001</v>
      </c>
      <c r="M155" s="82">
        <v>122160491.84999999</v>
      </c>
      <c r="N155" s="82">
        <v>442395645.19</v>
      </c>
      <c r="O155" s="82">
        <v>914477704.8499999</v>
      </c>
    </row>
    <row r="156" spans="2:15" s="3" customFormat="1">
      <c r="B156" s="66" t="s">
        <v>354</v>
      </c>
      <c r="C156" s="249" t="s">
        <v>783</v>
      </c>
      <c r="D156" s="82">
        <v>2367858.75</v>
      </c>
      <c r="E156" s="82">
        <v>6668133.3300000001</v>
      </c>
      <c r="F156" s="82">
        <v>12063153.219999999</v>
      </c>
      <c r="G156" s="82">
        <v>16536877.539999999</v>
      </c>
      <c r="H156" s="82">
        <v>21499032.989999998</v>
      </c>
      <c r="I156" s="82">
        <v>26372959.27</v>
      </c>
      <c r="J156" s="82">
        <v>65820664.509999998</v>
      </c>
      <c r="K156" s="82">
        <v>73155786.319999993</v>
      </c>
      <c r="L156" s="82">
        <v>186281575.69999999</v>
      </c>
      <c r="M156" s="82">
        <v>164542520.02000001</v>
      </c>
      <c r="N156" s="82">
        <v>884747941.91999996</v>
      </c>
      <c r="O156" s="82">
        <v>1460056503.5699999</v>
      </c>
    </row>
    <row r="157" spans="2:15" s="3" customFormat="1" ht="24" customHeight="1">
      <c r="B157" s="66" t="s">
        <v>355</v>
      </c>
      <c r="C157" s="249" t="s">
        <v>784</v>
      </c>
      <c r="D157" s="82">
        <v>3828925.3099999996</v>
      </c>
      <c r="E157" s="82">
        <v>11499079.529999999</v>
      </c>
      <c r="F157" s="82">
        <v>19913634.900000002</v>
      </c>
      <c r="G157" s="82">
        <v>27560580.100000001</v>
      </c>
      <c r="H157" s="82">
        <v>34432019.659999996</v>
      </c>
      <c r="I157" s="82">
        <v>43441465.280000001</v>
      </c>
      <c r="J157" s="82">
        <v>102183809.06999999</v>
      </c>
      <c r="K157" s="82">
        <v>110471200.92</v>
      </c>
      <c r="L157" s="82">
        <v>234310679.72</v>
      </c>
      <c r="M157" s="82">
        <v>196321424.5</v>
      </c>
      <c r="N157" s="82">
        <v>871178916.5</v>
      </c>
      <c r="O157" s="82">
        <v>1655141735.49</v>
      </c>
    </row>
    <row r="158" spans="2:15" s="3" customFormat="1">
      <c r="B158" s="66" t="s">
        <v>357</v>
      </c>
      <c r="C158" s="249" t="s">
        <v>785</v>
      </c>
      <c r="D158" s="82">
        <v>1016272.21</v>
      </c>
      <c r="E158" s="82">
        <v>2873947.67</v>
      </c>
      <c r="F158" s="82">
        <v>5753789.8599999994</v>
      </c>
      <c r="G158" s="82">
        <v>9072443.6400000006</v>
      </c>
      <c r="H158" s="82">
        <v>11520261.619999999</v>
      </c>
      <c r="I158" s="82">
        <v>14147700.039999999</v>
      </c>
      <c r="J158" s="82">
        <v>34449063.840000004</v>
      </c>
      <c r="K158" s="82">
        <v>36322806.670000002</v>
      </c>
      <c r="L158" s="82">
        <v>87446674.560000002</v>
      </c>
      <c r="M158" s="82">
        <v>75613102.540000007</v>
      </c>
      <c r="N158" s="82">
        <v>338099187.88</v>
      </c>
      <c r="O158" s="82">
        <v>616315250.52999997</v>
      </c>
    </row>
    <row r="159" spans="2:15" s="3" customFormat="1">
      <c r="B159" s="66" t="s">
        <v>359</v>
      </c>
      <c r="C159" s="249" t="s">
        <v>786</v>
      </c>
      <c r="D159" s="82">
        <v>1760170.77</v>
      </c>
      <c r="E159" s="82">
        <v>6164608.9199999999</v>
      </c>
      <c r="F159" s="82">
        <v>11221480.539999999</v>
      </c>
      <c r="G159" s="82">
        <v>15421286.640000001</v>
      </c>
      <c r="H159" s="82">
        <v>19049504.449999999</v>
      </c>
      <c r="I159" s="82">
        <v>23868544.170000002</v>
      </c>
      <c r="J159" s="82">
        <v>53042427.719999999</v>
      </c>
      <c r="K159" s="82">
        <v>53632943.120000005</v>
      </c>
      <c r="L159" s="82">
        <v>114512631.55</v>
      </c>
      <c r="M159" s="82">
        <v>95549128.530000001</v>
      </c>
      <c r="N159" s="82">
        <v>297456378.02999997</v>
      </c>
      <c r="O159" s="82">
        <v>691679104.43999994</v>
      </c>
    </row>
    <row r="160" spans="2:15" s="3" customFormat="1">
      <c r="B160" s="66" t="s">
        <v>361</v>
      </c>
      <c r="C160" s="249" t="s">
        <v>787</v>
      </c>
      <c r="D160" s="82">
        <v>1484238.66</v>
      </c>
      <c r="E160" s="82">
        <v>5341164.04</v>
      </c>
      <c r="F160" s="82">
        <v>9824724.1100000013</v>
      </c>
      <c r="G160" s="82">
        <v>13622437.859999999</v>
      </c>
      <c r="H160" s="82">
        <v>16132768.57</v>
      </c>
      <c r="I160" s="82">
        <v>21426567.149999999</v>
      </c>
      <c r="J160" s="82">
        <v>48515146.869999997</v>
      </c>
      <c r="K160" s="82">
        <v>59300221.670000002</v>
      </c>
      <c r="L160" s="82">
        <v>122537996.65000001</v>
      </c>
      <c r="M160" s="82">
        <v>101625764.95999999</v>
      </c>
      <c r="N160" s="82">
        <v>303551180.17000002</v>
      </c>
      <c r="O160" s="82">
        <v>703362210.71000004</v>
      </c>
    </row>
    <row r="161" spans="2:15" s="3" customFormat="1">
      <c r="B161" s="66" t="s">
        <v>363</v>
      </c>
      <c r="C161" s="249" t="s">
        <v>788</v>
      </c>
      <c r="D161" s="82">
        <v>3689224.7399999998</v>
      </c>
      <c r="E161" s="82">
        <v>11079331.850000001</v>
      </c>
      <c r="F161" s="82">
        <v>16440406.309999999</v>
      </c>
      <c r="G161" s="82">
        <v>21820321.469999999</v>
      </c>
      <c r="H161" s="82">
        <v>27498628.350000001</v>
      </c>
      <c r="I161" s="82">
        <v>35398210.549999997</v>
      </c>
      <c r="J161" s="82">
        <v>86172500.780000001</v>
      </c>
      <c r="K161" s="82">
        <v>97539079.400000006</v>
      </c>
      <c r="L161" s="82">
        <v>260615454.37</v>
      </c>
      <c r="M161" s="82">
        <v>266719784.13</v>
      </c>
      <c r="N161" s="82">
        <v>2074086432.5699999</v>
      </c>
      <c r="O161" s="82">
        <v>2901059374.52</v>
      </c>
    </row>
    <row r="162" spans="2:15" s="3" customFormat="1">
      <c r="B162" s="66"/>
      <c r="C162" s="249"/>
      <c r="D162" s="82"/>
      <c r="E162" s="82"/>
      <c r="F162" s="82"/>
      <c r="G162" s="82"/>
      <c r="H162" s="82"/>
      <c r="I162" s="82"/>
      <c r="J162" s="82"/>
      <c r="K162" s="82"/>
      <c r="L162" s="82"/>
      <c r="M162" s="82"/>
      <c r="N162" s="82"/>
      <c r="O162" s="82"/>
    </row>
    <row r="163" spans="2:15" s="3" customFormat="1">
      <c r="B163" s="106" t="s">
        <v>124</v>
      </c>
      <c r="C163" s="250"/>
      <c r="D163" s="274">
        <f t="shared" ref="D163:O163" si="6">SUM(D55:D161)</f>
        <v>345862294.93000019</v>
      </c>
      <c r="E163" s="274">
        <f t="shared" si="6"/>
        <v>1016823776.66</v>
      </c>
      <c r="F163" s="274">
        <f t="shared" si="6"/>
        <v>1726221897.52</v>
      </c>
      <c r="G163" s="274">
        <f t="shared" si="6"/>
        <v>2289059421.6899991</v>
      </c>
      <c r="H163" s="274">
        <f t="shared" si="6"/>
        <v>2806719153.2199988</v>
      </c>
      <c r="I163" s="274">
        <f t="shared" si="6"/>
        <v>3458196926.7999997</v>
      </c>
      <c r="J163" s="274">
        <f t="shared" si="6"/>
        <v>8634478806.1599998</v>
      </c>
      <c r="K163" s="274">
        <f t="shared" si="6"/>
        <v>9561510200.7399998</v>
      </c>
      <c r="L163" s="274">
        <f t="shared" si="6"/>
        <v>24436949360.719994</v>
      </c>
      <c r="M163" s="274">
        <f t="shared" si="6"/>
        <v>23385514580.790005</v>
      </c>
      <c r="N163" s="274">
        <f t="shared" si="6"/>
        <v>227715152193.38013</v>
      </c>
      <c r="O163" s="274">
        <f t="shared" si="6"/>
        <v>305376488612.61005</v>
      </c>
    </row>
    <row r="164" spans="2:15" s="3" customFormat="1" ht="6" customHeight="1">
      <c r="B164" s="66"/>
      <c r="C164" s="249"/>
      <c r="D164" s="82"/>
      <c r="E164" s="82"/>
      <c r="F164" s="82"/>
      <c r="G164" s="82"/>
      <c r="H164" s="82"/>
      <c r="I164" s="82"/>
      <c r="J164" s="82"/>
      <c r="K164" s="82"/>
      <c r="L164" s="82"/>
      <c r="M164" s="82"/>
      <c r="N164" s="82"/>
      <c r="O164" s="82"/>
    </row>
    <row r="165" spans="2:15" s="3" customFormat="1">
      <c r="B165" s="106" t="s">
        <v>152</v>
      </c>
      <c r="C165" s="250"/>
      <c r="D165" s="274">
        <f t="shared" ref="D165:O165" si="7">D48</f>
        <v>147853196.00999999</v>
      </c>
      <c r="E165" s="274">
        <f t="shared" si="7"/>
        <v>464335022.77999997</v>
      </c>
      <c r="F165" s="274">
        <f t="shared" si="7"/>
        <v>855172260.33999991</v>
      </c>
      <c r="G165" s="274">
        <f t="shared" si="7"/>
        <v>1179715243.5800002</v>
      </c>
      <c r="H165" s="274">
        <f t="shared" si="7"/>
        <v>1442497878.2</v>
      </c>
      <c r="I165" s="274">
        <f t="shared" si="7"/>
        <v>1751220206.6599998</v>
      </c>
      <c r="J165" s="274">
        <f t="shared" si="7"/>
        <v>4400826479.1299992</v>
      </c>
      <c r="K165" s="274">
        <f t="shared" si="7"/>
        <v>4657495487.1100006</v>
      </c>
      <c r="L165" s="274">
        <f t="shared" si="7"/>
        <v>10886153958.129999</v>
      </c>
      <c r="M165" s="274">
        <f t="shared" si="7"/>
        <v>8941591530.4500008</v>
      </c>
      <c r="N165" s="274">
        <f t="shared" si="7"/>
        <v>57831532204.879997</v>
      </c>
      <c r="O165" s="274">
        <f t="shared" si="7"/>
        <v>92558393467.270004</v>
      </c>
    </row>
    <row r="166" spans="2:15" s="3" customFormat="1" ht="6" customHeight="1">
      <c r="B166" s="66"/>
      <c r="C166" s="249"/>
      <c r="D166" s="82"/>
      <c r="E166" s="82"/>
      <c r="F166" s="82"/>
      <c r="G166" s="82"/>
      <c r="H166" s="82"/>
      <c r="I166" s="82"/>
      <c r="J166" s="82"/>
      <c r="K166" s="82"/>
      <c r="L166" s="82"/>
      <c r="M166" s="82"/>
      <c r="N166" s="82"/>
      <c r="O166" s="82"/>
    </row>
    <row r="167" spans="2:15" s="3" customFormat="1">
      <c r="B167" s="106" t="s">
        <v>646</v>
      </c>
      <c r="C167" s="250" t="s">
        <v>789</v>
      </c>
      <c r="D167" s="274">
        <v>58146153.189999998</v>
      </c>
      <c r="E167" s="274">
        <v>116325799.83000001</v>
      </c>
      <c r="F167" s="274">
        <v>150246789.44999999</v>
      </c>
      <c r="G167" s="274">
        <v>164047980.61000001</v>
      </c>
      <c r="H167" s="274">
        <v>171515618.63999999</v>
      </c>
      <c r="I167" s="274">
        <v>184356524.02000001</v>
      </c>
      <c r="J167" s="274">
        <v>386689020.68000001</v>
      </c>
      <c r="K167" s="274">
        <v>372462160.53999996</v>
      </c>
      <c r="L167" s="274">
        <v>837000329.60000002</v>
      </c>
      <c r="M167" s="274">
        <v>688460843.70000005</v>
      </c>
      <c r="N167" s="274">
        <v>8149963882.3500004</v>
      </c>
      <c r="O167" s="274">
        <v>11279215102.610001</v>
      </c>
    </row>
    <row r="168" spans="2:15" s="3" customFormat="1" ht="6" customHeight="1">
      <c r="B168" s="66"/>
      <c r="C168" s="249"/>
      <c r="D168" s="82"/>
      <c r="E168" s="82"/>
      <c r="F168" s="82"/>
      <c r="G168" s="82"/>
      <c r="H168" s="82"/>
      <c r="I168" s="82"/>
      <c r="J168" s="82"/>
      <c r="K168" s="82"/>
      <c r="L168" s="82"/>
      <c r="M168" s="82"/>
      <c r="N168" s="82"/>
      <c r="O168" s="82"/>
    </row>
    <row r="169" spans="2:15" s="3" customFormat="1">
      <c r="B169" s="106" t="s">
        <v>153</v>
      </c>
      <c r="C169" s="250"/>
      <c r="D169" s="274">
        <f>D163+D165+D167</f>
        <v>551861644.13000011</v>
      </c>
      <c r="E169" s="274">
        <f t="shared" ref="E169:O169" si="8">E163+E165+E167</f>
        <v>1597484599.27</v>
      </c>
      <c r="F169" s="274">
        <f t="shared" si="8"/>
        <v>2731640947.3099995</v>
      </c>
      <c r="G169" s="274">
        <f t="shared" si="8"/>
        <v>3632822645.8799996</v>
      </c>
      <c r="H169" s="274">
        <f t="shared" si="8"/>
        <v>4420732650.0599995</v>
      </c>
      <c r="I169" s="274">
        <f t="shared" si="8"/>
        <v>5393773657.4799995</v>
      </c>
      <c r="J169" s="274">
        <f t="shared" si="8"/>
        <v>13421994305.969999</v>
      </c>
      <c r="K169" s="274">
        <f t="shared" si="8"/>
        <v>14591467848.389999</v>
      </c>
      <c r="L169" s="274">
        <f t="shared" si="8"/>
        <v>36160103648.449989</v>
      </c>
      <c r="M169" s="274">
        <f t="shared" si="8"/>
        <v>33015566954.940006</v>
      </c>
      <c r="N169" s="274">
        <f t="shared" si="8"/>
        <v>293696648280.61011</v>
      </c>
      <c r="O169" s="274">
        <f t="shared" si="8"/>
        <v>409214097182.49005</v>
      </c>
    </row>
    <row r="170" spans="2:15" s="3" customFormat="1" ht="6" customHeight="1">
      <c r="B170" s="66"/>
      <c r="C170" s="249"/>
      <c r="D170" s="82"/>
      <c r="E170" s="82"/>
      <c r="F170" s="82"/>
      <c r="G170" s="82"/>
      <c r="H170" s="82"/>
      <c r="I170" s="82"/>
      <c r="J170" s="82"/>
      <c r="K170" s="82"/>
      <c r="L170" s="82"/>
      <c r="M170" s="82"/>
      <c r="N170" s="82"/>
      <c r="O170" s="82"/>
    </row>
    <row r="171" spans="2:15">
      <c r="B171" s="65" t="s">
        <v>24</v>
      </c>
      <c r="C171" s="251"/>
      <c r="D171" s="108"/>
      <c r="E171" s="108"/>
      <c r="F171" s="108"/>
      <c r="G171" s="108"/>
      <c r="H171" s="108"/>
      <c r="I171" s="108"/>
      <c r="J171" s="108"/>
      <c r="K171" s="108"/>
      <c r="L171" s="108"/>
      <c r="M171" s="108"/>
      <c r="N171" s="108"/>
      <c r="O171" s="108"/>
    </row>
    <row r="172" spans="2:15">
      <c r="B172" s="65" t="s">
        <v>649</v>
      </c>
      <c r="C172" s="251"/>
      <c r="D172" s="108"/>
      <c r="E172" s="108"/>
      <c r="F172" s="108"/>
      <c r="G172" s="108"/>
      <c r="H172" s="108"/>
      <c r="I172" s="108"/>
      <c r="J172" s="108"/>
      <c r="K172" s="108"/>
      <c r="L172" s="108"/>
      <c r="M172" s="108"/>
      <c r="N172" s="108"/>
      <c r="O172" s="108"/>
    </row>
    <row r="173" spans="2:15">
      <c r="B173" s="65"/>
      <c r="C173" s="251"/>
      <c r="D173" s="108"/>
      <c r="E173" s="108"/>
      <c r="F173" s="108"/>
      <c r="G173" s="108"/>
      <c r="H173" s="108"/>
      <c r="I173" s="108"/>
      <c r="J173" s="108"/>
      <c r="K173" s="108"/>
      <c r="L173" s="108"/>
      <c r="M173" s="108"/>
      <c r="N173" s="108"/>
      <c r="O173" s="108"/>
    </row>
    <row r="174" spans="2:15">
      <c r="B174" s="65"/>
      <c r="C174" s="251"/>
      <c r="D174" s="108"/>
      <c r="E174" s="108"/>
      <c r="F174" s="108"/>
      <c r="G174" s="108"/>
      <c r="H174" s="108"/>
      <c r="I174" s="108"/>
      <c r="J174" s="108"/>
      <c r="K174" s="108"/>
      <c r="L174" s="108"/>
      <c r="M174" s="108"/>
      <c r="N174" s="108"/>
      <c r="O174" s="108"/>
    </row>
    <row r="176" spans="2:15">
      <c r="B176" s="7" t="s">
        <v>650</v>
      </c>
    </row>
    <row r="177" spans="2:2">
      <c r="B177" s="7"/>
    </row>
  </sheetData>
  <hyperlinks>
    <hyperlink ref="A1" location="TOC!A1" display="Back" xr:uid="{0196B3A3-CCD9-4E98-985A-0CFB6F7C9A56}"/>
  </hyperlinks>
  <pageMargins left="0.5" right="0.5" top="0.6" bottom="0.8" header="0.25" footer="0.35"/>
  <pageSetup scale="76" fitToHeight="5" orientation="landscape" cellComments="asDisplayed" r:id="rId1"/>
  <headerFooter scaleWithDoc="0">
    <oddHeader>&amp;R&amp;P</oddHeader>
    <oddFooter>&amp;R&amp;G&amp;L© 2025 Virginia Department of Taxation, All Rights Reserved</oddFooter>
  </headerFooter>
  <rowBreaks count="4" manualBreakCount="4">
    <brk id="34" min="1" max="14" man="1"/>
    <brk id="69" min="1" max="14" man="1"/>
    <brk id="103" min="1" max="14" man="1"/>
    <brk id="137" min="1" max="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33</vt:i4>
      </vt:variant>
    </vt:vector>
  </HeadingPairs>
  <TitlesOfParts>
    <vt:vector size="66" baseType="lpstr">
      <vt:lpstr>Cover</vt:lpstr>
      <vt:lpstr>TOC</vt:lpstr>
      <vt:lpstr>RevExp</vt:lpstr>
      <vt:lpstr>ByAcct</vt:lpstr>
      <vt:lpstr>1.1</vt:lpstr>
      <vt:lpstr>1.2</vt:lpstr>
      <vt:lpstr>1.3</vt:lpstr>
      <vt:lpstr>1.4</vt:lpstr>
      <vt:lpstr>1.5</vt:lpstr>
      <vt:lpstr>1.6</vt:lpstr>
      <vt:lpstr>1.7</vt:lpstr>
      <vt:lpstr>1.8-1.9</vt:lpstr>
      <vt:lpstr>1.10</vt:lpstr>
      <vt:lpstr>2.1</vt:lpstr>
      <vt:lpstr>2.2</vt:lpstr>
      <vt:lpstr>2.3</vt:lpstr>
      <vt:lpstr>3.1</vt:lpstr>
      <vt:lpstr>4.1</vt:lpstr>
      <vt:lpstr>4.2</vt:lpstr>
      <vt:lpstr>4.3</vt:lpstr>
      <vt:lpstr>5.1</vt:lpstr>
      <vt:lpstr>5.2</vt:lpstr>
      <vt:lpstr>5.3-5.4</vt:lpstr>
      <vt:lpstr>5.5</vt:lpstr>
      <vt:lpstr>5.6</vt:lpstr>
      <vt:lpstr>5.7</vt:lpstr>
      <vt:lpstr>6.1</vt:lpstr>
      <vt:lpstr>6.2</vt:lpstr>
      <vt:lpstr>6.3</vt:lpstr>
      <vt:lpstr>6.4</vt:lpstr>
      <vt:lpstr>6.5</vt:lpstr>
      <vt:lpstr>7.1</vt:lpstr>
      <vt:lpstr>Directory</vt:lpstr>
      <vt:lpstr>'1.1'!Print_Area</vt:lpstr>
      <vt:lpstr>'1.10'!Print_Area</vt:lpstr>
      <vt:lpstr>'1.2'!Print_Area</vt:lpstr>
      <vt:lpstr>'1.3'!Print_Area</vt:lpstr>
      <vt:lpstr>'1.4'!Print_Area</vt:lpstr>
      <vt:lpstr>'1.5'!Print_Area</vt:lpstr>
      <vt:lpstr>'1.6'!Print_Area</vt:lpstr>
      <vt:lpstr>'1.7'!Print_Area</vt:lpstr>
      <vt:lpstr>'1.8-1.9'!Print_Area</vt:lpstr>
      <vt:lpstr>'2.1'!Print_Area</vt:lpstr>
      <vt:lpstr>'2.2'!Print_Area</vt:lpstr>
      <vt:lpstr>'2.3'!Print_Area</vt:lpstr>
      <vt:lpstr>'3.1'!Print_Area</vt:lpstr>
      <vt:lpstr>'4.1'!Print_Area</vt:lpstr>
      <vt:lpstr>'4.2'!Print_Area</vt:lpstr>
      <vt:lpstr>'4.3'!Print_Area</vt:lpstr>
      <vt:lpstr>'5.1'!Print_Area</vt:lpstr>
      <vt:lpstr>'5.2'!Print_Area</vt:lpstr>
      <vt:lpstr>'5.3-5.4'!Print_Area</vt:lpstr>
      <vt:lpstr>'5.5'!Print_Area</vt:lpstr>
      <vt:lpstr>'5.6'!Print_Area</vt:lpstr>
      <vt:lpstr>'5.7'!Print_Area</vt:lpstr>
      <vt:lpstr>'6.1'!Print_Area</vt:lpstr>
      <vt:lpstr>'6.2'!Print_Area</vt:lpstr>
      <vt:lpstr>'6.3'!Print_Area</vt:lpstr>
      <vt:lpstr>'6.4'!Print_Area</vt:lpstr>
      <vt:lpstr>'6.5'!Print_Area</vt:lpstr>
      <vt:lpstr>'7.1'!Print_Area</vt:lpstr>
      <vt:lpstr>ByAcct!Print_Area</vt:lpstr>
      <vt:lpstr>Cover!Print_Area</vt:lpstr>
      <vt:lpstr>Directory!Print_Area</vt:lpstr>
      <vt:lpstr>RevExp!Print_Area</vt:lpstr>
      <vt:lpstr>TOC!Print_Area</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Badillo, Frank (TAX)</dc:creator>
  <cp:lastModifiedBy>Badillo, Frank (TAX)</cp:lastModifiedBy>
  <cp:lastPrinted>2026-02-06T15:23:04Z</cp:lastPrinted>
  <dcterms:created xsi:type="dcterms:W3CDTF">2025-02-10T15:12:02Z</dcterms:created>
  <dcterms:modified xsi:type="dcterms:W3CDTF">2026-02-06T15:28:50Z</dcterms:modified>
</cp:coreProperties>
</file>