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drawings/drawing10.xml" ContentType="application/vnd.openxmlformats-officedocument.drawing+xml"/>
  <Override PartName="/xl/comments2.xml" ContentType="application/vnd.openxmlformats-officedocument.spreadsheetml.comments+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yt56674\Documents\__data\AnnualReport\z_Drafts\"/>
    </mc:Choice>
  </mc:AlternateContent>
  <bookViews>
    <workbookView xWindow="0" yWindow="0" windowWidth="19200" windowHeight="11460" tabRatio="882"/>
  </bookViews>
  <sheets>
    <sheet name="TitlePage" sheetId="1" r:id="rId1"/>
    <sheet name="TOC" sheetId="2" r:id="rId2"/>
    <sheet name="RevExp" sheetId="3" r:id="rId3"/>
    <sheet name="ByAcct" sheetId="4" r:id="rId4"/>
    <sheet name="1.1" sheetId="5" r:id="rId5"/>
    <sheet name="1.2" sheetId="6" r:id="rId6"/>
    <sheet name="1.3" sheetId="7" r:id="rId7"/>
    <sheet name="1.4" sheetId="8" r:id="rId8"/>
    <sheet name="1.5" sheetId="9" r:id="rId9"/>
    <sheet name="1.6" sheetId="10" r:id="rId10"/>
    <sheet name="1.6p" sheetId="51" state="hidden" r:id="rId11"/>
    <sheet name="1.7" sheetId="11" r:id="rId12"/>
    <sheet name="1.8-1.9" sheetId="12" r:id="rId13"/>
    <sheet name="1.10" sheetId="13" r:id="rId14"/>
    <sheet name="2.1" sheetId="14" r:id="rId15"/>
    <sheet name="2.2" sheetId="15" r:id="rId16"/>
    <sheet name="3.1" sheetId="16" r:id="rId17"/>
    <sheet name="4.1" sheetId="17" r:id="rId18"/>
    <sheet name="4.1_v1" sheetId="52" state="hidden" r:id="rId19"/>
    <sheet name="4.1k" sheetId="53" state="hidden" r:id="rId20"/>
    <sheet name="4.2" sheetId="18" r:id="rId21"/>
    <sheet name="4.3" sheetId="19" r:id="rId22"/>
    <sheet name="5.1" sheetId="21" r:id="rId23"/>
    <sheet name="5.2" sheetId="22" r:id="rId24"/>
    <sheet name="5.3-5.4" sheetId="23" r:id="rId25"/>
    <sheet name="5.5" sheetId="24" r:id="rId26"/>
    <sheet name="5.6" sheetId="25" r:id="rId27"/>
    <sheet name="5.7" sheetId="32" r:id="rId28"/>
    <sheet name="6.1" sheetId="44" r:id="rId29"/>
    <sheet name="6.1p" sheetId="36" state="hidden" r:id="rId30"/>
    <sheet name="6.2" sheetId="45" r:id="rId31"/>
    <sheet name="6.2p" sheetId="35" state="hidden" r:id="rId32"/>
    <sheet name="6.3" sheetId="46" r:id="rId33"/>
    <sheet name="6.3p" sheetId="49" state="hidden" r:id="rId34"/>
    <sheet name="6.4" sheetId="47" r:id="rId35"/>
    <sheet name="6.4p" sheetId="50" state="hidden" r:id="rId36"/>
    <sheet name="7.1" sheetId="30" r:id="rId37"/>
    <sheet name="Directory" sheetId="31" r:id="rId38"/>
  </sheets>
  <externalReferences>
    <externalReference r:id="rId39"/>
    <externalReference r:id="rId40"/>
    <externalReference r:id="rId41"/>
    <externalReference r:id="rId42"/>
    <externalReference r:id="rId43"/>
    <externalReference r:id="rId44"/>
  </externalReferences>
  <definedNames>
    <definedName name="_1___123Graph_ACHART_2" hidden="1">'[1]Table 3.4'!$B$14:$C$14</definedName>
    <definedName name="_1__123Graph_ACHART_1" hidden="1">[2]Table2.1..2.2!$B$13:$B$17</definedName>
    <definedName name="_10__123Graph_ACHART_2" localSheetId="11" hidden="1">'[3]Table 3.4'!$B$14:$C$14</definedName>
    <definedName name="_11__123Graph_ACHART_2" localSheetId="12" hidden="1">'[3]Table 3.4'!$B$14:$C$14</definedName>
    <definedName name="_11__123Graph_BCHART_2" hidden="1">'[1]Table 3.4'!$B$22:$C$22</definedName>
    <definedName name="_12__123Graph_ACHART_2" localSheetId="14" hidden="1">'[4]Table 3.4'!$B$14:$C$14</definedName>
    <definedName name="_13__123Graph_ACHART_2" localSheetId="17" hidden="1">'[4]Table 3.4'!$B$14:$C$14</definedName>
    <definedName name="_13__123Graph_ACHART_2" localSheetId="18" hidden="1">'[4]Table 3.4'!$B$14:$C$14</definedName>
    <definedName name="_13__123Graph_ACHART_2" localSheetId="19" hidden="1">'[4]Table 3.4'!$B$14:$C$14</definedName>
    <definedName name="_14__123Graph_ACHART_2" localSheetId="9" hidden="1">'[3]Table 3.4'!$B$14:$C$14</definedName>
    <definedName name="_14__123Graph_ACHART_2" localSheetId="10"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1" hidden="1">'[3]Table 3.4'!$B$22:$C$22</definedName>
    <definedName name="_18__123Graph_BCHART_2" localSheetId="12" hidden="1">'[3]Table 3.4'!$B$22:$C$22</definedName>
    <definedName name="_19__123Graph_BCHART_2" localSheetId="14" hidden="1">'[4]Table 3.4'!$B$22:$C$22</definedName>
    <definedName name="_2___123Graph_BCHART_2" hidden="1">'[1]Table 3.4'!$B$22:$C$22</definedName>
    <definedName name="_20__123Graph_BCHART_2" localSheetId="17" hidden="1">'[4]Table 3.4'!$B$22:$C$22</definedName>
    <definedName name="_20__123Graph_BCHART_2" localSheetId="18" hidden="1">'[4]Table 3.4'!$B$22:$C$22</definedName>
    <definedName name="_20__123Graph_BCHART_2" localSheetId="19" hidden="1">'[4]Table 3.4'!$B$22:$C$22</definedName>
    <definedName name="_21__123Graph_BCHART_2" localSheetId="9" hidden="1">'[3]Table 3.4'!$B$22:$C$22</definedName>
    <definedName name="_21__123Graph_BCHART_2" localSheetId="10" hidden="1">'[3]Table 3.4'!$B$22:$C$22</definedName>
    <definedName name="_22__123Graph_BCHART_2" hidden="1">'[1]Table 3.4'!$B$22:$C$22</definedName>
    <definedName name="_23__123Graph_XCHART_1" localSheetId="8" hidden="1">[2]Table2.1..2.2!$A$13:$A$17</definedName>
    <definedName name="_24__123Graph_XCHART_1" localSheetId="11" hidden="1">[2]Table2.1..2.2!$A$13:$A$17</definedName>
    <definedName name="_25__123Graph_XCHART_1" localSheetId="12" hidden="1">[2]Table2.1..2.2!$A$13:$A$17</definedName>
    <definedName name="_26__123Graph_XCHART_1" localSheetId="17" hidden="1">[6]Table2.1..2.2!$A$13:$A$17</definedName>
    <definedName name="_26__123Graph_XCHART_1" localSheetId="18" hidden="1">[6]Table2.1..2.2!$A$13:$A$17</definedName>
    <definedName name="_26__123Graph_XCHART_1" localSheetId="19" hidden="1">[6]Table2.1..2.2!$A$13:$A$17</definedName>
    <definedName name="_27__123Graph_XCHART_1" localSheetId="9" hidden="1">[2]Table2.1..2.2!$A$13:$A$17</definedName>
    <definedName name="_27__123Graph_XCHART_1" localSheetId="10" hidden="1">[2]Table2.1..2.2!$A$13:$A$17</definedName>
    <definedName name="_28__123Graph_XCHART_1" hidden="1">[5]Table2.1..2.2!$A$13:$A$17</definedName>
    <definedName name="_3___123Graph_XCHART_1" hidden="1">[5]Table2.1..2.2!$A$13:$A$17</definedName>
    <definedName name="_4__123Graph_ACHART_1" localSheetId="14" hidden="1">[6]Table2.1..2.2!$B$13:$B$17</definedName>
    <definedName name="_5__123Graph_ACHART_1" localSheetId="20" hidden="1">[2]Table2.1..2.2!$B$13:$B$17</definedName>
    <definedName name="_6__123Graph_ACHART_1" localSheetId="21" hidden="1">[2]Table2.1..2.2!$B$13:$B$17</definedName>
    <definedName name="_6__123Graph_ACHART_2" hidden="1">'[1]Table 3.4'!$B$14:$C$14</definedName>
    <definedName name="_7__123Graph_ACHART_1" localSheetId="24" hidden="1">[2]Table2.1..2.2!$B$13:$B$17</definedName>
    <definedName name="_8__123Graph_ACHART_1" hidden="1">[6]Table2.1..2.2!$B$13:$B$17</definedName>
    <definedName name="_9__123Graph_ACHART_2" localSheetId="8" hidden="1">'[3]Table 3.4'!$B$14:$C$14</definedName>
    <definedName name="_xlnm._FilterDatabase" localSheetId="16" hidden="1">'3.1'!$A$5:$E$5</definedName>
    <definedName name="chart???" localSheetId="8" hidden="1">[2]Table2.1..2.2!$A$13:$A$17</definedName>
    <definedName name="chart???" localSheetId="9" hidden="1">[2]Table2.1..2.2!$A$13:$A$17</definedName>
    <definedName name="chart???" localSheetId="10" hidden="1">[2]Table2.1..2.2!$A$13:$A$17</definedName>
    <definedName name="chart???" localSheetId="11" hidden="1">[2]Table2.1..2.2!$A$13:$A$17</definedName>
    <definedName name="chart???" localSheetId="12" hidden="1">[2]Table2.1..2.2!$A$13:$A$17</definedName>
    <definedName name="chart???" localSheetId="14" hidden="1">[6]Table2.1..2.2!$A$13:$A$17</definedName>
    <definedName name="chart???" localSheetId="17" hidden="1">[6]Table2.1..2.2!$A$13:$A$17</definedName>
    <definedName name="chart???" localSheetId="18" hidden="1">[6]Table2.1..2.2!$A$13:$A$17</definedName>
    <definedName name="chart???" localSheetId="19" hidden="1">[6]Table2.1..2.2!$A$13:$A$17</definedName>
    <definedName name="chart???" hidden="1">[5]Table2.1..2.2!$A$13:$A$17</definedName>
    <definedName name="collection_chart" localSheetId="8" hidden="1">[2]Table2.1..2.2!$A$13:$A$17</definedName>
    <definedName name="collection_chart" localSheetId="9" hidden="1">[2]Table2.1..2.2!$A$13:$A$17</definedName>
    <definedName name="collection_chart" localSheetId="10" hidden="1">[2]Table2.1..2.2!$A$13:$A$17</definedName>
    <definedName name="collection_chart" localSheetId="11" hidden="1">[2]Table2.1..2.2!$A$13:$A$17</definedName>
    <definedName name="collection_chart" localSheetId="12" hidden="1">[2]Table2.1..2.2!$A$13:$A$17</definedName>
    <definedName name="collection_chart" localSheetId="14" hidden="1">[6]Table2.1..2.2!$A$13:$A$17</definedName>
    <definedName name="collection_chart" localSheetId="17" hidden="1">[6]Table2.1..2.2!$A$13:$A$17</definedName>
    <definedName name="collection_chart" localSheetId="18" hidden="1">[6]Table2.1..2.2!$A$13:$A$17</definedName>
    <definedName name="collection_chart" localSheetId="19" hidden="1">[6]Table2.1..2.2!$A$13:$A$17</definedName>
    <definedName name="collection_chart" hidden="1">[5]Table2.1..2.2!$A$13:$A$17</definedName>
    <definedName name="collections_chart" localSheetId="8" hidden="1">[2]Table2.1..2.2!$A$13:$A$17</definedName>
    <definedName name="collections_chart" localSheetId="9" hidden="1">[2]Table2.1..2.2!$A$13:$A$17</definedName>
    <definedName name="collections_chart" localSheetId="10" hidden="1">[2]Table2.1..2.2!$A$13:$A$17</definedName>
    <definedName name="collections_chart" localSheetId="11" hidden="1">[2]Table2.1..2.2!$A$13:$A$17</definedName>
    <definedName name="collections_chart" localSheetId="12" hidden="1">[2]Table2.1..2.2!$A$13:$A$17</definedName>
    <definedName name="collections_chart" localSheetId="14" hidden="1">[6]Table2.1..2.2!$A$13:$A$17</definedName>
    <definedName name="collections_chart" localSheetId="17" hidden="1">[6]Table2.1..2.2!$A$13:$A$17</definedName>
    <definedName name="collections_chart" localSheetId="18" hidden="1">[6]Table2.1..2.2!$A$13:$A$17</definedName>
    <definedName name="collections_chart" localSheetId="19" hidden="1">[6]Table2.1..2.2!$A$13:$A$17</definedName>
    <definedName name="collections_chart" hidden="1">[5]Table2.1..2.2!$A$13:$A$17</definedName>
    <definedName name="fivesix" localSheetId="26" hidden="1">[2]Table2.1..2.2!$B$13:$B$17</definedName>
    <definedName name="OLE_LINK1" localSheetId="16">'3.1'!$A$5</definedName>
    <definedName name="_xlnm.Print_Area" localSheetId="4">'1.1'!$A$1:$E$27</definedName>
    <definedName name="_xlnm.Print_Area" localSheetId="13">'1.10'!$A$1:$N$52</definedName>
    <definedName name="_xlnm.Print_Area" localSheetId="5">'1.2'!$A$1:$K$40</definedName>
    <definedName name="_xlnm.Print_Area" localSheetId="6">'1.3'!$A$1:$H$33</definedName>
    <definedName name="_xlnm.Print_Area" localSheetId="7">'1.4'!$A$1:$J$33</definedName>
    <definedName name="_xlnm.Print_Area" localSheetId="8">'1.5'!$A$1:$N$174</definedName>
    <definedName name="_xlnm.Print_Area" localSheetId="9">'1.6'!$A$1:$M$172</definedName>
    <definedName name="_xlnm.Print_Area" localSheetId="10">'1.6p'!$A$1:$L$173</definedName>
    <definedName name="_xlnm.Print_Area" localSheetId="11">'1.7'!$A$1:$H$169</definedName>
    <definedName name="_xlnm.Print_Area" localSheetId="12">'1.8-1.9'!$A$1:$N$43</definedName>
    <definedName name="_xlnm.Print_Area" localSheetId="14">'2.1'!$A$1:$L$21</definedName>
    <definedName name="_xlnm.Print_Area" localSheetId="15">'2.2'!$A$1:$J$25</definedName>
    <definedName name="_xlnm.Print_Area" localSheetId="16">'3.1'!$A$1:$F$54</definedName>
    <definedName name="_xlnm.Print_Area" localSheetId="17">'4.1'!$A$1:$P$63</definedName>
    <definedName name="_xlnm.Print_Area" localSheetId="18">'4.1_v1'!$A$1:$N$58</definedName>
    <definedName name="_xlnm.Print_Area" localSheetId="19">'4.1k'!$A$1:$P$55</definedName>
    <definedName name="_xlnm.Print_Area" localSheetId="20">'4.2'!$A$1:$H$39</definedName>
    <definedName name="_xlnm.Print_Area" localSheetId="21">'4.3'!$A$1:$N$62</definedName>
    <definedName name="_xlnm.Print_Area" localSheetId="22">'5.1'!$A$1:$H$26</definedName>
    <definedName name="_xlnm.Print_Area" localSheetId="23">'5.2'!$A$1:$I$56</definedName>
    <definedName name="_xlnm.Print_Area" localSheetId="24">'5.3-5.4'!$A$1:$G$46</definedName>
    <definedName name="_xlnm.Print_Area" localSheetId="25">'5.5'!$A$1:$G$159</definedName>
    <definedName name="_xlnm.Print_Area" localSheetId="26">'5.6'!$A$1:$P$105</definedName>
    <definedName name="_xlnm.Print_Area" localSheetId="27">'5.7'!$A$1:$K$34</definedName>
    <definedName name="_xlnm.Print_Area" localSheetId="28">'6.1'!$A$1:$H$34</definedName>
    <definedName name="_xlnm.Print_Area" localSheetId="29">'6.1p'!$A$1:$H$30</definedName>
    <definedName name="_xlnm.Print_Area" localSheetId="30">'6.2'!$A$1:$H$168</definedName>
    <definedName name="_xlnm.Print_Area" localSheetId="31">'6.2p'!$A$1:$H$205</definedName>
    <definedName name="_xlnm.Print_Area" localSheetId="32">'6.3'!$A$1:$H$167</definedName>
    <definedName name="_xlnm.Print_Area" localSheetId="33">'6.3p'!#REF!</definedName>
    <definedName name="_xlnm.Print_Area" localSheetId="34">'6.4'!$A$1:$P$171</definedName>
    <definedName name="_xlnm.Print_Area" localSheetId="35">'6.4p'!#REF!</definedName>
    <definedName name="_xlnm.Print_Area" localSheetId="36">'7.1'!$A$1:$F$25</definedName>
    <definedName name="_xlnm.Print_Area" localSheetId="3">ByAcct!$A$1:$R$52</definedName>
    <definedName name="_xlnm.Print_Area" localSheetId="37">Directory!$A$1:$C$18</definedName>
    <definedName name="_xlnm.Print_Area" localSheetId="2">RevExp!$A$1:$U$47</definedName>
    <definedName name="_xlnm.Print_Area" localSheetId="0">TitlePage!$A$1:$H$20</definedName>
    <definedName name="_xlnm.Print_Area" localSheetId="1">TOC!$A$1:$E$49</definedName>
    <definedName name="_xlnm.Print_Area">#REF!</definedName>
    <definedName name="_xlnm.Print_Titles" localSheetId="16">'3.1'!$5:$5</definedName>
    <definedName name="_xlnm.Print_Titles">#N/A</definedName>
    <definedName name="Z_E6BBE5A7_0B25_4EE8_BA45_5EA5DBAF3AD4_.wvu.FilterData" localSheetId="16" hidden="1">'3.1'!$A$5:$E$5</definedName>
    <definedName name="Z_E6BBE5A7_0B25_4EE8_BA45_5EA5DBAF3AD4_.wvu.PrintArea" localSheetId="4" hidden="1">'1.1'!$A$1:$F$49</definedName>
    <definedName name="Z_E6BBE5A7_0B25_4EE8_BA45_5EA5DBAF3AD4_.wvu.PrintArea" localSheetId="13" hidden="1">'1.10'!$A$1:$L$51</definedName>
    <definedName name="Z_E6BBE5A7_0B25_4EE8_BA45_5EA5DBAF3AD4_.wvu.PrintArea" localSheetId="5" hidden="1">'1.2'!$A$1:$K$41</definedName>
    <definedName name="Z_E6BBE5A7_0B25_4EE8_BA45_5EA5DBAF3AD4_.wvu.PrintArea" localSheetId="6" hidden="1">'1.3'!$A$1:$G$32</definedName>
    <definedName name="Z_E6BBE5A7_0B25_4EE8_BA45_5EA5DBAF3AD4_.wvu.PrintArea" localSheetId="7" hidden="1">'1.4'!#REF!</definedName>
    <definedName name="Z_E6BBE5A7_0B25_4EE8_BA45_5EA5DBAF3AD4_.wvu.PrintArea" localSheetId="8" hidden="1">'1.5'!$A$1:$N$173</definedName>
    <definedName name="Z_E6BBE5A7_0B25_4EE8_BA45_5EA5DBAF3AD4_.wvu.PrintArea" localSheetId="9" hidden="1">'1.6'!$A$1:$M$171</definedName>
    <definedName name="Z_E6BBE5A7_0B25_4EE8_BA45_5EA5DBAF3AD4_.wvu.PrintArea" localSheetId="10" hidden="1">'1.6p'!$A$1:$L$172</definedName>
    <definedName name="Z_E6BBE5A7_0B25_4EE8_BA45_5EA5DBAF3AD4_.wvu.PrintArea" localSheetId="11" hidden="1">'1.7'!$A$1:$H$168</definedName>
    <definedName name="Z_E6BBE5A7_0B25_4EE8_BA45_5EA5DBAF3AD4_.wvu.PrintArea" localSheetId="12" hidden="1">'1.8-1.9'!$A$1:$M$42</definedName>
    <definedName name="Z_E6BBE5A7_0B25_4EE8_BA45_5EA5DBAF3AD4_.wvu.PrintArea" localSheetId="14" hidden="1">'2.1'!$A$1:$D$38</definedName>
    <definedName name="Z_E6BBE5A7_0B25_4EE8_BA45_5EA5DBAF3AD4_.wvu.PrintArea" localSheetId="15" hidden="1">'2.2'!$A$1:$I$26</definedName>
    <definedName name="Z_E6BBE5A7_0B25_4EE8_BA45_5EA5DBAF3AD4_.wvu.PrintArea" localSheetId="16" hidden="1">'3.1'!$A$1:$F$57</definedName>
    <definedName name="Z_E6BBE5A7_0B25_4EE8_BA45_5EA5DBAF3AD4_.wvu.PrintArea" localSheetId="17" hidden="1">'4.1'!$A$1:$P$55</definedName>
    <definedName name="Z_E6BBE5A7_0B25_4EE8_BA45_5EA5DBAF3AD4_.wvu.PrintArea" localSheetId="18" hidden="1">'4.1_v1'!$A$1:$N$50</definedName>
    <definedName name="Z_E6BBE5A7_0B25_4EE8_BA45_5EA5DBAF3AD4_.wvu.PrintArea" localSheetId="19" hidden="1">'4.1k'!$A$1:$P$47</definedName>
    <definedName name="Z_E6BBE5A7_0B25_4EE8_BA45_5EA5DBAF3AD4_.wvu.PrintArea" localSheetId="20" hidden="1">'4.2'!$A$1:$G$38</definedName>
    <definedName name="Z_E6BBE5A7_0B25_4EE8_BA45_5EA5DBAF3AD4_.wvu.PrintArea" localSheetId="21" hidden="1">'4.3'!$A$1:$N$62</definedName>
    <definedName name="Z_E6BBE5A7_0B25_4EE8_BA45_5EA5DBAF3AD4_.wvu.PrintArea" localSheetId="24" hidden="1">'5.3-5.4'!$A$1:$F$42</definedName>
    <definedName name="Z_E6BBE5A7_0B25_4EE8_BA45_5EA5DBAF3AD4_.wvu.PrintArea" localSheetId="25" hidden="1">'5.5'!$A$1:$G$157</definedName>
    <definedName name="Z_E6BBE5A7_0B25_4EE8_BA45_5EA5DBAF3AD4_.wvu.PrintArea" localSheetId="26" hidden="1">'5.6'!$A$1:$P$105</definedName>
    <definedName name="Z_E6BBE5A7_0B25_4EE8_BA45_5EA5DBAF3AD4_.wvu.PrintArea" localSheetId="36" hidden="1">'7.1'!$A$1:$D$24</definedName>
    <definedName name="Z_E6BBE5A7_0B25_4EE8_BA45_5EA5DBAF3AD4_.wvu.PrintArea" localSheetId="3" hidden="1">ByAcct!$A$1:$R$49</definedName>
    <definedName name="Z_E6BBE5A7_0B25_4EE8_BA45_5EA5DBAF3AD4_.wvu.PrintArea" localSheetId="37" hidden="1">Directory!$A$1:$B$18</definedName>
    <definedName name="Z_E6BBE5A7_0B25_4EE8_BA45_5EA5DBAF3AD4_.wvu.PrintArea" localSheetId="2" hidden="1">RevExp!$A$1:$U$47</definedName>
    <definedName name="Z_E6BBE5A7_0B25_4EE8_BA45_5EA5DBAF3AD4_.wvu.PrintArea" localSheetId="0" hidden="1">TitlePage!$A$1:$H$20</definedName>
    <definedName name="Z_E6BBE5A7_0B25_4EE8_BA45_5EA5DBAF3AD4_.wvu.PrintArea" localSheetId="1" hidden="1">TOC!$A$1:$E$50</definedName>
    <definedName name="Z_E6BBE5A7_0B25_4EE8_BA45_5EA5DBAF3AD4_.wvu.PrintTitles" localSheetId="16" hidden="1">'3.1'!$5:$5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C17" i="12" l="1"/>
  <c r="E27" i="23" l="1"/>
  <c r="D27" i="23"/>
  <c r="N17" i="3" l="1"/>
  <c r="N12" i="3"/>
  <c r="B39" i="4"/>
  <c r="C39" i="4"/>
  <c r="D39" i="4"/>
  <c r="E39" i="4"/>
  <c r="F39" i="4"/>
  <c r="G39" i="4"/>
  <c r="L37" i="4"/>
  <c r="I155" i="10" l="1"/>
  <c r="F155" i="10"/>
  <c r="C155" i="10"/>
  <c r="M31" i="8"/>
  <c r="I6" i="8"/>
  <c r="M7" i="8"/>
  <c r="M8" i="8"/>
  <c r="M9" i="8"/>
  <c r="M10" i="8"/>
  <c r="M11" i="8"/>
  <c r="M12" i="8"/>
  <c r="M13" i="8"/>
  <c r="M14" i="8"/>
  <c r="M15" i="8"/>
  <c r="M16" i="8"/>
  <c r="M17" i="8"/>
  <c r="M18" i="8"/>
  <c r="M19" i="8"/>
  <c r="M20" i="8"/>
  <c r="M21" i="8"/>
  <c r="M22" i="8"/>
  <c r="M23" i="8"/>
  <c r="M24" i="8"/>
  <c r="M25" i="8"/>
  <c r="M26" i="8"/>
  <c r="M27" i="8"/>
  <c r="M28" i="8"/>
  <c r="M29" i="8"/>
  <c r="M30" i="8"/>
  <c r="M6" i="8"/>
  <c r="E6" i="8"/>
  <c r="D6" i="8"/>
  <c r="K31" i="7"/>
  <c r="G6" i="7"/>
  <c r="K6" i="7" s="1"/>
  <c r="K7" i="7"/>
  <c r="K8" i="7"/>
  <c r="K9" i="7"/>
  <c r="K10" i="7"/>
  <c r="K11" i="7"/>
  <c r="K12" i="7"/>
  <c r="K13" i="7"/>
  <c r="K14" i="7"/>
  <c r="K15" i="7"/>
  <c r="K16" i="7"/>
  <c r="K17" i="7"/>
  <c r="K18" i="7"/>
  <c r="K19" i="7"/>
  <c r="K20" i="7"/>
  <c r="K21" i="7"/>
  <c r="K22" i="7"/>
  <c r="K23" i="7"/>
  <c r="K24" i="7"/>
  <c r="K25" i="7"/>
  <c r="K26" i="7"/>
  <c r="K27" i="7"/>
  <c r="K28" i="7"/>
  <c r="K29" i="7"/>
  <c r="K30" i="7"/>
  <c r="B47" i="2" l="1"/>
  <c r="B44" i="2"/>
  <c r="B43" i="2"/>
  <c r="B42" i="2"/>
  <c r="B41" i="2"/>
  <c r="B38" i="2"/>
  <c r="B37" i="2"/>
  <c r="B36" i="2"/>
  <c r="B35" i="2"/>
  <c r="B34" i="2"/>
  <c r="B33" i="2"/>
  <c r="B32" i="2"/>
  <c r="B29" i="2"/>
  <c r="B28" i="2"/>
  <c r="B27" i="2"/>
  <c r="B24" i="2"/>
  <c r="B21" i="2"/>
  <c r="B20" i="2"/>
  <c r="B17" i="2"/>
  <c r="B16" i="2"/>
  <c r="B15" i="2"/>
  <c r="B14" i="2"/>
  <c r="B13" i="2"/>
  <c r="B12" i="2"/>
  <c r="B11" i="2"/>
  <c r="B10" i="2"/>
  <c r="B9" i="2"/>
  <c r="B8" i="2"/>
  <c r="B5" i="2"/>
  <c r="B4" i="2"/>
  <c r="A72" i="47" l="1"/>
  <c r="A37" i="47"/>
  <c r="A114" i="47"/>
  <c r="A114" i="46" l="1"/>
  <c r="A114" i="45" l="1"/>
  <c r="F56" i="16" l="1"/>
  <c r="E56" i="16"/>
  <c r="H35" i="3" l="1"/>
  <c r="I34" i="3"/>
  <c r="H34" i="3"/>
  <c r="H33" i="3"/>
  <c r="H32" i="3"/>
  <c r="H36" i="3"/>
  <c r="H7" i="4" l="1"/>
  <c r="E12" i="23"/>
  <c r="D12" i="23"/>
  <c r="H31" i="3" l="1"/>
  <c r="H8" i="3"/>
  <c r="J28" i="4"/>
  <c r="J39" i="4" s="1"/>
  <c r="H36" i="4" l="1"/>
  <c r="H35" i="4"/>
  <c r="H34" i="4"/>
  <c r="H33" i="4"/>
  <c r="H32" i="4"/>
  <c r="H31" i="4"/>
  <c r="H30" i="4"/>
  <c r="H29" i="4"/>
  <c r="I28" i="4"/>
  <c r="I39" i="4" s="1"/>
  <c r="H28" i="4"/>
  <c r="H39" i="4" s="1"/>
  <c r="H27" i="4"/>
  <c r="H26" i="4"/>
  <c r="H25" i="4"/>
  <c r="H24" i="4"/>
  <c r="H23" i="4"/>
  <c r="H22" i="4"/>
  <c r="H21" i="4"/>
  <c r="H16" i="4"/>
  <c r="H15" i="4"/>
  <c r="H14" i="4"/>
  <c r="H13" i="4"/>
  <c r="H12" i="4"/>
  <c r="H11" i="4"/>
  <c r="H10" i="4"/>
  <c r="H9" i="4"/>
  <c r="H8" i="4"/>
  <c r="H18" i="4" l="1"/>
  <c r="H11" i="3" s="1"/>
  <c r="H16" i="3" s="1"/>
  <c r="H54" i="4"/>
  <c r="H12" i="3"/>
  <c r="H17" i="3" s="1"/>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116" i="9"/>
  <c r="N115" i="9"/>
  <c r="N114" i="9"/>
  <c r="N113" i="9"/>
  <c r="N112" i="9"/>
  <c r="N111" i="9"/>
  <c r="N110" i="9"/>
  <c r="N109" i="9"/>
  <c r="N108" i="9"/>
  <c r="N107" i="9"/>
  <c r="N106" i="9"/>
  <c r="N105" i="9"/>
  <c r="N104" i="9"/>
  <c r="N103" i="9"/>
  <c r="N102" i="9"/>
  <c r="N101" i="9"/>
  <c r="N100" i="9"/>
  <c r="N99" i="9"/>
  <c r="N98" i="9"/>
  <c r="N97" i="9"/>
  <c r="N96" i="9"/>
  <c r="N95" i="9"/>
  <c r="N94" i="9"/>
  <c r="N93" i="9"/>
  <c r="N92" i="9"/>
  <c r="H41" i="4" l="1"/>
  <c r="H57" i="4" s="1"/>
  <c r="H13" i="3"/>
  <c r="H38" i="3" s="1"/>
  <c r="H18" i="3"/>
  <c r="M9" i="17"/>
  <c r="P9" i="17" s="1"/>
  <c r="M10" i="17"/>
  <c r="M11" i="17"/>
  <c r="P11" i="17" s="1"/>
  <c r="M12" i="17"/>
  <c r="P12" i="17" s="1"/>
  <c r="M13" i="17"/>
  <c r="P13" i="17" s="1"/>
  <c r="M14" i="17"/>
  <c r="P14" i="17" s="1"/>
  <c r="M15" i="17"/>
  <c r="P10" i="17"/>
  <c r="M17" i="17"/>
  <c r="P17" i="17" s="1"/>
  <c r="D153" i="24" l="1"/>
  <c r="E153" i="24"/>
  <c r="F153" i="24"/>
  <c r="G153" i="24"/>
  <c r="C153" i="24"/>
  <c r="G109" i="24"/>
  <c r="G154" i="24" s="1"/>
  <c r="F109" i="24"/>
  <c r="F154" i="24" s="1"/>
  <c r="E109" i="24"/>
  <c r="E154" i="24" s="1"/>
  <c r="D109" i="24"/>
  <c r="D154" i="24" s="1"/>
  <c r="C109" i="24"/>
  <c r="C154" i="24" s="1"/>
  <c r="B41" i="4" l="1"/>
  <c r="B57" i="4" s="1"/>
  <c r="C41" i="4"/>
  <c r="C57" i="4" s="1"/>
  <c r="D41" i="4"/>
  <c r="D57" i="4" s="1"/>
  <c r="E41" i="4"/>
  <c r="E57" i="4" s="1"/>
  <c r="F41" i="4"/>
  <c r="F57" i="4" s="1"/>
  <c r="F17" i="53" l="1"/>
  <c r="E17" i="53"/>
  <c r="C6" i="53"/>
  <c r="M6" i="53" s="1"/>
  <c r="C7" i="53"/>
  <c r="M7" i="53" s="1"/>
  <c r="C8" i="53"/>
  <c r="M8" i="53" s="1"/>
  <c r="P8" i="53" s="1"/>
  <c r="C9" i="53"/>
  <c r="M9" i="53" s="1"/>
  <c r="C10" i="53"/>
  <c r="M10" i="53" s="1"/>
  <c r="C11" i="53"/>
  <c r="M11" i="53" s="1"/>
  <c r="C12" i="53"/>
  <c r="C13" i="53"/>
  <c r="C14" i="53"/>
  <c r="M14" i="53" s="1"/>
  <c r="C15" i="53"/>
  <c r="C16" i="53"/>
  <c r="O16" i="53"/>
  <c r="O17" i="53" s="1"/>
  <c r="N16" i="53"/>
  <c r="AB16" i="53" s="1"/>
  <c r="L16" i="53"/>
  <c r="L17" i="53" s="1"/>
  <c r="K16" i="53"/>
  <c r="K17" i="53" s="1"/>
  <c r="J16" i="53"/>
  <c r="J17" i="53" s="1"/>
  <c r="I16" i="53"/>
  <c r="H16" i="53"/>
  <c r="G17" i="53"/>
  <c r="B16" i="53"/>
  <c r="M16" i="53" s="1"/>
  <c r="X15" i="53"/>
  <c r="O15" i="53"/>
  <c r="N15" i="53"/>
  <c r="AB15" i="53" s="1"/>
  <c r="J15" i="53"/>
  <c r="I15" i="53"/>
  <c r="H15" i="53"/>
  <c r="B15" i="53"/>
  <c r="AB14" i="53"/>
  <c r="X14" i="53"/>
  <c r="I14" i="53"/>
  <c r="H14" i="53"/>
  <c r="D17" i="53"/>
  <c r="AB13" i="53"/>
  <c r="B13" i="53"/>
  <c r="AB12" i="53"/>
  <c r="B12" i="53"/>
  <c r="M12" i="53" s="1"/>
  <c r="AB11" i="53"/>
  <c r="Z11" i="53"/>
  <c r="AB10" i="53"/>
  <c r="Z10" i="53"/>
  <c r="AB9" i="53"/>
  <c r="Z9" i="53"/>
  <c r="AB8" i="53"/>
  <c r="Z8" i="53"/>
  <c r="AB7" i="53"/>
  <c r="Z7" i="53"/>
  <c r="M13" i="53" l="1"/>
  <c r="AA13" i="53" s="1"/>
  <c r="H17" i="53"/>
  <c r="M15" i="53"/>
  <c r="P15" i="53" s="1"/>
  <c r="B17" i="53"/>
  <c r="I17" i="53"/>
  <c r="Z12" i="53"/>
  <c r="Z16" i="53"/>
  <c r="AA7" i="53"/>
  <c r="P10" i="53"/>
  <c r="AA8" i="53"/>
  <c r="P11" i="53"/>
  <c r="AA11" i="53"/>
  <c r="P12" i="53"/>
  <c r="AA12" i="53"/>
  <c r="P13" i="53"/>
  <c r="AA9" i="53"/>
  <c r="P9" i="53"/>
  <c r="AC9" i="53" s="1"/>
  <c r="AA10" i="53"/>
  <c r="P16" i="53"/>
  <c r="N17" i="53"/>
  <c r="Z13" i="53"/>
  <c r="P7" i="53"/>
  <c r="AC7" i="53" s="1"/>
  <c r="Z14" i="53"/>
  <c r="Z15" i="53"/>
  <c r="AC10" i="53" l="1"/>
  <c r="AC8" i="53"/>
  <c r="AC12" i="53"/>
  <c r="AA16" i="53"/>
  <c r="AA14" i="53"/>
  <c r="P14" i="53"/>
  <c r="AC15" i="53" s="1"/>
  <c r="M17" i="53"/>
  <c r="AC13" i="53"/>
  <c r="S15" i="53"/>
  <c r="U15" i="53"/>
  <c r="AC11" i="53"/>
  <c r="S16" i="53"/>
  <c r="AC16" i="53"/>
  <c r="U16" i="53"/>
  <c r="AA15" i="53"/>
  <c r="P17" i="53" l="1"/>
  <c r="S14" i="53"/>
  <c r="AC14" i="53"/>
  <c r="U14" i="53"/>
  <c r="J54" i="4" l="1"/>
  <c r="G17" i="52"/>
  <c r="M16" i="52"/>
  <c r="M17" i="52" s="1"/>
  <c r="L16" i="52"/>
  <c r="L17" i="52" s="1"/>
  <c r="J16" i="52"/>
  <c r="J17" i="52" s="1"/>
  <c r="I16" i="52"/>
  <c r="I17" i="52" s="1"/>
  <c r="H16" i="52"/>
  <c r="H17" i="52" s="1"/>
  <c r="G16" i="52"/>
  <c r="F16" i="52"/>
  <c r="F17" i="52" s="1"/>
  <c r="E16" i="52"/>
  <c r="E17" i="52" s="1"/>
  <c r="D16" i="52"/>
  <c r="D17" i="52" s="1"/>
  <c r="C16" i="52"/>
  <c r="B16" i="52"/>
  <c r="B17" i="52" s="1"/>
  <c r="X15" i="52"/>
  <c r="V15" i="52"/>
  <c r="M15" i="52"/>
  <c r="L15" i="52"/>
  <c r="Z15" i="52" s="1"/>
  <c r="I15" i="52"/>
  <c r="H15" i="52"/>
  <c r="G15" i="52"/>
  <c r="F15" i="52"/>
  <c r="E15" i="52"/>
  <c r="D15" i="52"/>
  <c r="C15" i="52"/>
  <c r="B15" i="52"/>
  <c r="K15" i="52" s="1"/>
  <c r="Z14" i="52"/>
  <c r="V14" i="52"/>
  <c r="H14" i="52"/>
  <c r="G14" i="52"/>
  <c r="D14" i="52"/>
  <c r="C14" i="52"/>
  <c r="C17" i="52" s="1"/>
  <c r="Z13" i="52"/>
  <c r="X13" i="52"/>
  <c r="D13" i="52"/>
  <c r="C13" i="52"/>
  <c r="B13" i="52"/>
  <c r="K13" i="52" s="1"/>
  <c r="Z12" i="52"/>
  <c r="D12" i="52"/>
  <c r="C12" i="52"/>
  <c r="B12" i="52"/>
  <c r="X12" i="52" s="1"/>
  <c r="Z11" i="52"/>
  <c r="X11" i="52"/>
  <c r="K11" i="52"/>
  <c r="D11" i="52"/>
  <c r="Z10" i="52"/>
  <c r="X10" i="52"/>
  <c r="D10" i="52"/>
  <c r="K10" i="52" s="1"/>
  <c r="Z9" i="52"/>
  <c r="X9" i="52"/>
  <c r="D9" i="52"/>
  <c r="C9" i="52"/>
  <c r="K9" i="52" s="1"/>
  <c r="Z8" i="52"/>
  <c r="X8" i="52"/>
  <c r="K8" i="52"/>
  <c r="N8" i="52" s="1"/>
  <c r="Z7" i="52"/>
  <c r="X7" i="52"/>
  <c r="K7" i="52"/>
  <c r="Y7" i="52" s="1"/>
  <c r="K6" i="52"/>
  <c r="N15" i="52" l="1"/>
  <c r="N13" i="52"/>
  <c r="N9" i="52"/>
  <c r="AA9" i="52" s="1"/>
  <c r="Y9" i="52"/>
  <c r="Y11" i="52"/>
  <c r="N10" i="52"/>
  <c r="Y10" i="52"/>
  <c r="AA8" i="52"/>
  <c r="N7" i="52"/>
  <c r="AA7" i="52" s="1"/>
  <c r="Y8" i="52"/>
  <c r="N11" i="52"/>
  <c r="AA11" i="52" s="1"/>
  <c r="K12" i="52"/>
  <c r="X14" i="52"/>
  <c r="K16" i="52"/>
  <c r="Z16" i="52"/>
  <c r="K14" i="52"/>
  <c r="X16" i="52"/>
  <c r="D17" i="12"/>
  <c r="G17" i="12"/>
  <c r="J17" i="12"/>
  <c r="L17" i="12"/>
  <c r="M17" i="12"/>
  <c r="I17" i="12"/>
  <c r="F17" i="12"/>
  <c r="Y14" i="52" l="1"/>
  <c r="N14" i="52"/>
  <c r="N12" i="52"/>
  <c r="AA12" i="52" s="1"/>
  <c r="Y12" i="52"/>
  <c r="Y15" i="52"/>
  <c r="AA15" i="52"/>
  <c r="S15" i="52"/>
  <c r="Q15" i="52"/>
  <c r="N16" i="52"/>
  <c r="K17" i="52"/>
  <c r="Y16" i="52"/>
  <c r="AA10" i="52"/>
  <c r="Y13" i="52"/>
  <c r="AA13" i="52"/>
  <c r="L166" i="51"/>
  <c r="L118" i="51"/>
  <c r="K118" i="51"/>
  <c r="J118" i="51"/>
  <c r="H118" i="51"/>
  <c r="G118" i="51"/>
  <c r="F118" i="51"/>
  <c r="E118" i="51"/>
  <c r="C118" i="51"/>
  <c r="B118" i="51"/>
  <c r="L165" i="51"/>
  <c r="K165" i="51"/>
  <c r="J165" i="51"/>
  <c r="H165" i="51"/>
  <c r="G165" i="51"/>
  <c r="F165" i="51"/>
  <c r="E165" i="51"/>
  <c r="C165" i="51"/>
  <c r="B165" i="51"/>
  <c r="L46" i="51"/>
  <c r="L88" i="51" s="1"/>
  <c r="L122" i="51" s="1"/>
  <c r="K46" i="51"/>
  <c r="K88" i="51" s="1"/>
  <c r="K122" i="51" s="1"/>
  <c r="J46" i="51"/>
  <c r="J88" i="51" s="1"/>
  <c r="J122" i="51" s="1"/>
  <c r="I46" i="51"/>
  <c r="I88" i="51" s="1"/>
  <c r="I122" i="51" s="1"/>
  <c r="H46" i="51"/>
  <c r="H88" i="51" s="1"/>
  <c r="H122" i="51" s="1"/>
  <c r="G46" i="51"/>
  <c r="G88" i="51" s="1"/>
  <c r="G122" i="51" s="1"/>
  <c r="F46" i="51"/>
  <c r="F88" i="51" s="1"/>
  <c r="F122" i="51" s="1"/>
  <c r="E46" i="51"/>
  <c r="E88" i="51" s="1"/>
  <c r="E122" i="51" s="1"/>
  <c r="D46" i="51"/>
  <c r="D88" i="51" s="1"/>
  <c r="D122" i="51" s="1"/>
  <c r="C46" i="51"/>
  <c r="C88" i="51" s="1"/>
  <c r="C122" i="51" s="1"/>
  <c r="B46" i="51"/>
  <c r="B88" i="51" s="1"/>
  <c r="B122" i="51" s="1"/>
  <c r="A44" i="51"/>
  <c r="A86" i="51" s="1"/>
  <c r="A120" i="51" s="1"/>
  <c r="A45" i="51"/>
  <c r="A87" i="51" s="1"/>
  <c r="A121" i="51" s="1"/>
  <c r="S14" i="52" l="1"/>
  <c r="Q14" i="52"/>
  <c r="AA14" i="52"/>
  <c r="N17" i="52"/>
  <c r="AA16" i="52"/>
  <c r="S16" i="52"/>
  <c r="Q16" i="52"/>
  <c r="H166" i="51"/>
  <c r="H169" i="51" s="1"/>
  <c r="B166" i="51"/>
  <c r="F166" i="51"/>
  <c r="F169" i="51" s="1"/>
  <c r="J166" i="51"/>
  <c r="J169" i="51" s="1"/>
  <c r="E166" i="51"/>
  <c r="E169" i="51" s="1"/>
  <c r="G166" i="51"/>
  <c r="G169" i="51" s="1"/>
  <c r="K166" i="51"/>
  <c r="K169" i="51" s="1"/>
  <c r="C166" i="51"/>
  <c r="C169" i="51" s="1"/>
  <c r="L169" i="51"/>
  <c r="B169" i="51" l="1"/>
  <c r="F112" i="47" l="1"/>
  <c r="E106" i="46"/>
  <c r="E107" i="46"/>
  <c r="E108" i="46"/>
  <c r="E109" i="46"/>
  <c r="E110" i="46"/>
  <c r="A169" i="11" l="1"/>
  <c r="A172" i="10"/>
  <c r="H20" i="44" l="1"/>
  <c r="H19" i="44"/>
  <c r="H18" i="44"/>
  <c r="H17" i="44"/>
  <c r="H11" i="44"/>
  <c r="H10" i="44"/>
  <c r="H9" i="44"/>
  <c r="H8" i="44"/>
  <c r="C112" i="47" l="1"/>
  <c r="D112" i="47"/>
  <c r="E112" i="47"/>
  <c r="G112" i="47"/>
  <c r="H112" i="47"/>
  <c r="I112" i="47"/>
  <c r="J112" i="47"/>
  <c r="K112" i="47"/>
  <c r="L112" i="47"/>
  <c r="M112" i="47"/>
  <c r="N112" i="47"/>
  <c r="O112" i="47"/>
  <c r="B112" i="47"/>
  <c r="C157" i="47"/>
  <c r="D157" i="47"/>
  <c r="E157" i="47"/>
  <c r="F157" i="47"/>
  <c r="G157" i="47"/>
  <c r="H157" i="47"/>
  <c r="I157" i="47"/>
  <c r="J157" i="47"/>
  <c r="K157" i="47"/>
  <c r="L157" i="47"/>
  <c r="M157" i="47"/>
  <c r="N157" i="47"/>
  <c r="O157" i="47"/>
  <c r="P157" i="47"/>
  <c r="B157" i="47"/>
  <c r="F155" i="45" l="1"/>
  <c r="E155" i="45"/>
  <c r="F154" i="45"/>
  <c r="E154" i="45"/>
  <c r="F153" i="45"/>
  <c r="E153" i="45"/>
  <c r="F152" i="45"/>
  <c r="E152" i="45"/>
  <c r="F151" i="45"/>
  <c r="E151" i="45"/>
  <c r="F150" i="45"/>
  <c r="E150" i="45"/>
  <c r="F149" i="45"/>
  <c r="E149" i="45"/>
  <c r="F148" i="45"/>
  <c r="E148" i="45"/>
  <c r="F147" i="45"/>
  <c r="E147" i="45"/>
  <c r="F146" i="45"/>
  <c r="E146" i="45"/>
  <c r="F145" i="45"/>
  <c r="E145" i="45"/>
  <c r="F144" i="45"/>
  <c r="E144" i="45"/>
  <c r="F143" i="45"/>
  <c r="E143" i="45"/>
  <c r="F142" i="45"/>
  <c r="E142" i="45"/>
  <c r="F141" i="45"/>
  <c r="E141" i="45"/>
  <c r="F140" i="45"/>
  <c r="E140" i="45"/>
  <c r="F139" i="45"/>
  <c r="E139" i="45"/>
  <c r="F138" i="45"/>
  <c r="E138" i="45"/>
  <c r="F137" i="45"/>
  <c r="E137" i="45"/>
  <c r="F136" i="45"/>
  <c r="E136" i="45"/>
  <c r="F135" i="45"/>
  <c r="E135" i="45"/>
  <c r="F134" i="45"/>
  <c r="E134" i="45"/>
  <c r="F133" i="45"/>
  <c r="E133" i="45"/>
  <c r="F132" i="45"/>
  <c r="E132" i="45"/>
  <c r="F131" i="45"/>
  <c r="E131" i="45"/>
  <c r="F130" i="45"/>
  <c r="E130" i="45"/>
  <c r="F129" i="45"/>
  <c r="E129" i="45"/>
  <c r="F128" i="45"/>
  <c r="E128" i="45"/>
  <c r="F127" i="45"/>
  <c r="E127" i="45"/>
  <c r="F126" i="45"/>
  <c r="E126" i="45"/>
  <c r="F125" i="45"/>
  <c r="E125" i="45"/>
  <c r="F124" i="45"/>
  <c r="E124" i="45"/>
  <c r="F123" i="45"/>
  <c r="E123" i="45"/>
  <c r="F122" i="45"/>
  <c r="E122" i="45"/>
  <c r="F121" i="45"/>
  <c r="E121" i="45"/>
  <c r="F120" i="45"/>
  <c r="E120" i="45"/>
  <c r="F119" i="45"/>
  <c r="E119" i="45"/>
  <c r="F118" i="45"/>
  <c r="E118" i="45"/>
  <c r="F110" i="45"/>
  <c r="E110" i="45"/>
  <c r="F109" i="45"/>
  <c r="E109" i="45"/>
  <c r="F108" i="45"/>
  <c r="E108" i="45"/>
  <c r="F107" i="45"/>
  <c r="E107" i="45"/>
  <c r="B107" i="46" s="1"/>
  <c r="F106" i="45"/>
  <c r="E106" i="45"/>
  <c r="F105" i="45"/>
  <c r="E105" i="45"/>
  <c r="F104" i="45"/>
  <c r="E104" i="45"/>
  <c r="F103" i="45"/>
  <c r="E103" i="45"/>
  <c r="F102" i="45"/>
  <c r="E102" i="45"/>
  <c r="F101" i="45"/>
  <c r="E101" i="45"/>
  <c r="F100" i="45"/>
  <c r="E100" i="45"/>
  <c r="F99" i="45"/>
  <c r="E99" i="45"/>
  <c r="F98" i="45"/>
  <c r="E98" i="45"/>
  <c r="F97" i="45"/>
  <c r="E97" i="45"/>
  <c r="F96" i="45"/>
  <c r="E96" i="45"/>
  <c r="F95" i="45"/>
  <c r="E95" i="45"/>
  <c r="F94" i="45"/>
  <c r="E94" i="45"/>
  <c r="F93" i="45"/>
  <c r="E93" i="45"/>
  <c r="F92" i="45"/>
  <c r="E92" i="45"/>
  <c r="F91" i="45"/>
  <c r="E91" i="45"/>
  <c r="F90" i="45"/>
  <c r="E90" i="45"/>
  <c r="F89" i="45"/>
  <c r="E89" i="45"/>
  <c r="F88" i="45"/>
  <c r="E88" i="45"/>
  <c r="F87" i="45"/>
  <c r="E87" i="45"/>
  <c r="F86" i="45"/>
  <c r="E86" i="45"/>
  <c r="F85" i="45"/>
  <c r="E85" i="45"/>
  <c r="F84" i="45"/>
  <c r="E84" i="45"/>
  <c r="F83" i="45"/>
  <c r="E83" i="45"/>
  <c r="F82" i="45"/>
  <c r="E82" i="45"/>
  <c r="F81" i="45"/>
  <c r="E81" i="45"/>
  <c r="F80" i="45"/>
  <c r="E80" i="45"/>
  <c r="F79" i="45"/>
  <c r="E79" i="45"/>
  <c r="F78" i="45"/>
  <c r="E78" i="45"/>
  <c r="F77" i="45"/>
  <c r="E77" i="45"/>
  <c r="F76" i="45"/>
  <c r="E76" i="45"/>
  <c r="F70" i="45"/>
  <c r="E70" i="45"/>
  <c r="F69" i="45"/>
  <c r="E69" i="45"/>
  <c r="F68" i="45"/>
  <c r="E68" i="45"/>
  <c r="F67" i="45"/>
  <c r="E67" i="45"/>
  <c r="F66" i="45"/>
  <c r="E66" i="45"/>
  <c r="F65" i="45"/>
  <c r="E65" i="45"/>
  <c r="F64" i="45"/>
  <c r="E64" i="45"/>
  <c r="F63" i="45"/>
  <c r="E63" i="45"/>
  <c r="F62" i="45"/>
  <c r="E62" i="45"/>
  <c r="F61" i="45"/>
  <c r="E61" i="45"/>
  <c r="F60" i="45"/>
  <c r="E60" i="45"/>
  <c r="F59" i="45"/>
  <c r="E59" i="45"/>
  <c r="F58" i="45"/>
  <c r="E58" i="45"/>
  <c r="F57" i="45"/>
  <c r="E57" i="45"/>
  <c r="F56" i="45"/>
  <c r="E56" i="45"/>
  <c r="F55" i="45"/>
  <c r="E55" i="45"/>
  <c r="F54" i="45"/>
  <c r="E54" i="45"/>
  <c r="F53" i="45"/>
  <c r="E53" i="45"/>
  <c r="F52" i="45"/>
  <c r="E52" i="45"/>
  <c r="F51" i="45"/>
  <c r="E51" i="45"/>
  <c r="F50" i="45"/>
  <c r="E50" i="45"/>
  <c r="F49" i="45"/>
  <c r="E49" i="45"/>
  <c r="F48" i="45"/>
  <c r="E48" i="45"/>
  <c r="F47" i="45"/>
  <c r="E47" i="45"/>
  <c r="F46" i="45"/>
  <c r="E46" i="45"/>
  <c r="F45" i="45"/>
  <c r="E45" i="45"/>
  <c r="F44" i="45"/>
  <c r="E44" i="45"/>
  <c r="F43" i="45"/>
  <c r="E43" i="45"/>
  <c r="F42" i="45"/>
  <c r="E42" i="45"/>
  <c r="F41" i="45"/>
  <c r="E41"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B155" i="46"/>
  <c r="B152" i="46"/>
  <c r="E155" i="46"/>
  <c r="E154" i="46"/>
  <c r="E153" i="46"/>
  <c r="E152" i="46"/>
  <c r="E151" i="46"/>
  <c r="E150" i="46"/>
  <c r="E149" i="46"/>
  <c r="E148" i="46"/>
  <c r="E147" i="46"/>
  <c r="E146" i="46"/>
  <c r="E145" i="46"/>
  <c r="E144" i="46"/>
  <c r="E143" i="46"/>
  <c r="E142" i="46"/>
  <c r="E141" i="46"/>
  <c r="E140" i="46"/>
  <c r="E139" i="46"/>
  <c r="E138" i="46"/>
  <c r="E137" i="46"/>
  <c r="E136" i="46"/>
  <c r="E135" i="46"/>
  <c r="E134" i="46"/>
  <c r="E133" i="46"/>
  <c r="E132" i="46"/>
  <c r="E131" i="46"/>
  <c r="E130" i="46"/>
  <c r="E129" i="46"/>
  <c r="E128" i="46"/>
  <c r="E127" i="46"/>
  <c r="E126" i="46"/>
  <c r="E125" i="46"/>
  <c r="E124" i="46"/>
  <c r="E123" i="46"/>
  <c r="E122" i="46"/>
  <c r="E121" i="46"/>
  <c r="E120" i="46"/>
  <c r="E119" i="46"/>
  <c r="E118" i="46"/>
  <c r="E105" i="46"/>
  <c r="E104" i="46"/>
  <c r="E103" i="46"/>
  <c r="E102" i="46"/>
  <c r="E101" i="46"/>
  <c r="E100" i="46"/>
  <c r="E99" i="46"/>
  <c r="E98" i="46"/>
  <c r="E97" i="46"/>
  <c r="E96" i="46"/>
  <c r="E95" i="46"/>
  <c r="E94" i="46"/>
  <c r="E93" i="46"/>
  <c r="E92" i="46"/>
  <c r="E91" i="46"/>
  <c r="E90" i="46"/>
  <c r="E89" i="46"/>
  <c r="E88" i="46"/>
  <c r="E87" i="46"/>
  <c r="E86" i="46"/>
  <c r="E85" i="46"/>
  <c r="E84" i="46"/>
  <c r="E83" i="46"/>
  <c r="E82" i="46"/>
  <c r="E81" i="46"/>
  <c r="E80" i="46"/>
  <c r="E79" i="46"/>
  <c r="E78" i="46"/>
  <c r="E77" i="46"/>
  <c r="E76" i="46"/>
  <c r="E70" i="46"/>
  <c r="E69" i="46"/>
  <c r="E68" i="46"/>
  <c r="E67" i="46"/>
  <c r="E66" i="46"/>
  <c r="E65" i="46"/>
  <c r="E64" i="46"/>
  <c r="E63" i="46"/>
  <c r="E62" i="46"/>
  <c r="E61" i="46"/>
  <c r="E60" i="46"/>
  <c r="E59" i="46"/>
  <c r="E58" i="46"/>
  <c r="E57" i="46"/>
  <c r="E56" i="46"/>
  <c r="E55" i="46"/>
  <c r="E54" i="46"/>
  <c r="E53" i="46"/>
  <c r="E52" i="46"/>
  <c r="E51" i="46"/>
  <c r="E50" i="46"/>
  <c r="E49" i="46"/>
  <c r="E48" i="46"/>
  <c r="E47" i="46"/>
  <c r="E46" i="46"/>
  <c r="E45" i="46"/>
  <c r="E44" i="46"/>
  <c r="E43" i="46"/>
  <c r="E42" i="46"/>
  <c r="E41" i="46"/>
  <c r="E6" i="46"/>
  <c r="E8" i="46"/>
  <c r="E9" i="46"/>
  <c r="E10" i="46"/>
  <c r="E11" i="46"/>
  <c r="E12" i="46"/>
  <c r="E13" i="46"/>
  <c r="E14" i="46"/>
  <c r="E15" i="46"/>
  <c r="E16" i="46"/>
  <c r="E17" i="46"/>
  <c r="E18" i="46"/>
  <c r="E19" i="46"/>
  <c r="E20" i="46"/>
  <c r="E21" i="46"/>
  <c r="E22" i="46"/>
  <c r="E23" i="46"/>
  <c r="E24" i="46"/>
  <c r="E25" i="46"/>
  <c r="E26" i="46"/>
  <c r="E27" i="46"/>
  <c r="E28" i="46"/>
  <c r="E29" i="46"/>
  <c r="E30" i="46"/>
  <c r="E31" i="46"/>
  <c r="E32" i="46"/>
  <c r="E33" i="46"/>
  <c r="E34" i="46"/>
  <c r="E35" i="46"/>
  <c r="E7" i="46"/>
  <c r="B145" i="46" l="1"/>
  <c r="F145" i="46" s="1"/>
  <c r="B148" i="46"/>
  <c r="B142" i="46"/>
  <c r="B138" i="46"/>
  <c r="B43" i="46"/>
  <c r="F43" i="46" s="1"/>
  <c r="B63" i="46"/>
  <c r="F63" i="46" s="1"/>
  <c r="B150" i="46"/>
  <c r="B84" i="46"/>
  <c r="F84" i="46" s="1"/>
  <c r="B56" i="46"/>
  <c r="F56" i="46" s="1"/>
  <c r="B60" i="46"/>
  <c r="F60" i="46" s="1"/>
  <c r="B70" i="46"/>
  <c r="B48" i="46"/>
  <c r="F48" i="46" s="1"/>
  <c r="B92" i="46"/>
  <c r="B99" i="46"/>
  <c r="B66" i="46"/>
  <c r="B46" i="46"/>
  <c r="B53" i="46"/>
  <c r="B79" i="46"/>
  <c r="B104" i="46"/>
  <c r="B61" i="46"/>
  <c r="F61" i="46" s="1"/>
  <c r="B147" i="46"/>
  <c r="B50" i="46"/>
  <c r="F50" i="46" s="1"/>
  <c r="B68" i="46"/>
  <c r="B140" i="46"/>
  <c r="B153" i="46"/>
  <c r="B28" i="46"/>
  <c r="B55" i="46"/>
  <c r="F55" i="46" s="1"/>
  <c r="B87" i="46"/>
  <c r="B35" i="46"/>
  <c r="B77" i="46"/>
  <c r="B94" i="46"/>
  <c r="B143" i="46"/>
  <c r="B41" i="46"/>
  <c r="B97" i="46"/>
  <c r="B29" i="46"/>
  <c r="B17" i="46"/>
  <c r="B31" i="46"/>
  <c r="B45" i="46"/>
  <c r="B51" i="46"/>
  <c r="F51" i="46" s="1"/>
  <c r="B58" i="46"/>
  <c r="B65" i="46"/>
  <c r="B82" i="46"/>
  <c r="B89" i="46"/>
  <c r="B102" i="46"/>
  <c r="B7" i="46"/>
  <c r="B24" i="46"/>
  <c r="B14" i="46"/>
  <c r="B27" i="46"/>
  <c r="B34" i="46"/>
  <c r="B86" i="46"/>
  <c r="B100" i="46"/>
  <c r="B8" i="46"/>
  <c r="B109" i="46"/>
  <c r="B11" i="46"/>
  <c r="B18" i="46"/>
  <c r="B25" i="46"/>
  <c r="B83" i="46"/>
  <c r="F83" i="46" s="1"/>
  <c r="B96" i="46"/>
  <c r="F96" i="46" s="1"/>
  <c r="B118" i="46"/>
  <c r="B80" i="46"/>
  <c r="B93" i="46"/>
  <c r="B125" i="46"/>
  <c r="B106" i="46"/>
  <c r="B108" i="46"/>
  <c r="B110" i="46"/>
  <c r="F107" i="46"/>
  <c r="G107" i="46" s="1"/>
  <c r="B10" i="46"/>
  <c r="F10" i="46" s="1"/>
  <c r="B15" i="46"/>
  <c r="B21" i="46"/>
  <c r="B76" i="46"/>
  <c r="B90" i="46"/>
  <c r="F90" i="46" s="1"/>
  <c r="B103" i="46"/>
  <c r="F103" i="46" s="1"/>
  <c r="B132" i="46"/>
  <c r="P112" i="47"/>
  <c r="B144" i="46"/>
  <c r="B151" i="46"/>
  <c r="B139" i="46"/>
  <c r="B154" i="46"/>
  <c r="B149" i="46"/>
  <c r="B141" i="46"/>
  <c r="B146" i="46"/>
  <c r="B120" i="46"/>
  <c r="B127" i="46"/>
  <c r="B122" i="46"/>
  <c r="B128" i="46"/>
  <c r="B135" i="46"/>
  <c r="B119" i="46"/>
  <c r="B121" i="46"/>
  <c r="B124" i="46"/>
  <c r="B126" i="46"/>
  <c r="B129" i="46"/>
  <c r="B131" i="46"/>
  <c r="B134" i="46"/>
  <c r="B136" i="46"/>
  <c r="B133" i="46"/>
  <c r="B123" i="46"/>
  <c r="B130" i="46"/>
  <c r="B137" i="46"/>
  <c r="B78" i="46"/>
  <c r="B81" i="46"/>
  <c r="B85" i="46"/>
  <c r="B88" i="46"/>
  <c r="B91" i="46"/>
  <c r="B95" i="46"/>
  <c r="B98" i="46"/>
  <c r="B101" i="46"/>
  <c r="B105" i="46"/>
  <c r="B42" i="46"/>
  <c r="B49" i="46"/>
  <c r="B52" i="46"/>
  <c r="B59" i="46"/>
  <c r="B62" i="46"/>
  <c r="B69" i="46"/>
  <c r="B44" i="46"/>
  <c r="B47" i="46"/>
  <c r="B54" i="46"/>
  <c r="B57" i="46"/>
  <c r="B64" i="46"/>
  <c r="B67" i="46"/>
  <c r="B30" i="46"/>
  <c r="B26" i="46"/>
  <c r="B20" i="46"/>
  <c r="B6" i="46"/>
  <c r="B16" i="46"/>
  <c r="B33" i="46"/>
  <c r="B23" i="46"/>
  <c r="B13" i="46"/>
  <c r="B9" i="46"/>
  <c r="B12" i="46"/>
  <c r="B19" i="46"/>
  <c r="B22" i="46"/>
  <c r="B32" i="46"/>
  <c r="F148" i="46"/>
  <c r="F152" i="46"/>
  <c r="F155" i="46"/>
  <c r="F66" i="46" l="1"/>
  <c r="F138" i="46"/>
  <c r="F142" i="46"/>
  <c r="F70" i="46"/>
  <c r="G70" i="46" s="1"/>
  <c r="F41" i="46"/>
  <c r="G41" i="46" s="1"/>
  <c r="F29" i="46"/>
  <c r="F53" i="46"/>
  <c r="G53" i="46" s="1"/>
  <c r="F99" i="46"/>
  <c r="G99" i="46" s="1"/>
  <c r="F151" i="46"/>
  <c r="F92" i="46"/>
  <c r="G92" i="46" s="1"/>
  <c r="F147" i="46"/>
  <c r="F150" i="46"/>
  <c r="G150" i="46" s="1"/>
  <c r="F46" i="46"/>
  <c r="F68" i="46"/>
  <c r="F97" i="46"/>
  <c r="G97" i="46" s="1"/>
  <c r="F79" i="46"/>
  <c r="G79" i="46" s="1"/>
  <c r="F94" i="46"/>
  <c r="F153" i="46"/>
  <c r="G153" i="46" s="1"/>
  <c r="F124" i="46"/>
  <c r="F104" i="46"/>
  <c r="G104" i="46" s="1"/>
  <c r="F17" i="46"/>
  <c r="F125" i="46"/>
  <c r="F31" i="46"/>
  <c r="F35" i="46"/>
  <c r="F28" i="46"/>
  <c r="F24" i="46"/>
  <c r="G24" i="46" s="1"/>
  <c r="F129" i="46"/>
  <c r="F87" i="46"/>
  <c r="G87" i="46" s="1"/>
  <c r="F45" i="46"/>
  <c r="F134" i="46"/>
  <c r="F140" i="46"/>
  <c r="F77" i="46"/>
  <c r="G77" i="46" s="1"/>
  <c r="F143" i="46"/>
  <c r="F82" i="46"/>
  <c r="G82" i="46" s="1"/>
  <c r="F65" i="46"/>
  <c r="F34" i="46"/>
  <c r="F7" i="46"/>
  <c r="F76" i="46"/>
  <c r="F89" i="46"/>
  <c r="G89" i="46" s="1"/>
  <c r="F18" i="46"/>
  <c r="F58" i="46"/>
  <c r="F102" i="46"/>
  <c r="G102" i="46" s="1"/>
  <c r="G142" i="46"/>
  <c r="F14" i="46"/>
  <c r="F154" i="46"/>
  <c r="G154" i="46" s="1"/>
  <c r="F86" i="46"/>
  <c r="F52" i="46"/>
  <c r="F100" i="46"/>
  <c r="F27" i="46"/>
  <c r="G27" i="46" s="1"/>
  <c r="F11" i="46"/>
  <c r="F119" i="46"/>
  <c r="G119" i="46" s="1"/>
  <c r="F131" i="46"/>
  <c r="F8" i="46"/>
  <c r="G8" i="46" s="1"/>
  <c r="F42" i="46"/>
  <c r="F25" i="46"/>
  <c r="G25" i="46" s="1"/>
  <c r="F62" i="46"/>
  <c r="G60" i="46"/>
  <c r="F44" i="46"/>
  <c r="G44" i="46" s="1"/>
  <c r="F64" i="46"/>
  <c r="G64" i="46" s="1"/>
  <c r="G51" i="46"/>
  <c r="F47" i="46"/>
  <c r="G47" i="46" s="1"/>
  <c r="F144" i="46"/>
  <c r="F15" i="46"/>
  <c r="G15" i="46" s="1"/>
  <c r="F80" i="46"/>
  <c r="F149" i="46"/>
  <c r="G149" i="46" s="1"/>
  <c r="G138" i="46"/>
  <c r="F136" i="46"/>
  <c r="G136" i="46" s="1"/>
  <c r="F93" i="46"/>
  <c r="F120" i="46"/>
  <c r="F54" i="46"/>
  <c r="G54" i="46" s="1"/>
  <c r="F121" i="46"/>
  <c r="G121" i="46" s="1"/>
  <c r="F132" i="46"/>
  <c r="G132" i="46" s="1"/>
  <c r="F21" i="46"/>
  <c r="G50" i="46"/>
  <c r="F22" i="46"/>
  <c r="G22" i="46" s="1"/>
  <c r="F108" i="46"/>
  <c r="G108" i="46" s="1"/>
  <c r="F122" i="46"/>
  <c r="G122" i="46" s="1"/>
  <c r="F118" i="46"/>
  <c r="F59" i="46"/>
  <c r="F109" i="46"/>
  <c r="G109" i="46" s="1"/>
  <c r="F6" i="46"/>
  <c r="G6" i="46" s="1"/>
  <c r="F57" i="46"/>
  <c r="F12" i="46"/>
  <c r="G12" i="46" s="1"/>
  <c r="F110" i="46"/>
  <c r="G110" i="46" s="1"/>
  <c r="F106" i="46"/>
  <c r="G106" i="46" s="1"/>
  <c r="F139" i="46"/>
  <c r="G139" i="46" s="1"/>
  <c r="F137" i="46"/>
  <c r="G137" i="46" s="1"/>
  <c r="G145" i="46"/>
  <c r="F69" i="46"/>
  <c r="G90" i="46"/>
  <c r="F141" i="46"/>
  <c r="G141" i="46" s="1"/>
  <c r="G83" i="46"/>
  <c r="G55" i="46"/>
  <c r="G43" i="46"/>
  <c r="G61" i="46"/>
  <c r="G48" i="46"/>
  <c r="G56" i="46"/>
  <c r="G155" i="46"/>
  <c r="G152" i="46"/>
  <c r="F146" i="46"/>
  <c r="G148" i="46"/>
  <c r="F128" i="46"/>
  <c r="F130" i="46"/>
  <c r="F123" i="46"/>
  <c r="F126" i="46"/>
  <c r="F133" i="46"/>
  <c r="F135" i="46"/>
  <c r="F127" i="46"/>
  <c r="F91" i="46"/>
  <c r="G96" i="46"/>
  <c r="F98" i="46"/>
  <c r="F85" i="46"/>
  <c r="G103" i="46"/>
  <c r="F78" i="46"/>
  <c r="F105" i="46"/>
  <c r="F88" i="46"/>
  <c r="F101" i="46"/>
  <c r="G84" i="46"/>
  <c r="F95" i="46"/>
  <c r="F81" i="46"/>
  <c r="G66" i="46"/>
  <c r="F49" i="46"/>
  <c r="F67" i="46"/>
  <c r="G63" i="46"/>
  <c r="F33" i="46"/>
  <c r="G10" i="46"/>
  <c r="F20" i="46"/>
  <c r="F19" i="46"/>
  <c r="F13" i="46"/>
  <c r="F26" i="46"/>
  <c r="F9" i="46"/>
  <c r="F23" i="46"/>
  <c r="F16" i="46"/>
  <c r="G29" i="46"/>
  <c r="F32" i="46"/>
  <c r="F30" i="46"/>
  <c r="G94" i="46" l="1"/>
  <c r="G31" i="46"/>
  <c r="G35" i="46"/>
  <c r="G140" i="46"/>
  <c r="G151" i="46"/>
  <c r="G147" i="46"/>
  <c r="G46" i="46"/>
  <c r="G14" i="46"/>
  <c r="G17" i="46"/>
  <c r="G11" i="46"/>
  <c r="G125" i="46"/>
  <c r="G7" i="46"/>
  <c r="G68" i="46"/>
  <c r="G124" i="46"/>
  <c r="G45" i="46"/>
  <c r="G129" i="46"/>
  <c r="G28" i="46"/>
  <c r="G76" i="46"/>
  <c r="G134" i="46"/>
  <c r="G143" i="46"/>
  <c r="G58" i="46"/>
  <c r="G65" i="46"/>
  <c r="G52" i="46"/>
  <c r="G18" i="46"/>
  <c r="G34" i="46"/>
  <c r="G100" i="46"/>
  <c r="G42" i="46"/>
  <c r="G62" i="46"/>
  <c r="G86" i="46"/>
  <c r="G21" i="46"/>
  <c r="G131" i="46"/>
  <c r="G144" i="46"/>
  <c r="G69" i="46"/>
  <c r="G80" i="46"/>
  <c r="G59" i="46"/>
  <c r="G57" i="46"/>
  <c r="G120" i="46"/>
  <c r="G118" i="46"/>
  <c r="G93" i="46"/>
  <c r="G146" i="46"/>
  <c r="G126" i="46"/>
  <c r="G127" i="46"/>
  <c r="G123" i="46"/>
  <c r="G135" i="46"/>
  <c r="G130" i="46"/>
  <c r="G133" i="46"/>
  <c r="G128" i="46"/>
  <c r="G78" i="46"/>
  <c r="G85" i="46"/>
  <c r="G91" i="46"/>
  <c r="G105" i="46"/>
  <c r="G98" i="46"/>
  <c r="G81" i="46"/>
  <c r="G101" i="46"/>
  <c r="G95" i="46"/>
  <c r="G88" i="46"/>
  <c r="G49" i="46"/>
  <c r="G67" i="46"/>
  <c r="G23" i="46"/>
  <c r="G9" i="46"/>
  <c r="G32" i="46"/>
  <c r="G26" i="46"/>
  <c r="G30" i="46"/>
  <c r="G13" i="46"/>
  <c r="G16" i="46"/>
  <c r="G19" i="46"/>
  <c r="G20" i="46"/>
  <c r="G33" i="46"/>
  <c r="H29" i="44"/>
  <c r="G29" i="44"/>
  <c r="F29" i="44"/>
  <c r="E29" i="44"/>
  <c r="D29" i="44"/>
  <c r="C29" i="44"/>
  <c r="B20" i="44"/>
  <c r="B29" i="44" s="1"/>
  <c r="B12" i="44"/>
  <c r="P158" i="47"/>
  <c r="N158" i="47"/>
  <c r="L158" i="47"/>
  <c r="J158" i="47"/>
  <c r="H158" i="47"/>
  <c r="F158" i="47"/>
  <c r="D158" i="47"/>
  <c r="B158" i="47"/>
  <c r="H157" i="46"/>
  <c r="D157" i="46"/>
  <c r="C157" i="46"/>
  <c r="E157" i="46"/>
  <c r="F157" i="46"/>
  <c r="H112" i="46"/>
  <c r="F112" i="46"/>
  <c r="E112" i="46"/>
  <c r="D112" i="46"/>
  <c r="C112" i="46"/>
  <c r="B112" i="46"/>
  <c r="A37" i="46"/>
  <c r="A72" i="46" s="1"/>
  <c r="G157" i="45"/>
  <c r="F157" i="45"/>
  <c r="E157" i="45"/>
  <c r="D157" i="45"/>
  <c r="C157" i="45"/>
  <c r="B157" i="45"/>
  <c r="G112" i="45"/>
  <c r="G158" i="45" s="1"/>
  <c r="F112" i="45"/>
  <c r="F158" i="45" s="1"/>
  <c r="E112" i="45"/>
  <c r="E158" i="45" s="1"/>
  <c r="D112" i="45"/>
  <c r="D158" i="45" s="1"/>
  <c r="C112" i="45"/>
  <c r="C158" i="45" s="1"/>
  <c r="B112" i="45"/>
  <c r="B158" i="45" s="1"/>
  <c r="A37" i="45"/>
  <c r="A72" i="45" s="1"/>
  <c r="H28" i="44"/>
  <c r="G28" i="44"/>
  <c r="F28" i="44"/>
  <c r="E28" i="44"/>
  <c r="D28" i="44"/>
  <c r="C28" i="44"/>
  <c r="H27" i="44"/>
  <c r="G27" i="44"/>
  <c r="F27" i="44"/>
  <c r="E27" i="44"/>
  <c r="D27" i="44"/>
  <c r="C27" i="44"/>
  <c r="H26" i="44"/>
  <c r="G26" i="44"/>
  <c r="F26" i="44"/>
  <c r="E26" i="44"/>
  <c r="D26" i="44"/>
  <c r="C26" i="44"/>
  <c r="H25" i="44"/>
  <c r="G25" i="44"/>
  <c r="F25" i="44"/>
  <c r="E25" i="44"/>
  <c r="D25" i="44"/>
  <c r="C25" i="44"/>
  <c r="B19" i="44"/>
  <c r="B28" i="44" s="1"/>
  <c r="B18" i="44"/>
  <c r="B27" i="44" s="1"/>
  <c r="B17" i="44"/>
  <c r="B26" i="44" s="1"/>
  <c r="B16" i="44"/>
  <c r="B25" i="44" s="1"/>
  <c r="B21" i="44" l="1"/>
  <c r="B30" i="44" s="1"/>
  <c r="B13" i="44"/>
  <c r="B22" i="44" s="1"/>
  <c r="B31" i="44" s="1"/>
  <c r="C158" i="46"/>
  <c r="H158" i="46"/>
  <c r="F158" i="46"/>
  <c r="D158" i="46"/>
  <c r="B158" i="46"/>
  <c r="E158" i="46"/>
  <c r="E160" i="46" s="1"/>
  <c r="F160" i="47"/>
  <c r="E13" i="44" s="1"/>
  <c r="N160" i="47"/>
  <c r="G13" i="44" s="1"/>
  <c r="B160" i="47"/>
  <c r="D13" i="44" s="1"/>
  <c r="J160" i="47"/>
  <c r="F13" i="44" s="1"/>
  <c r="C160" i="46"/>
  <c r="B157" i="46"/>
  <c r="D160" i="45"/>
  <c r="C160" i="45"/>
  <c r="E160" i="45"/>
  <c r="G160" i="45"/>
  <c r="C22" i="44" s="1"/>
  <c r="G157" i="46"/>
  <c r="D160" i="47"/>
  <c r="D22" i="44" s="1"/>
  <c r="L160" i="47"/>
  <c r="F22" i="44" s="1"/>
  <c r="B160" i="45"/>
  <c r="F160" i="45"/>
  <c r="C13" i="44" s="1"/>
  <c r="H160" i="47"/>
  <c r="E22" i="44" s="1"/>
  <c r="E31" i="44" s="1"/>
  <c r="P160" i="47"/>
  <c r="G22" i="44" s="1"/>
  <c r="G112" i="46"/>
  <c r="F31" i="44" l="1"/>
  <c r="D31" i="44"/>
  <c r="G31" i="44"/>
  <c r="H13" i="44"/>
  <c r="C31" i="44"/>
  <c r="H22" i="44"/>
  <c r="H31" i="44" s="1"/>
  <c r="F160" i="46"/>
  <c r="B160" i="46"/>
  <c r="D160" i="46"/>
  <c r="G158" i="46"/>
  <c r="H160" i="46"/>
  <c r="D30" i="44" l="1"/>
  <c r="G160" i="46"/>
  <c r="H21" i="44"/>
  <c r="F30" i="44"/>
  <c r="E30" i="44"/>
  <c r="G30" i="44"/>
  <c r="H12" i="44"/>
  <c r="C30" i="44"/>
  <c r="H30" i="44" l="1"/>
  <c r="F156" i="24" l="1"/>
  <c r="I45" i="22" l="1"/>
  <c r="H45" i="22"/>
  <c r="G45" i="22"/>
  <c r="F45" i="22"/>
  <c r="E45" i="22"/>
  <c r="D45" i="22"/>
  <c r="C45" i="22"/>
  <c r="B45" i="22"/>
  <c r="I44" i="22"/>
  <c r="H44" i="22"/>
  <c r="G44" i="22"/>
  <c r="F44" i="22"/>
  <c r="E44" i="22"/>
  <c r="D44" i="22"/>
  <c r="C44" i="22"/>
  <c r="B44" i="22"/>
  <c r="H17" i="22"/>
  <c r="G17" i="22"/>
  <c r="F17" i="22"/>
  <c r="E17" i="22"/>
  <c r="D17" i="22"/>
  <c r="C17" i="22"/>
  <c r="B17" i="22"/>
  <c r="H16" i="22"/>
  <c r="G16" i="22"/>
  <c r="F16" i="22"/>
  <c r="E16" i="22"/>
  <c r="D16" i="22"/>
  <c r="C16" i="22"/>
  <c r="B16" i="22"/>
  <c r="G18" i="21"/>
  <c r="F18" i="21"/>
  <c r="E18" i="21"/>
  <c r="D18" i="21"/>
  <c r="C18" i="21"/>
  <c r="B18" i="21"/>
  <c r="G17" i="21" l="1"/>
  <c r="F17" i="21"/>
  <c r="E17" i="21"/>
  <c r="D17" i="21"/>
  <c r="C17" i="21"/>
  <c r="B17" i="21"/>
  <c r="O16" i="17" l="1"/>
  <c r="N16" i="17"/>
  <c r="M6" i="17"/>
  <c r="M7" i="17"/>
  <c r="M8" i="17"/>
  <c r="P8" i="17" s="1"/>
  <c r="D15" i="14"/>
  <c r="P7" i="17" l="1"/>
  <c r="M16" i="17"/>
  <c r="B36" i="3"/>
  <c r="B31" i="3"/>
  <c r="B13" i="3"/>
  <c r="B17" i="3"/>
  <c r="B16" i="3"/>
  <c r="B18" i="3" s="1"/>
  <c r="B8" i="3"/>
  <c r="C36" i="3"/>
  <c r="C31" i="3"/>
  <c r="C17" i="3"/>
  <c r="C16" i="3"/>
  <c r="C8" i="3"/>
  <c r="D36" i="3"/>
  <c r="D31" i="3"/>
  <c r="D17" i="3"/>
  <c r="D16" i="3"/>
  <c r="D8" i="3"/>
  <c r="E36" i="3"/>
  <c r="E31" i="3"/>
  <c r="E17" i="3"/>
  <c r="E16" i="3"/>
  <c r="E8" i="3"/>
  <c r="F36" i="3"/>
  <c r="F31" i="3"/>
  <c r="F17" i="3"/>
  <c r="F16" i="3"/>
  <c r="F8" i="3"/>
  <c r="G36" i="3"/>
  <c r="G31" i="3"/>
  <c r="G8" i="3"/>
  <c r="L2" i="3"/>
  <c r="J8" i="3"/>
  <c r="I8" i="3"/>
  <c r="B38" i="3" l="1"/>
  <c r="P16" i="17"/>
  <c r="D18" i="3"/>
  <c r="C13" i="3"/>
  <c r="C38" i="3" s="1"/>
  <c r="D13" i="3"/>
  <c r="D38" i="3" s="1"/>
  <c r="C18" i="3"/>
  <c r="E18" i="3"/>
  <c r="F18" i="3"/>
  <c r="E13" i="3"/>
  <c r="E38" i="3" s="1"/>
  <c r="F13" i="3"/>
  <c r="F38" i="3" s="1"/>
  <c r="O15" i="17" l="1"/>
  <c r="N15" i="17"/>
  <c r="P15" i="17" s="1"/>
  <c r="L3" i="4" l="1"/>
  <c r="L28" i="4"/>
  <c r="L36" i="4"/>
  <c r="L35" i="4"/>
  <c r="L34" i="4"/>
  <c r="L33" i="4"/>
  <c r="L32" i="4"/>
  <c r="L31" i="4"/>
  <c r="L30" i="4"/>
  <c r="L29" i="4"/>
  <c r="L27" i="4"/>
  <c r="L26" i="4"/>
  <c r="L25" i="4"/>
  <c r="L24" i="4"/>
  <c r="L23" i="4"/>
  <c r="L22" i="4"/>
  <c r="L16" i="4"/>
  <c r="L15" i="4"/>
  <c r="L14" i="4"/>
  <c r="L13" i="4"/>
  <c r="L12" i="4"/>
  <c r="L11" i="4"/>
  <c r="L10" i="4"/>
  <c r="L8" i="4"/>
  <c r="I12" i="3" l="1"/>
  <c r="I17" i="3" s="1"/>
  <c r="I54" i="4"/>
  <c r="L9" i="4"/>
  <c r="L21" i="4"/>
  <c r="I43" i="13"/>
  <c r="H43" i="13"/>
  <c r="F32" i="18" l="1"/>
  <c r="M54" i="19" l="1"/>
  <c r="L54" i="19"/>
  <c r="D59" i="19"/>
  <c r="D58" i="19"/>
  <c r="D57" i="19"/>
  <c r="D56" i="19"/>
  <c r="D55" i="19"/>
  <c r="D54" i="19"/>
  <c r="D53" i="19"/>
  <c r="D52" i="19"/>
  <c r="D51" i="19"/>
  <c r="D50" i="19"/>
  <c r="M31" i="19"/>
  <c r="M56" i="19" s="1"/>
  <c r="L31" i="19"/>
  <c r="L56" i="19" s="1"/>
  <c r="N29" i="19"/>
  <c r="N28" i="19"/>
  <c r="N27" i="19"/>
  <c r="N26" i="19"/>
  <c r="N25" i="19"/>
  <c r="N24" i="19"/>
  <c r="N23" i="19"/>
  <c r="N22" i="19"/>
  <c r="N21" i="19"/>
  <c r="N20" i="19"/>
  <c r="N19" i="19"/>
  <c r="N18" i="19"/>
  <c r="N17" i="19"/>
  <c r="N16" i="19"/>
  <c r="N15" i="19"/>
  <c r="N14" i="19"/>
  <c r="N13" i="19"/>
  <c r="N12" i="19"/>
  <c r="N11" i="19"/>
  <c r="N10" i="19"/>
  <c r="N9" i="19"/>
  <c r="N8" i="19"/>
  <c r="N7" i="19"/>
  <c r="N6" i="19"/>
  <c r="N5" i="19"/>
  <c r="N54" i="19" l="1"/>
  <c r="N31" i="19"/>
  <c r="F19" i="23"/>
  <c r="F20" i="23"/>
  <c r="F22" i="23"/>
  <c r="F23" i="23"/>
  <c r="F24" i="23"/>
  <c r="F13" i="23"/>
  <c r="F12" i="23"/>
  <c r="F11" i="23"/>
  <c r="F10" i="23"/>
  <c r="F9" i="23"/>
  <c r="F8" i="23"/>
  <c r="F7" i="23"/>
  <c r="F6" i="23"/>
  <c r="O96" i="25" l="1"/>
  <c r="K44" i="25"/>
  <c r="O98" i="25" s="1"/>
  <c r="G51" i="25"/>
  <c r="O97" i="25" s="1"/>
  <c r="H160" i="11" l="1"/>
  <c r="C160" i="11"/>
  <c r="C115" i="11"/>
  <c r="M118" i="10" l="1"/>
  <c r="L118" i="10"/>
  <c r="K118" i="10"/>
  <c r="I118" i="10"/>
  <c r="H118" i="10"/>
  <c r="G118" i="10"/>
  <c r="F118" i="10"/>
  <c r="D118" i="10"/>
  <c r="C118" i="10"/>
  <c r="M165" i="10"/>
  <c r="L165" i="10"/>
  <c r="K165" i="10"/>
  <c r="I165" i="10"/>
  <c r="H165" i="10"/>
  <c r="G165" i="10"/>
  <c r="F165" i="10"/>
  <c r="D165" i="10"/>
  <c r="C165" i="10"/>
  <c r="C46" i="9" l="1"/>
  <c r="D46" i="9"/>
  <c r="D88" i="9" s="1"/>
  <c r="E46" i="9"/>
  <c r="E88" i="9" s="1"/>
  <c r="F46" i="9"/>
  <c r="F88" i="9" s="1"/>
  <c r="G46" i="9"/>
  <c r="G88" i="9" s="1"/>
  <c r="H46" i="9"/>
  <c r="H88" i="9" s="1"/>
  <c r="I46" i="9"/>
  <c r="I88" i="9" s="1"/>
  <c r="J46" i="9"/>
  <c r="J88" i="9" s="1"/>
  <c r="K46" i="9"/>
  <c r="L46" i="9"/>
  <c r="L88" i="9" s="1"/>
  <c r="M46" i="9"/>
  <c r="M88" i="9" s="1"/>
  <c r="C88" i="9"/>
  <c r="K88" i="9"/>
  <c r="D167" i="9" l="1"/>
  <c r="E167" i="9"/>
  <c r="F167" i="9"/>
  <c r="G167" i="9"/>
  <c r="H167" i="9"/>
  <c r="I167" i="9"/>
  <c r="J167" i="9"/>
  <c r="K167" i="9"/>
  <c r="L167" i="9"/>
  <c r="M167" i="9"/>
  <c r="C167" i="9"/>
  <c r="D118" i="9"/>
  <c r="E118" i="9"/>
  <c r="F118" i="9"/>
  <c r="G118" i="9"/>
  <c r="H118" i="9"/>
  <c r="I118" i="9"/>
  <c r="J118" i="9"/>
  <c r="K118" i="9"/>
  <c r="L118" i="9"/>
  <c r="M118" i="9"/>
  <c r="C118" i="9"/>
  <c r="I31" i="8" l="1"/>
  <c r="H31" i="8"/>
  <c r="G31" i="8"/>
  <c r="F31" i="8"/>
  <c r="E31" i="8"/>
  <c r="D31" i="8"/>
  <c r="B32" i="18" l="1"/>
  <c r="B43" i="13" l="1"/>
  <c r="C43" i="13"/>
  <c r="E43" i="13"/>
  <c r="F43" i="13"/>
  <c r="K43" i="13"/>
  <c r="L43" i="13"/>
  <c r="D31" i="7" l="1"/>
  <c r="G31" i="7" l="1"/>
  <c r="H31" i="6" l="1"/>
  <c r="Y32" i="3" l="1"/>
  <c r="J36" i="3" l="1"/>
  <c r="C23" i="30" l="1"/>
  <c r="L8" i="3" l="1"/>
  <c r="L7" i="3" l="1"/>
  <c r="N169" i="9" l="1"/>
  <c r="N165" i="9"/>
  <c r="N164" i="9"/>
  <c r="N163" i="9"/>
  <c r="N162" i="9"/>
  <c r="N161" i="9"/>
  <c r="N160" i="9"/>
  <c r="N159" i="9"/>
  <c r="N158" i="9"/>
  <c r="N157" i="9"/>
  <c r="N156" i="9"/>
  <c r="N155" i="9"/>
  <c r="N154" i="9"/>
  <c r="N153" i="9"/>
  <c r="N152" i="9"/>
  <c r="N151" i="9"/>
  <c r="N150" i="9"/>
  <c r="N149" i="9"/>
  <c r="N148" i="9"/>
  <c r="M124" i="9"/>
  <c r="L124" i="9"/>
  <c r="K124" i="9"/>
  <c r="J124" i="9"/>
  <c r="I124" i="9"/>
  <c r="H124" i="9"/>
  <c r="G124" i="9"/>
  <c r="F124" i="9"/>
  <c r="E124" i="9"/>
  <c r="D124" i="9"/>
  <c r="C124" i="9"/>
  <c r="N147" i="9"/>
  <c r="N146" i="9"/>
  <c r="N145" i="9"/>
  <c r="N144" i="9"/>
  <c r="N143" i="9"/>
  <c r="N142" i="9"/>
  <c r="N141" i="9"/>
  <c r="N140" i="9"/>
  <c r="N139" i="9"/>
  <c r="N138" i="9"/>
  <c r="N137" i="9"/>
  <c r="N136" i="9"/>
  <c r="N135" i="9"/>
  <c r="N134" i="9"/>
  <c r="N133" i="9"/>
  <c r="N132" i="9"/>
  <c r="N131" i="9"/>
  <c r="N130" i="9"/>
  <c r="N129" i="9"/>
  <c r="N128" i="9"/>
  <c r="N167" i="9" l="1"/>
  <c r="N118" i="9"/>
  <c r="N124" i="9"/>
  <c r="D168" i="9"/>
  <c r="D171" i="9" s="1"/>
  <c r="H168" i="9"/>
  <c r="H171" i="9" s="1"/>
  <c r="L168" i="9"/>
  <c r="L171" i="9" s="1"/>
  <c r="E168" i="9"/>
  <c r="E171" i="9" s="1"/>
  <c r="I168" i="9"/>
  <c r="I171" i="9" s="1"/>
  <c r="M168" i="9"/>
  <c r="M171" i="9" s="1"/>
  <c r="N46" i="9"/>
  <c r="N88" i="9" s="1"/>
  <c r="F168" i="9"/>
  <c r="F171" i="9" s="1"/>
  <c r="J168" i="9"/>
  <c r="J171" i="9" s="1"/>
  <c r="C168" i="9"/>
  <c r="C171" i="9" s="1"/>
  <c r="G168" i="9"/>
  <c r="G171" i="9" s="1"/>
  <c r="K168" i="9"/>
  <c r="K171" i="9" s="1"/>
  <c r="N168" i="9" l="1"/>
  <c r="N171" i="9" s="1"/>
  <c r="K23" i="6"/>
  <c r="B43" i="24" l="1"/>
  <c r="B82" i="24" s="1"/>
  <c r="B113" i="24" l="1"/>
  <c r="L39" i="4" l="1"/>
  <c r="J12" i="3" l="1"/>
  <c r="J17" i="3" s="1"/>
  <c r="L17" i="3" s="1"/>
  <c r="F26" i="23" l="1"/>
  <c r="F5" i="23" l="1"/>
  <c r="F14" i="23"/>
  <c r="F15" i="23"/>
  <c r="D31" i="6" l="1"/>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G193" i="35"/>
  <c r="F193" i="35"/>
  <c r="E193" i="35"/>
  <c r="D193" i="35"/>
  <c r="C193" i="35"/>
  <c r="B193" i="35"/>
  <c r="G136" i="35"/>
  <c r="F136" i="35"/>
  <c r="E136" i="35"/>
  <c r="D136" i="35"/>
  <c r="C136" i="35"/>
  <c r="B136" i="35"/>
  <c r="A43" i="35"/>
  <c r="A84" i="35" s="1"/>
  <c r="A125" i="35" s="1"/>
  <c r="A166" i="35" s="1"/>
  <c r="E194" i="35" l="1"/>
  <c r="F194" i="35"/>
  <c r="G194" i="35"/>
  <c r="B194" i="35"/>
  <c r="C194" i="35"/>
  <c r="D194" i="35"/>
  <c r="D196" i="35" l="1"/>
  <c r="B196" i="35"/>
  <c r="F196" i="35"/>
  <c r="C196" i="35"/>
  <c r="G196" i="35"/>
  <c r="E196" i="35"/>
  <c r="D32" i="18"/>
  <c r="H19" i="36" l="1"/>
  <c r="C208" i="35"/>
  <c r="F208" i="35"/>
  <c r="H12" i="36"/>
  <c r="B208" i="35"/>
  <c r="E208" i="35"/>
  <c r="D208" i="35"/>
  <c r="G208" i="35"/>
  <c r="F26" i="36"/>
  <c r="D26" i="36"/>
  <c r="E26" i="36"/>
  <c r="G26" i="36"/>
  <c r="D30" i="36"/>
  <c r="F30" i="36"/>
  <c r="E30" i="36"/>
  <c r="G30" i="36"/>
  <c r="C30" i="36" l="1"/>
  <c r="C26" i="36"/>
  <c r="H30" i="36"/>
  <c r="H26" i="36"/>
  <c r="E20" i="5" l="1"/>
  <c r="G32" i="18" l="1"/>
  <c r="D5" i="19" l="1"/>
  <c r="E16" i="23"/>
  <c r="D16" i="23"/>
  <c r="A41" i="24" l="1"/>
  <c r="A80" i="24" s="1"/>
  <c r="A111" i="24" s="1"/>
  <c r="A44" i="10" l="1"/>
  <c r="A86" i="10" s="1"/>
  <c r="A120" i="10" s="1"/>
  <c r="B15" i="15" l="1"/>
  <c r="C9" i="15" l="1"/>
  <c r="C13" i="15"/>
  <c r="C10" i="15"/>
  <c r="C14" i="15"/>
  <c r="C7" i="15"/>
  <c r="C11" i="15"/>
  <c r="C6" i="15"/>
  <c r="C8" i="15"/>
  <c r="C12" i="15"/>
  <c r="E13" i="14" l="1"/>
  <c r="C15" i="15" l="1"/>
  <c r="K6" i="6" l="1"/>
  <c r="K30" i="6" l="1"/>
  <c r="N52" i="19" l="1"/>
  <c r="N51" i="19"/>
  <c r="N50" i="19"/>
  <c r="N49" i="19"/>
  <c r="L58" i="19" l="1"/>
  <c r="K21" i="6" l="1"/>
  <c r="G12" i="3" l="1"/>
  <c r="G17" i="3" s="1"/>
  <c r="H15" i="15" l="1"/>
  <c r="H17" i="15" l="1"/>
  <c r="I7" i="15"/>
  <c r="I11" i="15"/>
  <c r="I6" i="15"/>
  <c r="I9" i="15"/>
  <c r="I10" i="15"/>
  <c r="I14" i="15"/>
  <c r="I8" i="15"/>
  <c r="I12" i="15"/>
  <c r="I13" i="15"/>
  <c r="F25" i="23"/>
  <c r="I15" i="15" l="1"/>
  <c r="I17" i="15"/>
  <c r="I16" i="15"/>
  <c r="I31" i="3"/>
  <c r="F27" i="23" l="1"/>
  <c r="B40" i="23" s="1"/>
  <c r="J7" i="4" s="1"/>
  <c r="I7" i="4" l="1"/>
  <c r="I18" i="4" s="1"/>
  <c r="B16" i="32"/>
  <c r="B18" i="32" s="1"/>
  <c r="I41" i="4" l="1"/>
  <c r="I57" i="4" s="1"/>
  <c r="I11" i="3"/>
  <c r="L7" i="4"/>
  <c r="A56" i="25"/>
  <c r="B153" i="24"/>
  <c r="A42" i="19"/>
  <c r="I16" i="3" l="1"/>
  <c r="I18" i="3" s="1"/>
  <c r="I13" i="3"/>
  <c r="I16" i="32"/>
  <c r="I18" i="32" s="1"/>
  <c r="H16" i="32"/>
  <c r="H18" i="32" s="1"/>
  <c r="G16" i="32"/>
  <c r="G18" i="32" s="1"/>
  <c r="D16" i="32"/>
  <c r="D18" i="32" s="1"/>
  <c r="C16" i="32"/>
  <c r="C18" i="32" s="1"/>
  <c r="J17" i="32" l="1"/>
  <c r="J12" i="32"/>
  <c r="J8" i="32"/>
  <c r="J15" i="32"/>
  <c r="J11" i="32"/>
  <c r="J9" i="32"/>
  <c r="J14" i="32"/>
  <c r="J10" i="32"/>
  <c r="J13" i="32"/>
  <c r="E13" i="32"/>
  <c r="E9" i="32"/>
  <c r="E14" i="32"/>
  <c r="E17" i="32"/>
  <c r="E12" i="32"/>
  <c r="E8" i="32"/>
  <c r="E15" i="32"/>
  <c r="E11" i="32"/>
  <c r="E10" i="32"/>
  <c r="G18" i="4"/>
  <c r="G11" i="3" s="1"/>
  <c r="G16" i="3" l="1"/>
  <c r="G18" i="3" s="1"/>
  <c r="G13" i="3"/>
  <c r="G38" i="3" s="1"/>
  <c r="E16" i="32"/>
  <c r="E18" i="32" s="1"/>
  <c r="J16" i="32"/>
  <c r="J18" i="32" s="1"/>
  <c r="G41" i="4"/>
  <c r="G57" i="4" s="1"/>
  <c r="K13" i="6" l="1"/>
  <c r="L6" i="3" l="1"/>
  <c r="N48" i="19" l="1"/>
  <c r="I38" i="19"/>
  <c r="N47" i="19"/>
  <c r="N46" i="19"/>
  <c r="N45" i="19"/>
  <c r="I59" i="19"/>
  <c r="I58" i="19"/>
  <c r="I57" i="19"/>
  <c r="I56" i="19"/>
  <c r="I55" i="19"/>
  <c r="I54" i="19"/>
  <c r="I53" i="19"/>
  <c r="I52" i="19"/>
  <c r="I51" i="19"/>
  <c r="I50" i="19"/>
  <c r="I49" i="19"/>
  <c r="I48" i="19"/>
  <c r="I47" i="19"/>
  <c r="I46" i="19"/>
  <c r="I45" i="19"/>
  <c r="I39" i="19"/>
  <c r="I37" i="19"/>
  <c r="I36" i="19"/>
  <c r="I35" i="19"/>
  <c r="I34" i="19"/>
  <c r="I33" i="19"/>
  <c r="I32" i="19"/>
  <c r="I31" i="19"/>
  <c r="I30" i="19"/>
  <c r="I29" i="19"/>
  <c r="I28" i="19"/>
  <c r="I27" i="19"/>
  <c r="I26" i="19"/>
  <c r="I25" i="19"/>
  <c r="I24" i="19"/>
  <c r="I23" i="19"/>
  <c r="I22" i="19"/>
  <c r="I21" i="19"/>
  <c r="I20" i="19"/>
  <c r="I19" i="19"/>
  <c r="I18" i="19"/>
  <c r="I17" i="19"/>
  <c r="I16" i="19"/>
  <c r="I15" i="19"/>
  <c r="I11" i="19"/>
  <c r="I12" i="19"/>
  <c r="I13" i="19"/>
  <c r="I14" i="19"/>
  <c r="I10" i="19"/>
  <c r="I7" i="19"/>
  <c r="I8" i="19"/>
  <c r="I9" i="19"/>
  <c r="I6" i="19"/>
  <c r="I5" i="19"/>
  <c r="D49" i="19"/>
  <c r="D47" i="19"/>
  <c r="D48" i="19"/>
  <c r="D46" i="19"/>
  <c r="D45"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1" i="19"/>
  <c r="D12" i="19"/>
  <c r="D13" i="19"/>
  <c r="D14" i="19"/>
  <c r="D10" i="19"/>
  <c r="D6" i="19"/>
  <c r="E32" i="18" l="1"/>
  <c r="M58" i="19" l="1"/>
  <c r="J18" i="4" l="1"/>
  <c r="L18" i="4" s="1"/>
  <c r="J41" i="4" l="1"/>
  <c r="J11" i="3"/>
  <c r="N11" i="3" s="1"/>
  <c r="M13" i="4" l="1"/>
  <c r="M9" i="4"/>
  <c r="M8" i="4"/>
  <c r="J57" i="4"/>
  <c r="M57" i="4" s="1"/>
  <c r="L41" i="4"/>
  <c r="J16" i="3"/>
  <c r="N16" i="3" s="1"/>
  <c r="Y29" i="3"/>
  <c r="J13" i="3"/>
  <c r="J38" i="3" s="1"/>
  <c r="J18" i="3" l="1"/>
  <c r="L18" i="3" s="1"/>
  <c r="E31" i="6" l="1"/>
  <c r="Y30" i="3" l="1"/>
  <c r="Z30" i="3" s="1"/>
  <c r="Y31" i="3" l="1"/>
  <c r="Z31" i="3" s="1"/>
  <c r="J31" i="3"/>
  <c r="K7" i="6" l="1"/>
  <c r="K8" i="6"/>
  <c r="K9" i="6"/>
  <c r="K10" i="6"/>
  <c r="K11" i="6"/>
  <c r="K12" i="6"/>
  <c r="K14" i="6"/>
  <c r="K15" i="6"/>
  <c r="K16" i="6"/>
  <c r="K17" i="6"/>
  <c r="K18" i="6"/>
  <c r="K19" i="6"/>
  <c r="K20" i="6"/>
  <c r="K22" i="6"/>
  <c r="K24" i="6"/>
  <c r="K25" i="6"/>
  <c r="K26" i="6"/>
  <c r="K27" i="6"/>
  <c r="K28" i="6"/>
  <c r="K29" i="6"/>
  <c r="J31" i="6" l="1"/>
  <c r="Z29" i="3" l="1"/>
  <c r="E31" i="7" l="1"/>
  <c r="F31" i="7"/>
  <c r="G156" i="24" l="1"/>
  <c r="E156" i="24" l="1"/>
  <c r="B154" i="24" l="1"/>
  <c r="B156" i="24" s="1"/>
  <c r="B109" i="24"/>
  <c r="C32" i="18"/>
  <c r="C156" i="24" l="1"/>
  <c r="D156" i="24"/>
  <c r="A121" i="10" l="1"/>
  <c r="A87" i="10"/>
  <c r="A45" i="10"/>
  <c r="F16" i="23"/>
  <c r="I166" i="10" l="1"/>
  <c r="I169" i="10" s="1"/>
  <c r="M166" i="10"/>
  <c r="M169" i="10" s="1"/>
  <c r="D166" i="10"/>
  <c r="D169" i="10" s="1"/>
  <c r="H166" i="10"/>
  <c r="H169" i="10" s="1"/>
  <c r="L166" i="10"/>
  <c r="L169" i="10" s="1"/>
  <c r="G166" i="10"/>
  <c r="G169" i="10" s="1"/>
  <c r="K166" i="10"/>
  <c r="K169" i="10" s="1"/>
  <c r="F166" i="10"/>
  <c r="F169" i="10" s="1"/>
  <c r="C166" i="10" l="1"/>
  <c r="C169" i="10" s="1"/>
  <c r="F31" i="6" l="1"/>
  <c r="G31" i="6"/>
  <c r="I31" i="6"/>
  <c r="K31" i="6" s="1"/>
  <c r="G160" i="11"/>
  <c r="F160" i="11"/>
  <c r="E160" i="11"/>
  <c r="D160" i="11"/>
  <c r="H115" i="11"/>
  <c r="H161" i="11" s="1"/>
  <c r="G115" i="11"/>
  <c r="G161" i="11" s="1"/>
  <c r="F115" i="11"/>
  <c r="F161" i="11" s="1"/>
  <c r="E115" i="11"/>
  <c r="E161" i="11" s="1"/>
  <c r="D115" i="11"/>
  <c r="D161" i="11" s="1"/>
  <c r="C161" i="11"/>
  <c r="C164" i="11" s="1"/>
  <c r="A118" i="11"/>
  <c r="D9" i="19"/>
  <c r="D8" i="19"/>
  <c r="D7" i="19"/>
  <c r="O100" i="25"/>
  <c r="I36" i="3"/>
  <c r="A85" i="11"/>
  <c r="A44" i="11"/>
  <c r="A45" i="9" l="1"/>
  <c r="A87" i="9"/>
  <c r="A123" i="9"/>
  <c r="H164" i="11"/>
  <c r="G164" i="11"/>
  <c r="I38" i="3"/>
  <c r="F164" i="11"/>
  <c r="N56" i="19"/>
  <c r="N58" i="19" s="1"/>
  <c r="E164" i="11"/>
  <c r="D164" i="11"/>
  <c r="L12" i="3"/>
  <c r="AA19" i="7"/>
  <c r="L16" i="3" l="1"/>
  <c r="L11" i="3"/>
  <c r="AA21" i="7"/>
  <c r="AA20" i="7"/>
  <c r="L13" i="3" l="1"/>
  <c r="AA22" i="7"/>
  <c r="E15" i="15"/>
  <c r="E17" i="15" l="1"/>
  <c r="F10" i="15"/>
  <c r="F14" i="15"/>
  <c r="F8" i="15"/>
  <c r="F13" i="15"/>
  <c r="F7" i="15"/>
  <c r="F11" i="15"/>
  <c r="F6" i="15"/>
  <c r="F12" i="15"/>
  <c r="F9" i="15"/>
  <c r="F15" i="15" l="1"/>
  <c r="F17" i="15"/>
  <c r="F16" i="15"/>
</calcChain>
</file>

<file path=xl/comments1.xml><?xml version="1.0" encoding="utf-8"?>
<comments xmlns="http://schemas.openxmlformats.org/spreadsheetml/2006/main">
  <authors>
    <author>Frank B</author>
  </authors>
  <commentList>
    <comment ref="D5" authorId="0" shapeId="0">
      <text>
        <r>
          <rPr>
            <b/>
            <sz val="9"/>
            <color indexed="81"/>
            <rFont val="Tahoma"/>
            <family val="2"/>
          </rPr>
          <t>Frank B:</t>
        </r>
        <r>
          <rPr>
            <sz val="9"/>
            <color indexed="81"/>
            <rFont val="Tahoma"/>
            <family val="2"/>
          </rPr>
          <t xml:space="preserve">
</t>
        </r>
        <r>
          <rPr>
            <sz val="9"/>
            <color indexed="10"/>
            <rFont val="Tahoma"/>
            <family val="2"/>
          </rPr>
          <t>"Missing" collections have been consolidated here in HMO fund (per footnote #14) …which is what the new legislation effective FY 2021 does anyway (per footnote #15)</t>
        </r>
      </text>
    </comment>
    <comment ref="N7" authorId="0" shapeId="0">
      <text>
        <r>
          <rPr>
            <b/>
            <sz val="9"/>
            <color indexed="81"/>
            <rFont val="Tahoma"/>
            <family val="2"/>
          </rPr>
          <t>Frank B:</t>
        </r>
        <r>
          <rPr>
            <sz val="9"/>
            <color indexed="81"/>
            <rFont val="Tahoma"/>
            <family val="2"/>
          </rPr>
          <t xml:space="preserve">
4,703,940,000</t>
        </r>
      </text>
    </comment>
    <comment ref="N8" authorId="0" shapeId="0">
      <text>
        <r>
          <rPr>
            <b/>
            <sz val="9"/>
            <color indexed="81"/>
            <rFont val="Tahoma"/>
            <family val="2"/>
          </rPr>
          <t>Frank B:</t>
        </r>
        <r>
          <rPr>
            <sz val="9"/>
            <color indexed="81"/>
            <rFont val="Tahoma"/>
            <family val="2"/>
          </rPr>
          <t xml:space="preserve">
4,891,193,000</t>
        </r>
      </text>
    </comment>
    <comment ref="C9" authorId="0" shapeId="0">
      <text>
        <r>
          <rPr>
            <b/>
            <sz val="9"/>
            <color indexed="81"/>
            <rFont val="Tahoma"/>
            <family val="2"/>
          </rPr>
          <t>Frank B:</t>
        </r>
        <r>
          <rPr>
            <sz val="9"/>
            <color indexed="81"/>
            <rFont val="Tahoma"/>
            <family val="2"/>
          </rPr>
          <t xml:space="preserve">
526,570,000</t>
        </r>
      </text>
    </comment>
    <comment ref="D9" authorId="0" shapeId="0">
      <text>
        <r>
          <rPr>
            <b/>
            <sz val="9"/>
            <color indexed="81"/>
            <rFont val="Tahoma"/>
            <family val="2"/>
          </rPr>
          <t>Frank B:</t>
        </r>
        <r>
          <rPr>
            <sz val="9"/>
            <color indexed="81"/>
            <rFont val="Tahoma"/>
            <family val="2"/>
          </rPr>
          <t xml:space="preserve">
Original amount = 146,680,000</t>
        </r>
      </text>
    </comment>
    <comment ref="N9" authorId="0" shapeId="0">
      <text>
        <r>
          <rPr>
            <b/>
            <sz val="9"/>
            <color indexed="81"/>
            <rFont val="Tahoma"/>
            <family val="2"/>
          </rPr>
          <t>Frank B:</t>
        </r>
        <r>
          <rPr>
            <sz val="9"/>
            <color indexed="81"/>
            <rFont val="Tahoma"/>
            <family val="2"/>
          </rPr>
          <t xml:space="preserve">
5,052,117,000</t>
        </r>
      </text>
    </comment>
    <comment ref="D10" authorId="0" shapeId="0">
      <text>
        <r>
          <rPr>
            <b/>
            <sz val="9"/>
            <color indexed="81"/>
            <rFont val="Tahoma"/>
            <family val="2"/>
          </rPr>
          <t>Frank B:</t>
        </r>
        <r>
          <rPr>
            <sz val="9"/>
            <color indexed="81"/>
            <rFont val="Tahoma"/>
            <family val="2"/>
          </rPr>
          <t xml:space="preserve">
Orginal amount = 176,786,000</t>
        </r>
      </text>
    </comment>
    <comment ref="N10" authorId="0" shapeId="0">
      <text>
        <r>
          <rPr>
            <b/>
            <sz val="9"/>
            <color indexed="81"/>
            <rFont val="Tahoma"/>
            <family val="2"/>
          </rPr>
          <t>Frank B:</t>
        </r>
        <r>
          <rPr>
            <sz val="9"/>
            <color indexed="81"/>
            <rFont val="Tahoma"/>
            <family val="2"/>
          </rPr>
          <t xml:space="preserve">
5,584,659,000</t>
        </r>
      </text>
    </comment>
    <comment ref="D11" authorId="0" shapeId="0">
      <text>
        <r>
          <rPr>
            <b/>
            <sz val="9"/>
            <color indexed="81"/>
            <rFont val="Tahoma"/>
            <family val="2"/>
          </rPr>
          <t>Frank B:</t>
        </r>
        <r>
          <rPr>
            <sz val="9"/>
            <color indexed="81"/>
            <rFont val="Tahoma"/>
            <family val="2"/>
          </rPr>
          <t xml:space="preserve">
Original amount = 174,535,000</t>
        </r>
      </text>
    </comment>
    <comment ref="N11" authorId="0" shapeId="0">
      <text>
        <r>
          <rPr>
            <b/>
            <sz val="9"/>
            <color indexed="81"/>
            <rFont val="Tahoma"/>
            <family val="2"/>
          </rPr>
          <t>Frank B:</t>
        </r>
        <r>
          <rPr>
            <sz val="9"/>
            <color indexed="81"/>
            <rFont val="Tahoma"/>
            <family val="2"/>
          </rPr>
          <t xml:space="preserve">
6,001,183,000</t>
        </r>
      </text>
    </comment>
    <comment ref="B12" authorId="0" shapeId="0">
      <text>
        <r>
          <rPr>
            <b/>
            <sz val="9"/>
            <color indexed="81"/>
            <rFont val="Tahoma"/>
            <family val="2"/>
          </rPr>
          <t>Frank B:</t>
        </r>
        <r>
          <rPr>
            <sz val="9"/>
            <color indexed="81"/>
            <rFont val="Tahoma"/>
            <family val="2"/>
          </rPr>
          <t xml:space="preserve">
Revised up from 3,354,561,000</t>
        </r>
      </text>
    </comment>
    <comment ref="D12" authorId="0" shapeId="0">
      <text>
        <r>
          <rPr>
            <b/>
            <sz val="9"/>
            <color indexed="81"/>
            <rFont val="Tahoma"/>
            <family val="2"/>
          </rPr>
          <t>Frank B:</t>
        </r>
        <r>
          <rPr>
            <sz val="9"/>
            <color indexed="81"/>
            <rFont val="Tahoma"/>
            <family val="2"/>
          </rPr>
          <t xml:space="preserve">
Original amount = 178,770,000</t>
        </r>
      </text>
    </comment>
    <comment ref="N12" authorId="0" shapeId="0">
      <text>
        <r>
          <rPr>
            <b/>
            <sz val="9"/>
            <color indexed="81"/>
            <rFont val="Tahoma"/>
            <family val="2"/>
          </rPr>
          <t>Frank B:</t>
        </r>
        <r>
          <rPr>
            <sz val="9"/>
            <color indexed="81"/>
            <rFont val="Tahoma"/>
            <family val="2"/>
          </rPr>
          <t xml:space="preserve">
6,102,204,000</t>
        </r>
      </text>
    </comment>
    <comment ref="B13" authorId="0" shapeId="0">
      <text>
        <r>
          <rPr>
            <b/>
            <sz val="9"/>
            <color indexed="81"/>
            <rFont val="Tahoma"/>
            <family val="2"/>
          </rPr>
          <t>Frank B:</t>
        </r>
        <r>
          <rPr>
            <sz val="9"/>
            <color indexed="81"/>
            <rFont val="Tahoma"/>
            <family val="2"/>
          </rPr>
          <t xml:space="preserve">
Revised up from 3,458,249,000</t>
        </r>
      </text>
    </comment>
    <comment ref="D13" authorId="0" shapeId="0">
      <text>
        <r>
          <rPr>
            <b/>
            <sz val="9"/>
            <color indexed="81"/>
            <rFont val="Tahoma"/>
            <family val="2"/>
          </rPr>
          <t>Frank B:</t>
        </r>
        <r>
          <rPr>
            <sz val="9"/>
            <color indexed="81"/>
            <rFont val="Tahoma"/>
            <family val="2"/>
          </rPr>
          <t xml:space="preserve">
Original amt = 186,059,000</t>
        </r>
      </text>
    </comment>
    <comment ref="N13" authorId="0" shapeId="0">
      <text>
        <r>
          <rPr>
            <b/>
            <sz val="9"/>
            <color indexed="81"/>
            <rFont val="Tahoma"/>
            <family val="2"/>
          </rPr>
          <t>Frank B:</t>
        </r>
        <r>
          <rPr>
            <sz val="9"/>
            <color indexed="81"/>
            <rFont val="Tahoma"/>
            <family val="2"/>
          </rPr>
          <t xml:space="preserve">
6,239,509,000</t>
        </r>
      </text>
    </comment>
    <comment ref="D14" authorId="0" shapeId="0">
      <text>
        <r>
          <rPr>
            <b/>
            <sz val="9"/>
            <color indexed="81"/>
            <rFont val="Tahoma"/>
            <family val="2"/>
          </rPr>
          <t>Frank B:</t>
        </r>
        <r>
          <rPr>
            <sz val="9"/>
            <color indexed="81"/>
            <rFont val="Tahoma"/>
            <family val="2"/>
          </rPr>
          <t xml:space="preserve">
191,759,000=orig amt</t>
        </r>
      </text>
    </comment>
    <comment ref="G14" authorId="0" shapeId="0">
      <text>
        <r>
          <rPr>
            <b/>
            <sz val="9"/>
            <color indexed="81"/>
            <rFont val="Tahoma"/>
            <family val="2"/>
          </rPr>
          <t>Frank B:</t>
        </r>
        <r>
          <rPr>
            <sz val="9"/>
            <color indexed="81"/>
            <rFont val="Tahoma"/>
            <family val="2"/>
          </rPr>
          <t xml:space="preserve">
263,031,000=orig amt
</t>
        </r>
      </text>
    </comment>
    <comment ref="H14" authorId="0" shapeId="0">
      <text>
        <r>
          <rPr>
            <b/>
            <sz val="9"/>
            <color indexed="81"/>
            <rFont val="Tahoma"/>
            <family val="2"/>
          </rPr>
          <t>Frank B:</t>
        </r>
        <r>
          <rPr>
            <sz val="9"/>
            <color indexed="81"/>
            <rFont val="Tahoma"/>
            <family val="2"/>
          </rPr>
          <t xml:space="preserve">
139,640,000=orig amt</t>
        </r>
      </text>
    </comment>
    <comment ref="D15" authorId="0" shapeId="0">
      <text>
        <r>
          <rPr>
            <b/>
            <sz val="9"/>
            <color indexed="81"/>
            <rFont val="Tahoma"/>
            <family val="2"/>
          </rPr>
          <t>Frank B:</t>
        </r>
        <r>
          <rPr>
            <sz val="9"/>
            <color indexed="81"/>
            <rFont val="Tahoma"/>
            <family val="2"/>
          </rPr>
          <t xml:space="preserve">
</t>
        </r>
        <r>
          <rPr>
            <sz val="9"/>
            <color indexed="10"/>
            <rFont val="Tahoma"/>
            <family val="2"/>
          </rPr>
          <t>202,603,000 orig sum
=188,570,036.52
+14,033,366.21</t>
        </r>
      </text>
    </comment>
    <comment ref="G15" authorId="0" shapeId="0">
      <text>
        <r>
          <rPr>
            <b/>
            <sz val="9"/>
            <color indexed="81"/>
            <rFont val="Tahoma"/>
            <family val="2"/>
          </rPr>
          <t>Frank B:</t>
        </r>
        <r>
          <rPr>
            <sz val="9"/>
            <color indexed="81"/>
            <rFont val="Tahoma"/>
            <family val="2"/>
          </rPr>
          <t xml:space="preserve">
</t>
        </r>
        <r>
          <rPr>
            <sz val="9"/>
            <color indexed="10"/>
            <rFont val="Tahoma"/>
            <family val="2"/>
          </rPr>
          <t>268,747,998.96
=orig amt</t>
        </r>
      </text>
    </comment>
    <comment ref="H15" authorId="0" shapeId="0">
      <text>
        <r>
          <rPr>
            <b/>
            <sz val="9"/>
            <color indexed="81"/>
            <rFont val="Tahoma"/>
            <family val="2"/>
          </rPr>
          <t>Frank B:</t>
        </r>
        <r>
          <rPr>
            <sz val="9"/>
            <color indexed="81"/>
            <rFont val="Tahoma"/>
            <family val="2"/>
          </rPr>
          <t xml:space="preserve">
142,864,493.59
=orig amount</t>
        </r>
      </text>
    </comment>
    <comment ref="I15" authorId="0" shapeId="0">
      <text>
        <r>
          <rPr>
            <b/>
            <sz val="9"/>
            <color indexed="81"/>
            <rFont val="Tahoma"/>
            <family val="2"/>
          </rPr>
          <t>Frank B:</t>
        </r>
        <r>
          <rPr>
            <sz val="9"/>
            <color indexed="81"/>
            <rFont val="Tahoma"/>
            <family val="2"/>
          </rPr>
          <t xml:space="preserve">
</t>
        </r>
        <r>
          <rPr>
            <sz val="9"/>
            <color indexed="10"/>
            <rFont val="Tahoma"/>
            <family val="2"/>
          </rPr>
          <t xml:space="preserve">Original sum 22,731,000
=11363775.22
+11366175.1
+520.6
+505.48
</t>
        </r>
      </text>
    </comment>
    <comment ref="L32" authorId="0" shapeId="0">
      <text>
        <r>
          <rPr>
            <b/>
            <sz val="9"/>
            <color indexed="81"/>
            <rFont val="Tahoma"/>
            <family val="2"/>
          </rPr>
          <t>Frank B:</t>
        </r>
        <r>
          <rPr>
            <sz val="9"/>
            <color indexed="81"/>
            <rFont val="Tahoma"/>
            <family val="2"/>
          </rPr>
          <t xml:space="preserve">
</t>
        </r>
        <r>
          <rPr>
            <sz val="9"/>
            <color indexed="10"/>
            <rFont val="Tahoma"/>
            <family val="2"/>
          </rPr>
          <t>These new footnotes may need review?</t>
        </r>
      </text>
    </comment>
  </commentList>
</comments>
</file>

<file path=xl/comments2.xml><?xml version="1.0" encoding="utf-8"?>
<comments xmlns="http://schemas.openxmlformats.org/spreadsheetml/2006/main">
  <authors>
    <author>Frank B</author>
  </authors>
  <commentList>
    <comment ref="C5" authorId="0" shapeId="0">
      <text>
        <r>
          <rPr>
            <b/>
            <sz val="9"/>
            <color indexed="81"/>
            <rFont val="Tahoma"/>
            <family val="2"/>
          </rPr>
          <t>Frank B:</t>
        </r>
        <r>
          <rPr>
            <sz val="9"/>
            <color indexed="81"/>
            <rFont val="Tahoma"/>
            <family val="2"/>
          </rPr>
          <t xml:space="preserve">
</t>
        </r>
        <r>
          <rPr>
            <sz val="9"/>
            <color indexed="10"/>
            <rFont val="Tahoma"/>
            <family val="2"/>
          </rPr>
          <t>Per Kristin's suggestion, this column would consolidate transportation funds, with breakout columns eliminated to right</t>
        </r>
      </text>
    </comment>
    <comment ref="E5" authorId="0" shapeId="0">
      <text>
        <r>
          <rPr>
            <b/>
            <sz val="9"/>
            <color indexed="81"/>
            <rFont val="Tahoma"/>
            <family val="2"/>
          </rPr>
          <t>Frank B:</t>
        </r>
        <r>
          <rPr>
            <sz val="9"/>
            <color indexed="81"/>
            <rFont val="Tahoma"/>
            <family val="2"/>
          </rPr>
          <t xml:space="preserve">
</t>
        </r>
        <r>
          <rPr>
            <sz val="9"/>
            <color indexed="10"/>
            <rFont val="Tahoma"/>
            <family val="2"/>
          </rPr>
          <t xml:space="preserve">"Missing" deposits to the HMO fund have been added (per footnote #13) 
I am concluding that these missed amounts represented errors… </t>
        </r>
      </text>
    </comment>
    <comment ref="P7" authorId="0" shapeId="0">
      <text>
        <r>
          <rPr>
            <b/>
            <sz val="9"/>
            <color indexed="81"/>
            <rFont val="Tahoma"/>
            <family val="2"/>
          </rPr>
          <t>Frank B:</t>
        </r>
        <r>
          <rPr>
            <sz val="9"/>
            <color indexed="81"/>
            <rFont val="Tahoma"/>
            <family val="2"/>
          </rPr>
          <t xml:space="preserve">
4,703,940,000</t>
        </r>
      </text>
    </comment>
    <comment ref="P8" authorId="0" shapeId="0">
      <text>
        <r>
          <rPr>
            <b/>
            <sz val="9"/>
            <color indexed="81"/>
            <rFont val="Tahoma"/>
            <family val="2"/>
          </rPr>
          <t>Frank B:</t>
        </r>
        <r>
          <rPr>
            <sz val="9"/>
            <color indexed="81"/>
            <rFont val="Tahoma"/>
            <family val="2"/>
          </rPr>
          <t xml:space="preserve">
4,891,193,000</t>
        </r>
      </text>
    </comment>
    <comment ref="P9" authorId="0" shapeId="0">
      <text>
        <r>
          <rPr>
            <b/>
            <sz val="9"/>
            <color indexed="81"/>
            <rFont val="Tahoma"/>
            <family val="2"/>
          </rPr>
          <t>Frank B:</t>
        </r>
        <r>
          <rPr>
            <sz val="9"/>
            <color indexed="81"/>
            <rFont val="Tahoma"/>
            <family val="2"/>
          </rPr>
          <t xml:space="preserve">
5,052,117,000</t>
        </r>
      </text>
    </comment>
    <comment ref="P10" authorId="0" shapeId="0">
      <text>
        <r>
          <rPr>
            <b/>
            <sz val="9"/>
            <color indexed="81"/>
            <rFont val="Tahoma"/>
            <family val="2"/>
          </rPr>
          <t>Frank B:</t>
        </r>
        <r>
          <rPr>
            <sz val="9"/>
            <color indexed="81"/>
            <rFont val="Tahoma"/>
            <family val="2"/>
          </rPr>
          <t xml:space="preserve">
5,584,659,000</t>
        </r>
      </text>
    </comment>
    <comment ref="P11" authorId="0" shapeId="0">
      <text>
        <r>
          <rPr>
            <b/>
            <sz val="9"/>
            <color indexed="81"/>
            <rFont val="Tahoma"/>
            <family val="2"/>
          </rPr>
          <t>Frank B:</t>
        </r>
        <r>
          <rPr>
            <sz val="9"/>
            <color indexed="81"/>
            <rFont val="Tahoma"/>
            <family val="2"/>
          </rPr>
          <t xml:space="preserve">
6,001,183,000</t>
        </r>
      </text>
    </comment>
    <comment ref="B12" authorId="0" shapeId="0">
      <text>
        <r>
          <rPr>
            <b/>
            <sz val="9"/>
            <color indexed="81"/>
            <rFont val="Tahoma"/>
            <family val="2"/>
          </rPr>
          <t>Frank B:</t>
        </r>
        <r>
          <rPr>
            <sz val="9"/>
            <color indexed="81"/>
            <rFont val="Tahoma"/>
            <family val="2"/>
          </rPr>
          <t xml:space="preserve">
Revised up from 3,354,561,000</t>
        </r>
      </text>
    </comment>
    <comment ref="P12" authorId="0" shapeId="0">
      <text>
        <r>
          <rPr>
            <b/>
            <sz val="9"/>
            <color indexed="81"/>
            <rFont val="Tahoma"/>
            <family val="2"/>
          </rPr>
          <t>Frank B:</t>
        </r>
        <r>
          <rPr>
            <sz val="9"/>
            <color indexed="81"/>
            <rFont val="Tahoma"/>
            <family val="2"/>
          </rPr>
          <t xml:space="preserve">
6,102,204,000</t>
        </r>
      </text>
    </comment>
    <comment ref="B13" authorId="0" shapeId="0">
      <text>
        <r>
          <rPr>
            <b/>
            <sz val="9"/>
            <color indexed="81"/>
            <rFont val="Tahoma"/>
            <family val="2"/>
          </rPr>
          <t>Frank B:</t>
        </r>
        <r>
          <rPr>
            <sz val="9"/>
            <color indexed="81"/>
            <rFont val="Tahoma"/>
            <family val="2"/>
          </rPr>
          <t xml:space="preserve">
Revised up from 3,458,249,000</t>
        </r>
      </text>
    </comment>
    <comment ref="P13" authorId="0" shapeId="0">
      <text>
        <r>
          <rPr>
            <b/>
            <sz val="9"/>
            <color indexed="81"/>
            <rFont val="Tahoma"/>
            <family val="2"/>
          </rPr>
          <t>Frank B:</t>
        </r>
        <r>
          <rPr>
            <sz val="9"/>
            <color indexed="81"/>
            <rFont val="Tahoma"/>
            <family val="2"/>
          </rPr>
          <t xml:space="preserve">
6,239,509,000</t>
        </r>
      </text>
    </comment>
    <comment ref="H14" authorId="0" shapeId="0">
      <text>
        <r>
          <rPr>
            <b/>
            <sz val="9"/>
            <color indexed="81"/>
            <rFont val="Tahoma"/>
            <family val="2"/>
          </rPr>
          <t>Frank B:</t>
        </r>
        <r>
          <rPr>
            <sz val="9"/>
            <color indexed="81"/>
            <rFont val="Tahoma"/>
            <family val="2"/>
          </rPr>
          <t xml:space="preserve">
263,031,000=orig amt
</t>
        </r>
      </text>
    </comment>
    <comment ref="I14" authorId="0" shapeId="0">
      <text>
        <r>
          <rPr>
            <b/>
            <sz val="9"/>
            <color indexed="81"/>
            <rFont val="Tahoma"/>
            <family val="2"/>
          </rPr>
          <t>Frank B:</t>
        </r>
        <r>
          <rPr>
            <sz val="9"/>
            <color indexed="81"/>
            <rFont val="Tahoma"/>
            <family val="2"/>
          </rPr>
          <t xml:space="preserve">
139,640,000=orig amt</t>
        </r>
      </text>
    </comment>
    <comment ref="P14" authorId="0" shapeId="0">
      <text>
        <r>
          <rPr>
            <b/>
            <sz val="9"/>
            <color indexed="81"/>
            <rFont val="Tahoma"/>
            <family val="2"/>
          </rPr>
          <t>Frank B:</t>
        </r>
        <r>
          <rPr>
            <sz val="9"/>
            <color indexed="81"/>
            <rFont val="Tahoma"/>
            <family val="2"/>
          </rPr>
          <t xml:space="preserve">
6,409,139,000</t>
        </r>
      </text>
    </comment>
    <comment ref="H15" authorId="0" shapeId="0">
      <text>
        <r>
          <rPr>
            <b/>
            <sz val="9"/>
            <color indexed="81"/>
            <rFont val="Tahoma"/>
            <family val="2"/>
          </rPr>
          <t>Frank B:</t>
        </r>
        <r>
          <rPr>
            <sz val="9"/>
            <color indexed="81"/>
            <rFont val="Tahoma"/>
            <family val="2"/>
          </rPr>
          <t xml:space="preserve">
</t>
        </r>
        <r>
          <rPr>
            <sz val="9"/>
            <color indexed="10"/>
            <rFont val="Tahoma"/>
            <family val="2"/>
          </rPr>
          <t>268,747,998.96
=orig amt</t>
        </r>
      </text>
    </comment>
    <comment ref="I15" authorId="0" shapeId="0">
      <text>
        <r>
          <rPr>
            <b/>
            <sz val="9"/>
            <color indexed="81"/>
            <rFont val="Tahoma"/>
            <family val="2"/>
          </rPr>
          <t>Frank B:</t>
        </r>
        <r>
          <rPr>
            <sz val="9"/>
            <color indexed="81"/>
            <rFont val="Tahoma"/>
            <family val="2"/>
          </rPr>
          <t xml:space="preserve">
142,864,493.59
=orig amount</t>
        </r>
      </text>
    </comment>
    <comment ref="P15" authorId="0" shapeId="0">
      <text>
        <r>
          <rPr>
            <b/>
            <sz val="9"/>
            <color indexed="81"/>
            <rFont val="Tahoma"/>
            <family val="2"/>
          </rPr>
          <t>Frank B:</t>
        </r>
        <r>
          <rPr>
            <sz val="9"/>
            <color indexed="81"/>
            <rFont val="Tahoma"/>
            <family val="2"/>
          </rPr>
          <t xml:space="preserve">
6,921,512,000</t>
        </r>
      </text>
    </comment>
  </commentList>
</comments>
</file>

<file path=xl/sharedStrings.xml><?xml version="1.0" encoding="utf-8"?>
<sst xmlns="http://schemas.openxmlformats.org/spreadsheetml/2006/main" count="4142" uniqueCount="1383">
  <si>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</si>
  <si>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</si>
  <si>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</si>
  <si>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</si>
  <si>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</si>
  <si>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</si>
  <si>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</si>
  <si>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</si>
  <si>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</si>
  <si>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</si>
  <si>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</si>
  <si>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</si>
  <si>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</si>
  <si>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Revenue Administrative Services</t>
  </si>
  <si>
    <t>Research Services</t>
  </si>
  <si>
    <t>Administrative and Support Services</t>
  </si>
  <si>
    <t>Total</t>
  </si>
  <si>
    <t>Cost per $100 of collections</t>
  </si>
  <si>
    <t>Note:</t>
  </si>
  <si>
    <t>Amount</t>
  </si>
  <si>
    <t>Tax</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</si>
  <si>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</si>
  <si>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</si>
  <si>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</si>
  <si>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</si>
  <si>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</si>
  <si>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</si>
  <si>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</si>
  <si>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</si>
  <si>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</si>
  <si>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</si>
  <si>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Fiscal Year</t>
  </si>
  <si>
    <t>Table 2.2</t>
  </si>
  <si>
    <t>Taxable</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</si>
  <si>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</si>
  <si>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</si>
  <si>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</si>
  <si>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</si>
  <si>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</si>
  <si>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</si>
  <si>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</si>
  <si>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</si>
  <si>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</si>
  <si>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</si>
  <si>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</si>
  <si>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</si>
  <si>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</si>
  <si>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</si>
  <si>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</si>
  <si>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</si>
  <si>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</si>
  <si>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</si>
  <si>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t>
  </si>
  <si>
    <t>Table 4.3, continued</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</si>
  <si>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</si>
  <si>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</si>
  <si>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</si>
  <si>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</si>
  <si>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</si>
  <si>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</si>
  <si>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</si>
  <si>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</si>
  <si>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</si>
  <si>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</si>
  <si>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</si>
  <si>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</si>
  <si>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</si>
  <si>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</si>
  <si>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</si>
  <si>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</si>
  <si>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</si>
  <si>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</si>
  <si>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</si>
  <si>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</si>
  <si>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</si>
  <si>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</si>
  <si>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</si>
  <si>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</si>
  <si>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</si>
  <si>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</si>
  <si>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</si>
  <si>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</si>
  <si>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</si>
  <si>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</si>
  <si>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</si>
  <si>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</si>
  <si>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</si>
  <si>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</si>
  <si>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</si>
  <si>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</si>
  <si>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</si>
  <si>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</si>
  <si>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</si>
  <si>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</si>
  <si>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</si>
  <si>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</si>
  <si>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</si>
  <si>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</si>
  <si>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</si>
  <si>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</si>
  <si>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</si>
  <si>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</si>
  <si>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</si>
  <si>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</si>
  <si>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</si>
  <si>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</si>
  <si>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</si>
  <si>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</si>
  <si>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</si>
  <si>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</si>
  <si>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</si>
  <si>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</si>
  <si>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</si>
  <si>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</si>
  <si>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</si>
  <si>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</si>
  <si>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</si>
  <si>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</si>
  <si>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</si>
  <si>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</si>
  <si>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</si>
  <si>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</si>
  <si>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</si>
  <si>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</si>
  <si>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</si>
  <si>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</si>
  <si>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</si>
  <si>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</si>
  <si>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</si>
  <si>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</si>
  <si>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</si>
  <si>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</si>
  <si>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</si>
  <si>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</si>
  <si>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</si>
  <si>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</si>
  <si>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</si>
  <si>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</si>
  <si>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</si>
  <si>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</si>
  <si>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</si>
  <si>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</si>
  <si>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</si>
  <si>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</si>
  <si>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</si>
  <si>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</si>
  <si>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</si>
  <si>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</si>
  <si>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</si>
  <si>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</si>
  <si>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</si>
  <si>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</si>
  <si>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</si>
  <si>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</si>
  <si>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</si>
  <si>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</si>
  <si>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</si>
  <si>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</si>
  <si>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</si>
  <si>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</si>
  <si>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</si>
  <si>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</si>
  <si>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</si>
  <si>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</si>
  <si>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</si>
  <si>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</si>
  <si>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</si>
  <si>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</si>
  <si>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</si>
  <si>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</si>
  <si>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</si>
  <si>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</si>
  <si>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</si>
  <si>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</si>
  <si>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</si>
  <si>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</si>
  <si>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</si>
  <si>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</si>
  <si>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</si>
  <si>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</si>
  <si>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</si>
  <si>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</si>
  <si>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</si>
  <si>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Estate</t>
  </si>
  <si>
    <t>Watercraft</t>
  </si>
  <si>
    <t>Rolling</t>
  </si>
  <si>
    <t>&amp; Deeds</t>
  </si>
  <si>
    <t>Stock Tax</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</si>
  <si>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</si>
  <si>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</si>
  <si>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</si>
  <si>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</si>
  <si>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</si>
  <si>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58.1-334 &amp; 58.1-432</t>
  </si>
  <si>
    <t>1985 (effective 1985)</t>
  </si>
  <si>
    <t>§§ 58.1-337 &amp; 58.1-436</t>
  </si>
  <si>
    <t>1990 (effective 1990)</t>
  </si>
  <si>
    <t>§ 58.1-438.1</t>
  </si>
  <si>
    <t>Tax Credit for Vehicle Emissions Testing Equipment and Clean-Fuel Vehicles and Certain Refueling Property</t>
  </si>
  <si>
    <t>1993 (effective 1993)</t>
  </si>
  <si>
    <t>§ 58.1-439</t>
  </si>
  <si>
    <t>1994 (effective 1995)</t>
  </si>
  <si>
    <t>§ 58.1-439.2</t>
  </si>
  <si>
    <t>1995 (effective 1996)</t>
  </si>
  <si>
    <t>§ 58.1-339.2</t>
  </si>
  <si>
    <t>1996 (effective 1997)</t>
  </si>
  <si>
    <t>§§ 58.1-339.3 &amp; 58.1-439.5</t>
  </si>
  <si>
    <t>1996 (effective 1998)</t>
  </si>
  <si>
    <t>§ 58.1-439.7</t>
  </si>
  <si>
    <t>§ 58.1-332.1</t>
  </si>
  <si>
    <t>Foreign Tax Credit</t>
  </si>
  <si>
    <t>1998 (effective 1998)</t>
  </si>
  <si>
    <t>§ 58.1-339.4</t>
  </si>
  <si>
    <t>Qualified Equity and Subordinated Debt Investments Tax Credit</t>
  </si>
  <si>
    <t>1998 (effective 1999)</t>
  </si>
  <si>
    <t>§ 58.1-439.10</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</si>
  <si>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</si>
  <si>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</si>
  <si>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</si>
  <si>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</si>
  <si>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</si>
  <si>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</si>
  <si>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</si>
  <si>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</si>
  <si>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</si>
  <si>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</si>
  <si>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</si>
  <si>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</si>
  <si>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</si>
  <si>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</si>
  <si>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</si>
  <si>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</si>
  <si>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</si>
  <si>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</si>
  <si>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</si>
  <si>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</si>
  <si>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</si>
  <si>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</si>
  <si>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</si>
  <si>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</si>
  <si>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</si>
  <si>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Table 4.3</t>
  </si>
  <si>
    <t>Neighborhood Assistance Act Credit</t>
  </si>
  <si>
    <t>Historic Rehabilitation Tax Credit</t>
  </si>
  <si>
    <t>Table 5.1</t>
  </si>
  <si>
    <t>Table 5.2</t>
  </si>
  <si>
    <t>Table 5.2, continued</t>
  </si>
  <si>
    <t>Directory</t>
  </si>
  <si>
    <t>Virginia Department of Taxation</t>
  </si>
  <si>
    <t>General Mailing Address</t>
  </si>
  <si>
    <t>Office of Tax Policy, Policy Development Division</t>
  </si>
  <si>
    <t>ANNUAL REPORT</t>
  </si>
  <si>
    <t>Report of the Tax Commissioner</t>
  </si>
  <si>
    <t>to the Governor of the Commonwealth of Virginia</t>
  </si>
  <si>
    <t>Craig M. Burns, Tax Commissioner</t>
  </si>
  <si>
    <t>Apple</t>
  </si>
  <si>
    <t>Cotton</t>
  </si>
  <si>
    <t>Sheep</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</si>
  <si>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</si>
  <si>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</si>
  <si>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</si>
  <si>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</si>
  <si>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</si>
  <si>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</si>
  <si>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</si>
  <si>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</si>
  <si>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</si>
  <si>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</si>
  <si>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</si>
  <si>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</si>
  <si>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</si>
  <si>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</si>
  <si>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</si>
  <si>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</si>
  <si>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</si>
  <si>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</si>
  <si>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</si>
  <si>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</si>
  <si>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</si>
  <si>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</si>
  <si>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</si>
  <si>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</si>
  <si>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</si>
  <si>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</si>
  <si>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</si>
  <si>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</si>
  <si>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</si>
  <si>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</si>
  <si>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</si>
  <si>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</si>
  <si>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</si>
  <si>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</si>
  <si>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</si>
  <si>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</si>
  <si>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</si>
  <si>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</si>
  <si>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</si>
  <si>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</si>
  <si>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</si>
  <si>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</si>
  <si>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</si>
  <si>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</si>
  <si>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</si>
  <si>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</si>
  <si>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</si>
  <si>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</si>
  <si>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</si>
  <si>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Personal</t>
  </si>
  <si>
    <t>Dependent</t>
  </si>
  <si>
    <t>Age</t>
  </si>
  <si>
    <t>Blindness</t>
  </si>
  <si>
    <t>and</t>
  </si>
  <si>
    <t>Below</t>
  </si>
  <si>
    <t>to</t>
  </si>
  <si>
    <t>Total:</t>
  </si>
  <si>
    <t>Table 1.3</t>
  </si>
  <si>
    <t>Number and Class of Returns by Virginia Adjusted Gross Income Class</t>
  </si>
  <si>
    <t>Joint</t>
  </si>
  <si>
    <t>Returns</t>
  </si>
  <si>
    <t>Table 1.2</t>
  </si>
  <si>
    <t>Itemized</t>
  </si>
  <si>
    <t>Standard</t>
  </si>
  <si>
    <t>Exemptions</t>
  </si>
  <si>
    <t>Deductions</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</si>
  <si>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</si>
  <si>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</si>
  <si>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</si>
  <si>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</si>
  <si>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</si>
  <si>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</si>
  <si>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</si>
  <si>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</si>
  <si>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</si>
  <si>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</si>
  <si>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</si>
  <si>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</si>
  <si>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</si>
  <si>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</si>
  <si>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</si>
  <si>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</si>
  <si>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</si>
  <si>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</si>
  <si>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</si>
  <si>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</si>
  <si>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</si>
  <si>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</si>
  <si>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</si>
  <si>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</si>
  <si>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</si>
  <si>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</si>
  <si>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</si>
  <si>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</si>
  <si>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</si>
  <si>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</si>
  <si>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</si>
  <si>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</si>
  <si>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</si>
  <si>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</si>
  <si>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</si>
  <si>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</si>
  <si>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</si>
  <si>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</si>
  <si>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</si>
  <si>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</si>
  <si>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</si>
  <si>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</si>
  <si>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</si>
  <si>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</si>
  <si>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</si>
  <si>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</si>
  <si>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</si>
  <si>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</si>
  <si>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</si>
  <si>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</si>
  <si>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</si>
  <si>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</si>
  <si>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</si>
  <si>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</si>
  <si>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</si>
  <si>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</si>
  <si>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</si>
  <si>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</si>
  <si>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</si>
  <si>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</si>
  <si>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</si>
  <si>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</si>
  <si>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</si>
  <si>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</si>
  <si>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</si>
  <si>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</si>
  <si>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</si>
  <si>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</si>
  <si>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</si>
  <si>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</si>
  <si>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</si>
  <si>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</si>
  <si>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</si>
  <si>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</si>
  <si>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</si>
  <si>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</si>
  <si>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</si>
  <si>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</si>
  <si>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</si>
  <si>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</si>
  <si>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</si>
  <si>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</si>
  <si>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</si>
  <si>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</si>
  <si>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</si>
  <si>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</si>
  <si>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</si>
  <si>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</si>
  <si>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</si>
  <si>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</si>
  <si>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</si>
  <si>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</si>
  <si>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</si>
  <si>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</si>
  <si>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</si>
  <si>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</si>
  <si>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</si>
  <si>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</si>
  <si>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</si>
  <si>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</si>
  <si>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</si>
  <si>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</si>
  <si>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</si>
  <si>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</si>
  <si>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</si>
  <si>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</si>
  <si>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</si>
  <si>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</si>
  <si>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</si>
  <si>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</si>
  <si>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</si>
  <si>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</si>
  <si>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</si>
  <si>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</si>
  <si>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</si>
  <si>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</si>
  <si>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</si>
  <si>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</si>
  <si>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</si>
  <si>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</si>
  <si>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</si>
  <si>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</si>
  <si>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</si>
  <si>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</si>
  <si>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</si>
  <si>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</si>
  <si>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</si>
  <si>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</si>
  <si>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</si>
  <si>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</si>
  <si>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</si>
  <si>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</si>
  <si>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</si>
  <si>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</si>
  <si>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</si>
  <si>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</si>
  <si>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</si>
  <si>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</si>
  <si>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</si>
  <si>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</si>
  <si>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</si>
  <si>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</si>
  <si>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</si>
  <si>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</si>
  <si>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</si>
  <si>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</si>
  <si>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</si>
  <si>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</si>
  <si>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</si>
  <si>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</si>
  <si>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</si>
  <si>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</si>
  <si>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</si>
  <si>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</si>
  <si>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</si>
  <si>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</si>
  <si>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</si>
  <si>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</si>
  <si>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</si>
  <si>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</si>
  <si>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</si>
  <si>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</si>
  <si>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</si>
  <si>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</si>
  <si>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</si>
  <si>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</si>
  <si>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</si>
  <si>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</si>
  <si>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</si>
  <si>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</si>
  <si>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</si>
  <si>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</si>
  <si>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</si>
  <si>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</si>
  <si>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</si>
  <si>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</si>
  <si>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</si>
  <si>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</si>
  <si>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</si>
  <si>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</si>
  <si>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</si>
  <si>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</si>
  <si>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</si>
  <si>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</si>
  <si>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</si>
  <si>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</si>
  <si>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</si>
  <si>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</si>
  <si>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</si>
  <si>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</si>
  <si>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</si>
  <si>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</si>
  <si>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</si>
  <si>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</si>
  <si>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</si>
  <si>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</si>
  <si>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</si>
  <si>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</si>
  <si>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</si>
  <si>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</si>
  <si>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</si>
  <si>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</si>
  <si>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</si>
  <si>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</si>
  <si>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</si>
  <si>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</si>
  <si>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</si>
  <si>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</si>
  <si>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</si>
  <si>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</si>
  <si>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</si>
  <si>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</si>
  <si>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</si>
  <si>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</si>
  <si>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</si>
  <si>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</si>
  <si>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</si>
  <si>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</si>
  <si>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</si>
  <si>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</si>
  <si>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</si>
  <si>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</si>
  <si>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</si>
  <si>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</si>
  <si>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</si>
  <si>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</si>
  <si>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</si>
  <si>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</si>
  <si>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</si>
  <si>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</si>
  <si>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</si>
  <si>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</si>
  <si>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</si>
  <si>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</si>
  <si>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</si>
  <si>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</si>
  <si>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</si>
  <si>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</si>
  <si>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</si>
  <si>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</si>
  <si>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</si>
  <si>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</si>
  <si>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</si>
  <si>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</si>
  <si>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</si>
  <si>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</si>
  <si>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</si>
  <si>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</si>
  <si>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</si>
  <si>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</si>
  <si>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</si>
  <si>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</si>
  <si>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</si>
  <si>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</si>
  <si>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</si>
  <si>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</si>
  <si>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</si>
  <si>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</si>
  <si>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</si>
  <si>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</si>
  <si>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</si>
  <si>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</si>
  <si>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</si>
  <si>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</si>
  <si>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</si>
  <si>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</si>
  <si>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</si>
  <si>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</si>
  <si>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</si>
  <si>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</si>
  <si>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</si>
  <si>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</si>
  <si>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</si>
  <si>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</si>
  <si>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</si>
  <si>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</si>
  <si>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</si>
  <si>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</si>
  <si>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</si>
  <si>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</si>
  <si>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</si>
  <si>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$0 to $4,999</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</si>
  <si>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</si>
  <si>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</si>
  <si>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</si>
  <si>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</si>
  <si>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</si>
  <si>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</si>
  <si>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</si>
  <si>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</si>
  <si>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Table 1.7</t>
  </si>
  <si>
    <t>Total Net Taxable Income, Amount Taxed at Each Tax Rate, Total Income Tax Liability by Locality</t>
  </si>
  <si>
    <t>Table 1.7, continued</t>
  </si>
  <si>
    <t>Table 1.8</t>
  </si>
  <si>
    <t>Set-Off Debt Transferred to Agencies by Taxable Year</t>
  </si>
  <si>
    <t>Type of Participants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</si>
  <si>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</si>
  <si>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</si>
  <si>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</si>
  <si>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</si>
  <si>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</si>
  <si>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</si>
  <si>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</si>
  <si>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</si>
  <si>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</si>
  <si>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</si>
  <si>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</si>
  <si>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</si>
  <si>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</si>
  <si>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</si>
  <si>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</si>
  <si>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</si>
  <si>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</si>
  <si>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</si>
  <si>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</si>
  <si>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</si>
  <si>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</si>
  <si>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</si>
  <si>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</si>
  <si>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</si>
  <si>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</si>
  <si>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</si>
  <si>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</si>
  <si>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</si>
  <si>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</si>
  <si>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</si>
  <si>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</si>
  <si>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</si>
  <si>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</si>
  <si>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</si>
  <si>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</si>
  <si>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</si>
  <si>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</si>
  <si>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</si>
  <si>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</si>
  <si>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</si>
  <si>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</si>
  <si>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</si>
  <si>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</si>
  <si>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</si>
  <si>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</si>
  <si>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</si>
  <si>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</si>
  <si>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</si>
  <si>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</si>
  <si>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</si>
  <si>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</si>
  <si>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</si>
  <si>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</si>
  <si>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</si>
  <si>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</si>
  <si>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</si>
  <si>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</si>
  <si>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</si>
  <si>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</si>
  <si>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</si>
  <si>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Table 6.1</t>
  </si>
  <si>
    <t>Table of Contents</t>
  </si>
  <si>
    <t xml:space="preserve">Net Revenue Collections and Expenditures                                                                </t>
  </si>
  <si>
    <t>1.10</t>
  </si>
  <si>
    <t>Corporate Income Tax</t>
  </si>
  <si>
    <t>Individual and Corporate Income Tax Credits</t>
  </si>
  <si>
    <t>4.2</t>
  </si>
  <si>
    <t>4.3</t>
  </si>
  <si>
    <t>Other State Taxes</t>
  </si>
  <si>
    <t>5.3</t>
  </si>
  <si>
    <t>5.4</t>
  </si>
  <si>
    <t>5.5</t>
  </si>
  <si>
    <t>5.6</t>
  </si>
  <si>
    <t>§ 58.1-439.12:05</t>
  </si>
  <si>
    <t>Green Job Creation Tax Credit</t>
  </si>
  <si>
    <t>2010 (effective 2010)</t>
  </si>
  <si>
    <t>§ 58.1-439.12:04</t>
  </si>
  <si>
    <t>Tax Credit for Participating Landlords (Community of Opportunity)</t>
  </si>
  <si>
    <t>Rolling Stock Tax</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</si>
  <si>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</si>
  <si>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</si>
  <si>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</si>
  <si>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</si>
  <si>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</si>
  <si>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</si>
  <si>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</si>
  <si>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</si>
  <si>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</si>
  <si>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</si>
  <si>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</si>
  <si>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</si>
  <si>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</si>
  <si>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</si>
  <si>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Amount ($)</t>
  </si>
  <si>
    <t>State and Local Retail Sales &amp; Use  
Tax Expenditure Resulting From Purchases 
Made by Nonprofit Organizations</t>
  </si>
  <si>
    <t>Wytheville</t>
  </si>
  <si>
    <t>Franklin City</t>
  </si>
  <si>
    <t>Richmond City</t>
  </si>
  <si>
    <t>Roanoke City</t>
  </si>
  <si>
    <t>Bloxom</t>
  </si>
  <si>
    <t>Broadnax</t>
  </si>
  <si>
    <t>Stephens City</t>
  </si>
  <si>
    <t>Non-General Fund (Non-GF) Revenues</t>
  </si>
  <si>
    <t>Total Department Non-GF Revenues</t>
  </si>
  <si>
    <t xml:space="preserve">Non-General Fund </t>
  </si>
  <si>
    <t>Non-General Fund</t>
  </si>
  <si>
    <t xml:space="preserve">GF (tax) </t>
  </si>
  <si>
    <t xml:space="preserve">Non-GF (tax) </t>
  </si>
  <si>
    <t xml:space="preserve">Non-GF(other agency) </t>
  </si>
  <si>
    <t xml:space="preserve">Percent </t>
  </si>
  <si>
    <t>5.7</t>
  </si>
  <si>
    <t>Table 5.7</t>
  </si>
  <si>
    <t>Up to $24,999</t>
  </si>
  <si>
    <t>% used</t>
  </si>
  <si>
    <t xml:space="preserve">Total After Adjustments </t>
  </si>
  <si>
    <t>Insurance Premiums License Tax</t>
  </si>
  <si>
    <t xml:space="preserve">4. Tax assessed shown is before any credits claimed. </t>
  </si>
  <si>
    <t>5. If a company reports negative taxable premium income, its taxable premium income is treated as zero in this table.</t>
  </si>
  <si>
    <t>6. Some columns may not match totals due to rounding.</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</si>
  <si>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</si>
  <si>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</si>
  <si>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</si>
  <si>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</si>
  <si>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</si>
  <si>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</si>
  <si>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</si>
  <si>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</si>
  <si>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</si>
  <si>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</si>
  <si>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</si>
  <si>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</si>
  <si>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</si>
  <si>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</si>
  <si>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</si>
  <si>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</si>
  <si>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</si>
  <si>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</si>
  <si>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 xml:space="preserve">check footnote </t>
  </si>
  <si>
    <t>Office of Customer Services</t>
  </si>
  <si>
    <t>P.O. Box 1115</t>
  </si>
  <si>
    <t>Richmond, VA  23218-1115</t>
  </si>
  <si>
    <t>2010 (effective 2011)</t>
  </si>
  <si>
    <t>Virginia Adjusted Gross Income, Exemptions, Itemized and Standard Deductions, Total Taxable Income, Total Tax Liability, and Average Tax Rates</t>
  </si>
  <si>
    <t xml:space="preserve">Addition for reserve for loan losses </t>
  </si>
  <si>
    <t>d. Other deductions (total)</t>
  </si>
  <si>
    <t>Capital before Virginia modifications</t>
  </si>
  <si>
    <t>Low Income Housing Tax Credit</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</si>
  <si>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</si>
  <si>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</si>
  <si>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4. The watercraft sales and use tax is imposed at a rate of 2 percent of the purchase price, up to a maximum of $2,000.</t>
  </si>
  <si>
    <t>5. The rolling stock tax on railroads, freight car companies, and certified motor vehicle carriers is $1 on each $100 of assessed value.</t>
  </si>
  <si>
    <t>1. The current classifications are based on NAICS codes. Prior to 2005, different business classification codes were used. Historic taxable sales cannot be converted to the new classification system.</t>
  </si>
  <si>
    <t xml:space="preserve">1. The tax rate is 6% of the corporation's Virginia taxable income, except in the case of certain energy suppliers and telecommunication companies that are subject to a Minimum Tax. </t>
  </si>
  <si>
    <t>2. Tax assessed shown is before any credits.</t>
  </si>
  <si>
    <t>1. The Set-Off Debt program applies an overpayment amount on a taxpayer's return against accounts receivable due to an agency of the Commonwealth.</t>
  </si>
  <si>
    <t>2. Tax liability is before any tax credits but after the spouse tax adjustment.</t>
  </si>
  <si>
    <t>1.  Bedford County data includes data from the City of Bedford- which reverted to a town, effective July 1, 2013.</t>
  </si>
  <si>
    <t>Separately</t>
  </si>
  <si>
    <t xml:space="preserve">Married Filing </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</si>
  <si>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</si>
  <si>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</si>
  <si>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</si>
  <si>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</si>
  <si>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</si>
  <si>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</si>
  <si>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t>1. Tax liability is before any tax credits but after the spouse tax adjustment.</t>
  </si>
  <si>
    <t xml:space="preserve">Corporate Income Tax </t>
  </si>
  <si>
    <t xml:space="preserve">Individual Income </t>
  </si>
  <si>
    <t>Net Revenue Collections After Refunds by Tax Type</t>
  </si>
  <si>
    <t>By the Commonwealth of Virginia</t>
  </si>
  <si>
    <t>By the Department of Taxation*</t>
  </si>
  <si>
    <t>*Includes all taxes administered by the Department of Taxation.</t>
  </si>
  <si>
    <t xml:space="preserve">Recordation Tax and Deeds of Conveyance Revenue Collections by 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</si>
  <si>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</si>
  <si>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</si>
  <si>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</si>
  <si>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</si>
  <si>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 58.1-439.12:11</t>
  </si>
  <si>
    <t>Major Research and Development Expenses Tax Credit</t>
  </si>
  <si>
    <t>2016 (effective 2017)</t>
  </si>
  <si>
    <t>§ 58.1-439.12:12</t>
  </si>
  <si>
    <t>Food Crop Donation Tax Credit</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</si>
  <si>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</si>
  <si>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</si>
  <si>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</si>
  <si>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</si>
  <si>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</si>
  <si>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</si>
  <si>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</si>
  <si>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</si>
  <si>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</si>
  <si>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</si>
  <si>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</si>
  <si>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</si>
  <si>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</si>
  <si>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</si>
  <si>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</si>
  <si>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</si>
  <si>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</si>
  <si>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</si>
  <si>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</si>
  <si>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t>Council (SLEAC) and makes expenditures on behalf of SLEAC. These expenditures are not included above.</t>
  </si>
  <si>
    <t>Local Property Taxes</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</si>
  <si>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</si>
  <si>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</si>
  <si>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</si>
  <si>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</si>
  <si>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</si>
  <si>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</si>
  <si>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</si>
  <si>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</si>
  <si>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</si>
  <si>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</si>
  <si>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</si>
  <si>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</si>
  <si>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</si>
  <si>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</si>
  <si>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</si>
  <si>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</si>
  <si>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</si>
  <si>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</si>
  <si>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</si>
  <si>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</si>
  <si>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</si>
  <si>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</si>
  <si>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</si>
  <si>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</si>
  <si>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</si>
  <si>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</si>
  <si>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</si>
  <si>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</si>
  <si>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</si>
  <si>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</si>
  <si>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</si>
  <si>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</si>
  <si>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</si>
  <si>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</si>
  <si>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</si>
  <si>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</si>
  <si>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</si>
  <si>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</si>
  <si>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</si>
  <si>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</si>
  <si>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</si>
  <si>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</si>
  <si>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</si>
  <si>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</si>
  <si>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</si>
  <si>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</si>
  <si>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</si>
  <si>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</si>
  <si>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</si>
  <si>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</si>
  <si>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</si>
  <si>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</si>
  <si>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</si>
  <si>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</si>
  <si>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</si>
  <si>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</si>
  <si>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</si>
  <si>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</si>
  <si>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</si>
  <si>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</si>
  <si>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</si>
  <si>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</si>
  <si>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</si>
  <si>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</si>
  <si>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</si>
  <si>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</si>
  <si>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</si>
  <si>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</si>
  <si>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2018 - 2019</t>
  </si>
  <si>
    <t>US Treasury</t>
  </si>
  <si>
    <t>Falls Church*</t>
  </si>
  <si>
    <t>Portsmouth*</t>
  </si>
  <si>
    <t xml:space="preserve">4. Some localities exempt certain categories from taxation. For a few counties, the data may also include the data for towns that have their own school divisions. </t>
  </si>
  <si>
    <t>VIRGINIA TAX</t>
  </si>
  <si>
    <r>
      <t>Home Energy Assistance</t>
    </r>
    <r>
      <rPr>
        <vertAlign val="superscript"/>
        <sz val="10"/>
        <color indexed="8"/>
        <rFont val="Arial"/>
        <family val="2"/>
      </rPr>
      <t>#</t>
    </r>
  </si>
  <si>
    <t>4. Rolling Stock Tax includes Railroad and Car line company taxes.</t>
  </si>
  <si>
    <t>2. Effective beginning with Taxable Year 2017, Virginia entered into an agreement with U.S. Treasury to offset tax payments to collect nontax debts owed to the United States.</t>
  </si>
  <si>
    <t>*check FN</t>
  </si>
  <si>
    <t>Real Estate Fair Market Value (FMV), Fair Market Value (Taxable), and Local Levy by Locality - Tax Year 2019</t>
  </si>
  <si>
    <t>Comparison of Tax Exempt Value to Total Fair Market Value (FMV) of Real Estate by Locality - Tax Year 2019</t>
  </si>
  <si>
    <t>Assessed Values and Levies by Locality - Tax Year 2019</t>
  </si>
  <si>
    <t>§ 58.1-439.6:1</t>
  </si>
  <si>
    <t>Worker Training Tax Credit</t>
  </si>
  <si>
    <t xml:space="preserve">* Locality did not submit requested data for Tax Year 2019 and as such the locality's Tax Year 2018 data is being reported.  </t>
  </si>
  <si>
    <t>2019 - 2020</t>
  </si>
  <si>
    <t xml:space="preserve">Fairfax City </t>
  </si>
  <si>
    <t>Poquoson*</t>
  </si>
  <si>
    <t>Petersburg*</t>
  </si>
  <si>
    <t>Manassas Park*</t>
  </si>
  <si>
    <t>Hampton*</t>
  </si>
  <si>
    <t>Alexandria*</t>
  </si>
  <si>
    <t>James City*</t>
  </si>
  <si>
    <t>Arlington*</t>
  </si>
  <si>
    <t>Richmond*</t>
  </si>
  <si>
    <t>Children of America Finding Hope**</t>
  </si>
  <si>
    <t xml:space="preserve">** This organization was removed from the 2016 Virginia Individual Income Tax return and was added back to the 2018 Virginia Individual Income Tax return. </t>
  </si>
  <si>
    <t>Taxable Year 2019</t>
  </si>
  <si>
    <t>Adjusted Gross
Income Classes</t>
  </si>
  <si>
    <t>Single 
Returns</t>
  </si>
  <si>
    <t>Total 
Number of 
Returns</t>
  </si>
  <si>
    <t xml:space="preserve">Married 
Filing Joint </t>
  </si>
  <si>
    <t xml:space="preserve">Married 
Filing Separately </t>
  </si>
  <si>
    <t>Adjusted Gross 
Income Classes</t>
  </si>
  <si>
    <t>Total Number 
of Returns</t>
  </si>
  <si>
    <t>Total Number 
of Exemptions</t>
  </si>
  <si>
    <t>Total Net 
Taxable Income</t>
  </si>
  <si>
    <t>Total Income 
Tax Liability</t>
  </si>
  <si>
    <t>Fiscal Year 
2016</t>
  </si>
  <si>
    <t>Fiscal Year 
2018</t>
  </si>
  <si>
    <t>Fiscal Year 
2019</t>
  </si>
  <si>
    <t>Fiscal Year 
2020</t>
  </si>
  <si>
    <t>FY 2015</t>
  </si>
  <si>
    <t>FY 2016</t>
  </si>
  <si>
    <t>FY 2017</t>
  </si>
  <si>
    <t>FY 2018</t>
  </si>
  <si>
    <t>FY 2019</t>
  </si>
  <si>
    <t>FY 2020</t>
  </si>
  <si>
    <t>FY 2021</t>
  </si>
  <si>
    <r>
      <t>Notes:</t>
    </r>
    <r>
      <rPr>
        <sz val="10"/>
        <color theme="0"/>
        <rFont val="Arial Narrow"/>
        <family val="2"/>
      </rPr>
      <t xml:space="preserve"> (check footnotes if changes needed)</t>
    </r>
  </si>
  <si>
    <t>Central VA Region</t>
  </si>
  <si>
    <t>Historic Triangle</t>
  </si>
  <si>
    <t xml:space="preserve">Northern Virginia Region </t>
  </si>
  <si>
    <t xml:space="preserve">Hampton Roads 
Region </t>
  </si>
  <si>
    <t>General 
Fund</t>
  </si>
  <si>
    <t>Subtotal 
State</t>
  </si>
  <si>
    <t>Local 
Option</t>
  </si>
  <si>
    <t>Public Education SOQ / Real Estate Property Tax Relief</t>
  </si>
  <si>
    <t>Total 
State and Local</t>
  </si>
  <si>
    <t>Fiscal 
Year</t>
  </si>
  <si>
    <t>State subtotal</t>
  </si>
  <si>
    <t>Local option</t>
  </si>
  <si>
    <t>State + Local</t>
  </si>
  <si>
    <t>`</t>
  </si>
  <si>
    <t>11. Effective FY 2010, dealers with annual taxable sales above a $1 million threshold are required to make a June payment equal to 90% of their sales and use tax liability for the previous June. For the payment due June 2021, the threshold was $10 million of annual taxable sales.</t>
  </si>
  <si>
    <t>Diff %</t>
  </si>
  <si>
    <t>Annual Report</t>
  </si>
  <si>
    <t>TAX data</t>
  </si>
  <si>
    <t>FY</t>
  </si>
  <si>
    <t>SUT totals from:</t>
  </si>
  <si>
    <t>prior Annual Report data</t>
  </si>
  <si>
    <t>FIPS</t>
  </si>
  <si>
    <t>Fiscal Year 
2021</t>
  </si>
  <si>
    <t>2019-2020</t>
  </si>
  <si>
    <t>Total Taxable Property</t>
  </si>
  <si>
    <t>Merchants' 
Capital</t>
  </si>
  <si>
    <t>Machinery 
and Tools</t>
  </si>
  <si>
    <t>Tangible 
Personal Property</t>
  </si>
  <si>
    <t>Taxable 
Real Estate</t>
  </si>
  <si>
    <t>2018 (effective 2019)</t>
  </si>
  <si>
    <t>1. A local license tax may be imposed on gross receipts under Va. Code § 58.1-3706.</t>
  </si>
  <si>
    <t>Frederick *</t>
  </si>
  <si>
    <t>Westmoreland *</t>
  </si>
  <si>
    <t>Manassas Park  **</t>
  </si>
  <si>
    <t>Petersburg **</t>
  </si>
  <si>
    <t>Poquoson  **</t>
  </si>
  <si>
    <t>Portsmouth **</t>
  </si>
  <si>
    <t>3. Taxable fair market value is the total fair market of real estate minus the special assessment for land preservation (Code of Virginia, Section 58.1-3230).</t>
  </si>
  <si>
    <t>Staunton **</t>
  </si>
  <si>
    <t>4. Some localities exempt certain of these categories from taxation.</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</si>
  <si>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that do not reflect growth during the period covered by the table. </t>
  </si>
  <si>
    <t>1. Communications taxes in Virginia include: 5% Communications Sales tax on telecommunications services, 75ȼ State E-911 tax for landline and Voice Over Internet Protocol (VOiP) phones, a wireless E-911 surcharge of $0.82 and a prepaid wireless E-911 charge of $0.55, and $1.20 Landline telephone and cable TV franchise right of way fees</t>
  </si>
  <si>
    <t>Data source: 018C.0 Annual Taxable Sales Report from Virginia Tax BI platform</t>
  </si>
  <si>
    <t>Data source: Nonprofit Organization Tax Exemption Annual Report from Nonprofit Exemption Unit, Virginia Department of Taxation</t>
  </si>
  <si>
    <t>Data source: Bank Franchise Tax Unit, Virginia Department of Taxation</t>
  </si>
  <si>
    <t>Data source: Property Tax Unit, Virginia Department of Taxation</t>
  </si>
  <si>
    <t>Data source: 349.0 Communication Tax Annual Report from BI platform, Virginia Department of Taxation</t>
  </si>
  <si>
    <t>Data source: Department of Accounts</t>
  </si>
  <si>
    <t>Data source: Revenue Status Report RGL008 from Cardinal financial reporting system, Commonwealth of Virginia</t>
  </si>
  <si>
    <t>Data source: Department of Accounts and data pull from ARPRD database, Virginia Department of Taxation</t>
  </si>
  <si>
    <t>Data source: Report 138.0 from Office of Technology, Virginia Department of Taxation</t>
  </si>
  <si>
    <t>Data source: Report 138.A from Office of Technology, Virginia Department of Taxation</t>
  </si>
  <si>
    <t>Data source: Reports 138.B and 138.C from Office of Technology, Virginia Department of Taxation</t>
  </si>
  <si>
    <t>Data source: Reports 138.D from Office of Technology, Virginia Department of Taxation</t>
  </si>
  <si>
    <t>Data source: Fiscal Year Credit Report by Policy Development, Virginia Department of Taxation</t>
  </si>
  <si>
    <t>Data source: January "checkoffs" report using VA 529 Report and Report 138.E from Office of Technology, Virginia Department of Taxation</t>
  </si>
  <si>
    <t xml:space="preserve">10. Effective July 1, 2018, a new state tax of 1.0% was imposed on sales made in the Historic Triangle Region in the City of  Williamsburg and the counties of James City and York, with the exception of food purchased for human consumption. </t>
  </si>
  <si>
    <t xml:space="preserve"> 9. Effective July 1, 2013, a new state tax of 0.7% was imposed on localities in Northern Virginia region and Hampton Roads region.</t>
  </si>
  <si>
    <t xml:space="preserve"> 1. The sales and use tax on aircraft and on watercraft are reported separately in Tables 5.1 and 5.2, respectively.</t>
  </si>
  <si>
    <t xml:space="preserve"> 2. The sales and use tax on motor vehicles is administered by the Department of Motor Vehicles and is not reported here.</t>
  </si>
  <si>
    <t xml:space="preserve"> 3. Revenues of a 1% tax of the 4.3% state tax is returned to localities for education, based on each locality's school-age population.</t>
  </si>
  <si>
    <t xml:space="preserve"> 4. Revenues of a 1/2% tax of the 4.3% state tax is allocated to the Transportation Trust Fund for use by the Commonwealth Transportation Board.</t>
  </si>
  <si>
    <t xml:space="preserve"> 5. The local option tax of 1% is distributed to localities based on point of sale.  Local tax collections are net of all adjustments and costs of collection.</t>
  </si>
  <si>
    <t xml:space="preserve"> 6. Revenues of a 3/8% tax of the 4.3% state tax is allocated to the Public Education Standards of Quality/Local Real Estate Property Tax Relief Fund.</t>
  </si>
  <si>
    <t xml:space="preserve"> 7. On January 1, 2000, the state tax on unprepared food for human consumption was reduced from 3.5 % to 3.0 % and then reduced to 1.5 % on July 1, 2005.</t>
  </si>
  <si>
    <t xml:space="preserve"> 8. Effective July 1, 2013, the state tax was increased from 4% to 4.3%. Of the 0.3% increase, 0.175% goes to Highway Maintenance Operating Fund, 0.05% goes to Intercity Passenger Rail and 0.075% goes to Commonwealth Mass Transit Fund. </t>
  </si>
  <si>
    <t xml:space="preserve">12. Prior to FY 2017, the Commonwealth Accounting and Reporting System (CARS) was the data source for net revenue collections. Effective with FY 2017, the Revenue Status Report from the Cardinal financial system is the data source for net revenue collections. </t>
  </si>
  <si>
    <t>13. Effective July 1, 2019, the sales and use tax was extended to include remote sellers without a physical presence in the state. States were given the ability to do so by the U.S. Supreme Court's "Wayfair" decision of June 21, 2018</t>
  </si>
  <si>
    <t>14. For FY 2020 and prior years, the HMO fund amounts have been adjusted to include certain SUT revenue deposited in the Commonwealth Transportation Fund plus all other SUT revenue deposited in the HMO fund.</t>
  </si>
  <si>
    <r>
      <t xml:space="preserve">Highway  Maintenance Operating Fund </t>
    </r>
    <r>
      <rPr>
        <b/>
        <sz val="9"/>
        <color rgb="FFFF0000"/>
        <rFont val="Calibri"/>
        <family val="2"/>
      </rPr>
      <t>¹⁴ ¹⁵</t>
    </r>
  </si>
  <si>
    <r>
      <t>Transportation Trust Fund</t>
    </r>
    <r>
      <rPr>
        <b/>
        <sz val="9"/>
        <color rgb="FFFF0000"/>
        <rFont val="Arial"/>
        <family val="2"/>
      </rPr>
      <t xml:space="preserve"> ¹</t>
    </r>
    <r>
      <rPr>
        <b/>
        <sz val="9"/>
        <color rgb="FFFF0000"/>
        <rFont val="Calibri"/>
        <family val="2"/>
      </rPr>
      <t>⁵</t>
    </r>
  </si>
  <si>
    <r>
      <t>Intercity Passenger Rail Operating Fund</t>
    </r>
    <r>
      <rPr>
        <b/>
        <sz val="9"/>
        <color rgb="FFFF0000"/>
        <rFont val="Arial"/>
        <family val="2"/>
      </rPr>
      <t xml:space="preserve"> ¹</t>
    </r>
    <r>
      <rPr>
        <b/>
        <sz val="9"/>
        <color rgb="FFFF0000"/>
        <rFont val="Calibri"/>
        <family val="2"/>
      </rPr>
      <t>⁵</t>
    </r>
  </si>
  <si>
    <r>
      <t xml:space="preserve">Commonwealth Mass Transit Fund </t>
    </r>
    <r>
      <rPr>
        <b/>
        <sz val="9"/>
        <color rgb="FFFF0000"/>
        <rFont val="Arial"/>
        <family val="2"/>
      </rPr>
      <t>¹</t>
    </r>
    <r>
      <rPr>
        <b/>
        <sz val="9"/>
        <color rgb="FFFF0000"/>
        <rFont val="Calibri"/>
        <family val="2"/>
      </rPr>
      <t>⁵</t>
    </r>
  </si>
  <si>
    <t>3. Prior to July 1, 2010, the peanut excise tax was imposed at the rate of 15 cents per 100 pounds.  Effective July 1, 2010, the peanut excise tax was imposed at the rate of 30 cents per 100 pounds. Effective July 1, 2021, the peanut excise tax was reduced to the rate of 25 cents per 100 pounds. All revenues are deposited into the Peanut Fund.</t>
  </si>
  <si>
    <t>1. The data in this table are as reported by local Commissioners of the Revenue and Assessors to the Virginia Department of Taxation, Property Tax Unit</t>
  </si>
  <si>
    <t>* See note in Table 1.5 concerning returns not assigned to a locality.</t>
  </si>
  <si>
    <t>Back</t>
  </si>
  <si>
    <t>15. Starting in FY 2021, various transportation SUT revenues  have been consolidated in the Commonwealth Transportation Fund per legislation</t>
  </si>
  <si>
    <t>1. Totals in Table 1.7 may not match totals in previous tables due to minor variations in rounding.</t>
  </si>
  <si>
    <t>5. Effective September 1, 2004, the tax on cigarettes was imposed at a rate of 20 cents per pack of 20 cigarettes. Effective July 1, 2005, the tax on cigarette was imposed at a rate of 30 cents per pack of 20 cigarettes.   Effective July 1, 2020, the tax on cigarettes was imposed at a rate of 60 cents per pack of 20 cigarettes.  All revenue from the Cigarette Tax is deposited into the Virginia Health Care Fund.</t>
  </si>
  <si>
    <t>6. Prior to July 1, 2020, other tobacco products were taxed at 10 percent of the sales price charged by the wholesale dealer.  Beginning July 1, 2020, other tobacco products are taxed at 20 percent of the sales price charged by the wholesale dealer.  Also, effective July 1, 2020 liquid nicotine products are taxed at a rate of $0.066 per milliliter.  Beginning January 1, 2021, the tax is imposed on heated tobacco products at the rate of 2.25 cents per stick.  All revenues from this tax are deposited into the Virginia Health Care Fund.</t>
  </si>
  <si>
    <t>2. The egg excise tax is imposed at the rate of 5 cents per 30-dozen case or 11 cents per 100 pounds of liquid eggs.  All revenue from this tax are deposited into the Virginia Egg Fund.</t>
  </si>
  <si>
    <t>Data source: Report 146.0 Premium License Tax Preference Credit and Report 138.F Insurance Premium License Tax from Office of Technology, Virginia Department of Taxation</t>
  </si>
  <si>
    <t xml:space="preserve"> 4. The local option tax of 1% is distributed to localities based on point of sale.  Local tax collections are net of all adjustments and costs of collection.</t>
  </si>
  <si>
    <t xml:space="preserve"> 5. Revenues of a 3/8% tax of the 4.3% state tax is allocated to the Public Education Standards of Quality/Local Real Estate Property Tax Relief Fund.</t>
  </si>
  <si>
    <t xml:space="preserve"> 6. On January 1, 2000, the state tax on unprepared food for human consumption was reduced from 3.5 % to 3.0 % and then reduced to 1.5 % on July 1, 2005.</t>
  </si>
  <si>
    <t xml:space="preserve"> 7. Effective July 1, 2013, the state tax was increased from 4% to 4.3%. Of the 0.3% increase, 0.175% goes to Highway Maintenance Operating Fund, 0.05% goes to Intercity Passenger Rail and 0.075% goes to Commonwealth Mass Transit Fund. </t>
  </si>
  <si>
    <t xml:space="preserve"> 8. A new state tax of 0.7% was imposed on localities in Northern Virginia region and Hampton Roads region effective July 1, 2013, and in the Central Virginia region effective October 1, 2020.</t>
  </si>
  <si>
    <t xml:space="preserve"> 9. Effective July 1, 2018, a new state tax of 1.0% was imposed on sales made in the Historic Triangle Region in the City of  Williamsburg and the counties of James City and York, with the exception of food purchased for human consumption. </t>
  </si>
  <si>
    <t>10. Effective FY 2010, dealers with annual taxable sales above a $1 million threshold are required to make a June payment equal to 90% of their sales and use tax liability for the previous June. For the payment due June 2021, the threshold was $10 million of annual taxable sales.</t>
  </si>
  <si>
    <t xml:space="preserve">11. Prior to FY 2017, the Commonwealth Accounting and Reporting System (CARS) was the data source for net revenue collections. Effective with FY 2017, the Revenue Status Report from the Cardinal financial system is the data source for net revenue collections. </t>
  </si>
  <si>
    <t>12. Effective July 1, 2019, the sales and use tax was extended to include remote sellers without a physical presence in the state. States were given the ability to do so by the U.S. Supreme Court's "Wayfair" decision of June 21, 2018</t>
  </si>
  <si>
    <t>14. Starting in FY 2021, state transportation SUT revenues have been consolidated in the Commonwealth Transportation Fund per legislation</t>
  </si>
  <si>
    <r>
      <t>Commonwealth Transportation Fund ¹</t>
    </r>
    <r>
      <rPr>
        <b/>
        <sz val="9"/>
        <rFont val="Calibri"/>
        <family val="2"/>
      </rPr>
      <t>⁴</t>
    </r>
  </si>
  <si>
    <r>
      <t>Transportation Trust Fund ¹</t>
    </r>
    <r>
      <rPr>
        <b/>
        <sz val="9"/>
        <rFont val="Calibri"/>
        <family val="2"/>
      </rPr>
      <t>⁴</t>
    </r>
  </si>
  <si>
    <r>
      <t xml:space="preserve">Highway  Maintenance Operating Fund </t>
    </r>
    <r>
      <rPr>
        <b/>
        <sz val="9"/>
        <rFont val="Calibri"/>
        <family val="2"/>
      </rPr>
      <t>¹³ ¹⁴</t>
    </r>
  </si>
  <si>
    <r>
      <t>Intercity Passenger Rail Operating Fund ¹</t>
    </r>
    <r>
      <rPr>
        <b/>
        <sz val="9"/>
        <rFont val="Calibri"/>
        <family val="2"/>
      </rPr>
      <t>⁴</t>
    </r>
  </si>
  <si>
    <r>
      <t>Commonwealth Mass Transit Fund ¹</t>
    </r>
    <r>
      <rPr>
        <b/>
        <sz val="9"/>
        <rFont val="Calibri"/>
        <family val="2"/>
      </rPr>
      <t>⁴</t>
    </r>
  </si>
  <si>
    <t>14. Certain localities have statutory authority to levy an additional sales and use tax of up to one percent. Halifax County imposed this new tax effective July 1, 2020 and Henry County imposed the tax effective April 1, 2021.</t>
  </si>
  <si>
    <r>
      <t>Transportation ¹</t>
    </r>
    <r>
      <rPr>
        <b/>
        <sz val="9"/>
        <rFont val="Calibri"/>
        <family val="2"/>
      </rPr>
      <t>³</t>
    </r>
  </si>
  <si>
    <r>
      <t>Additional Tax Certain Localities</t>
    </r>
    <r>
      <rPr>
        <b/>
        <sz val="9"/>
        <color rgb="FF7030A0"/>
        <rFont val="Arial"/>
        <family val="2"/>
      </rPr>
      <t>¹</t>
    </r>
    <r>
      <rPr>
        <b/>
        <sz val="9"/>
        <color rgb="FF7030A0"/>
        <rFont val="Calibri"/>
        <family val="2"/>
      </rPr>
      <t>⁴</t>
    </r>
  </si>
  <si>
    <t xml:space="preserve">13. Prior to FY 2021, transportation funding included distributions to the Transportation Trust Fund, Highway Maintenance Operating Fund, Intercity Passenger Rail Operating Fund, and Commonwealth Mass Transit Fund. For a detailed breakdown of such distributions, see prior annual reports. Pursuant to 2020 HB 1414 and SB 890 (2020 Acts of Assembly, Chapters ___ and ___), such funding was distributed solely to the Commonwealth Transportation Fund, effective July 1, 2021. </t>
  </si>
  <si>
    <r>
      <t>Directory</t>
    </r>
    <r>
      <rPr>
        <sz val="10"/>
        <rFont val="Arial"/>
        <family val="2"/>
      </rPr>
      <t xml:space="preserve"> ……………………………………...……………………....………………….……………………………………………………………………….…………………..……………………………..    </t>
    </r>
  </si>
  <si>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</si>
  <si>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</si>
  <si>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</si>
  <si>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xml:space="preserve"> Share of 
State Tax</t>
  </si>
  <si>
    <t>Total 
Amount</t>
  </si>
  <si>
    <t>Tax Exempt to Total FMV</t>
  </si>
  <si>
    <t>Fair Market Value 
Real Estate</t>
  </si>
  <si>
    <t>Total FMV 
(Real Estate &amp; Tax Exempt)</t>
  </si>
  <si>
    <t>Taxes Lost 
Due to Exemptions</t>
  </si>
  <si>
    <t>2016</t>
  </si>
  <si>
    <t>2017</t>
  </si>
  <si>
    <t>2018</t>
  </si>
  <si>
    <t>2019</t>
  </si>
  <si>
    <t>2021</t>
  </si>
  <si>
    <t>56  Administrative, Support, Waste Management, &amp; Remediation Services</t>
  </si>
  <si>
    <t>2. Contributions are reported by taxable year for returns that are processed during the subsequent calendar year. For example, contributions reported for Taxable Year 2020 are from all returns processed in calendar year 2021. The majority of returns processed in calendar year 2021 are for TY 2020; however, some returns from previous taxable years maybe included.</t>
  </si>
  <si>
    <r>
      <t xml:space="preserve">Insurance Premiums License Tax: </t>
    </r>
    <r>
      <rPr>
        <sz val="12"/>
        <rFont val="Arial"/>
        <family val="2"/>
      </rPr>
      <t>Number of Returns, Taxable Premium Income, and Tax Liability</t>
    </r>
  </si>
  <si>
    <t>Based on tax returns filed for Taxable Year 2021</t>
  </si>
  <si>
    <r>
      <t xml:space="preserve">Insurance Companies </t>
    </r>
    <r>
      <rPr>
        <sz val="10"/>
        <rFont val="Arial"/>
        <family val="2"/>
      </rPr>
      <t xml:space="preserve">(Form 800) </t>
    </r>
  </si>
  <si>
    <r>
      <t>Surplus Lines Brokers</t>
    </r>
    <r>
      <rPr>
        <sz val="10"/>
        <rFont val="Arial"/>
        <family val="2"/>
      </rPr>
      <t xml:space="preserve"> (Form 802) </t>
    </r>
  </si>
  <si>
    <t xml:space="preserve">Taxable Premium Income Reported for Virginia </t>
  </si>
  <si>
    <t>Taxable 
Premium Income</t>
  </si>
  <si>
    <t>Tax 
Assessed</t>
  </si>
  <si>
    <t>Percent of Total (Tax)</t>
  </si>
  <si>
    <t>Fiscal Year 
2022</t>
  </si>
  <si>
    <t>Local Sales Tax Distribution - Fiscal Year 2022</t>
  </si>
  <si>
    <t>Based on returns filed for Taxable Year 2020*</t>
  </si>
  <si>
    <t>Number of  Corporate Returns</t>
  </si>
  <si>
    <t>Reported Taxable Income From Virginia Sources</t>
  </si>
  <si>
    <t>Taxable 
Income</t>
  </si>
  <si>
    <t>Percent 
of Total</t>
  </si>
  <si>
    <t>Number of Payments</t>
  </si>
  <si>
    <t>1. The Refund Match program automatically matches an overpayment on a taxpayer's return to any outstanding tax due to the Department of Taxation, with the exception of fiduciary and estate tax accounts.</t>
  </si>
  <si>
    <t>Taxed at 2% Rate</t>
  </si>
  <si>
    <t>Taxed at 3% Rate</t>
  </si>
  <si>
    <t>Taxed at 5% Rate</t>
  </si>
  <si>
    <t>Taxed at 5.75% Rate</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</si>
  <si>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</si>
  <si>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</si>
  <si>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</si>
  <si>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</si>
  <si>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</si>
  <si>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</si>
  <si>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</si>
  <si>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</si>
  <si>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</si>
  <si>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</si>
  <si>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</si>
  <si>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</si>
  <si>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</si>
  <si>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</si>
  <si>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</si>
  <si>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</si>
  <si>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</si>
  <si>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</si>
  <si>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</si>
  <si>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</si>
  <si>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</si>
  <si>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</si>
  <si>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</si>
  <si>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</si>
  <si>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</si>
  <si>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</si>
  <si>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</si>
  <si>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</si>
  <si>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</si>
  <si>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</si>
  <si>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</si>
  <si>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</si>
  <si>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</si>
  <si>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</si>
  <si>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</si>
  <si>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</si>
  <si>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</si>
  <si>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</si>
  <si>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</si>
  <si>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</si>
  <si>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</si>
  <si>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</si>
  <si>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</si>
  <si>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</si>
  <si>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</si>
  <si>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</si>
  <si>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</si>
  <si>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</si>
  <si>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</si>
  <si>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</si>
  <si>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</si>
  <si>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</si>
  <si>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</si>
  <si>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</si>
  <si>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</si>
  <si>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</si>
  <si>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</si>
  <si>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</si>
  <si>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</si>
  <si>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</si>
  <si>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</si>
  <si>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</si>
  <si>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</si>
  <si>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</si>
  <si>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</si>
  <si>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</si>
  <si>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</si>
  <si>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</si>
  <si>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</si>
  <si>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</si>
  <si>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</si>
  <si>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</si>
  <si>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</si>
  <si>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</si>
  <si>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</si>
  <si>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</si>
  <si>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</si>
  <si>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</si>
  <si>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</si>
  <si>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</si>
  <si>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</si>
  <si>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</si>
  <si>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</si>
  <si>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</si>
  <si>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</si>
  <si>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</si>
  <si>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</si>
  <si>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</si>
  <si>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</si>
  <si>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</si>
  <si>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</si>
  <si>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</si>
  <si>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</si>
  <si>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</si>
  <si>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</si>
  <si>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</si>
  <si>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</si>
  <si>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</si>
  <si>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</si>
  <si>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</si>
  <si>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</si>
  <si>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</si>
  <si>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</si>
  <si>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</si>
  <si>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</si>
  <si>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</si>
  <si>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</si>
  <si>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</si>
  <si>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</si>
  <si>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</si>
  <si>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</si>
  <si>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</si>
  <si>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</si>
  <si>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</si>
  <si>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</si>
  <si>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</si>
  <si>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</si>
  <si>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</si>
  <si>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</si>
  <si>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</si>
  <si>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</si>
  <si>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</si>
  <si>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</si>
  <si>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</si>
  <si>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</si>
  <si>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</si>
  <si>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</si>
  <si>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</si>
  <si>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</si>
  <si>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</si>
  <si>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</si>
  <si>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</si>
  <si>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</si>
  <si>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00300</t>
  </si>
  <si>
    <t>Taxable Year 2020</t>
  </si>
  <si>
    <t>Total 
Returns</t>
  </si>
  <si>
    <t>Married 
Filing Joint</t>
  </si>
  <si>
    <t>Married 
Filing Separately</t>
  </si>
  <si>
    <t>$5,000 to $9,999</t>
  </si>
  <si>
    <t>$10,000 to $14,999</t>
  </si>
  <si>
    <t>$15,000 to $19,999</t>
  </si>
  <si>
    <t>$20,000 to $24,999</t>
  </si>
  <si>
    <t>$25,000 to $29,999</t>
  </si>
  <si>
    <t>$30,000 to $39,999</t>
  </si>
  <si>
    <t>$40,000 to $49,999</t>
  </si>
  <si>
    <t>$50,000 to $74,999</t>
  </si>
  <si>
    <t>$75,000 to $99,999</t>
  </si>
  <si>
    <t>$100,000 and Over</t>
  </si>
  <si>
    <t>Total Adjusted Gross Income</t>
  </si>
  <si>
    <t>Adjusted Gross Income Classes</t>
  </si>
  <si>
    <t>Exemptions Claimed ($)</t>
  </si>
  <si>
    <t>Itemized Deductions Claimed ($)</t>
  </si>
  <si>
    <t>Standard Deductions  Claimed ($)</t>
  </si>
  <si>
    <t>Total Deductions Claimed ($)</t>
  </si>
  <si>
    <t>Total Taxable Income</t>
  </si>
  <si>
    <t>Total Tax Liability</t>
  </si>
  <si>
    <t>Average Tax Rate</t>
  </si>
  <si>
    <t xml:space="preserve">Data source: Net Revenue Collections are from Revenue Status Report RGL008 from Cardinal financial reporting system, Commonwealth of Virginia; </t>
  </si>
  <si>
    <t xml:space="preserve">Data source: Tax Department GF expenditures are from Revenue Status Report RGL006 from Cardinal financial reporting system, Commonwealth of Virginia; </t>
  </si>
  <si>
    <t>Data source: SLEAC expenditures excluded from Tax expenditures are provided by request from Revenue Accounting, Department of Taxation</t>
  </si>
  <si>
    <t>FY 2022</t>
  </si>
  <si>
    <t>Bank Franchise Tax Assessment Tax Statement - Fiscal Year 2022</t>
  </si>
  <si>
    <t>Expenditures on behalf of SLEAC were $93,079 in FY 2021 and $117,191 in FY 2022.</t>
  </si>
  <si>
    <t>Data source: Data pull from Virgina Tax system using SQL code provided by Rose Curtin for Additional Tax Certain Localities</t>
  </si>
  <si>
    <t xml:space="preserve">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The blended rate was: 5.69% in FY 2020; 5.737% in FY 2021; 5.783% in FY 2022; </t>
  </si>
  <si>
    <t xml:space="preserve">1. Number of returns and amounts are for income tax returns processed during FY 2022, regardless of taxable year.  For most credits, returns for multiple taxable years were processed during the fiscal year.  The total for each return may include carryovers from prior years.   </t>
  </si>
  <si>
    <t>*  Number of returns for this credit is not available for release because fewer than four returns claiming the credit were processed in FY 2022.</t>
  </si>
  <si>
    <t>Conservation Tillage Equipment Credit</t>
  </si>
  <si>
    <t>Advanced Technology Pesticide &amp; Fertilizer Application Equipment Credit</t>
  </si>
  <si>
    <t>Coalfield Employment Enhancement Tax Credit (Refundable)</t>
  </si>
  <si>
    <t>Agricultural Best Management Practices Tax Credit</t>
  </si>
  <si>
    <t>Waste Motor Oil Burning Equipment Credit</t>
  </si>
  <si>
    <t>Recyclable Materials Processing Equipment Credit</t>
  </si>
  <si>
    <t>Virginia Coal Employment and Production Incentive Tax Credit</t>
  </si>
  <si>
    <t>Riparian Forest Buffer Protection for Waterways Tax Credit</t>
  </si>
  <si>
    <t>Research and Development Expenses Tax Credit (refundable)</t>
  </si>
  <si>
    <t>§ 58.1-337</t>
  </si>
  <si>
    <t>Conservation Tillage and Precision Agriculture Equipment Tax Credit</t>
  </si>
  <si>
    <t>2020 (effective 2021)</t>
  </si>
  <si>
    <t>Tax Credits:  Individual and Corporate Income Tax, Insurance Premium License Tax, and Bank Franchise Tax</t>
  </si>
  <si>
    <r>
      <t xml:space="preserve"> For Returns Processed During Fiscal Year 2022, </t>
    </r>
    <r>
      <rPr>
        <sz val="11"/>
        <color theme="0" tint="-0.499984740745262"/>
        <rFont val="Arial"/>
        <family val="2"/>
      </rPr>
      <t>Sorted by Year Enacted</t>
    </r>
  </si>
  <si>
    <t>Insurance Tax Credits Claimed on Returns Processed during FY 2022</t>
  </si>
  <si>
    <t>Real Estate Fair Market Value (FMV), Fair Market Value (Taxable), and Local Levy by Locality - Tax Year 2021</t>
  </si>
  <si>
    <t>Comparison of Tax Exempt Value to Total Fair Market Value (FMV) of Real Estate by Locality - Tax Year 2021</t>
  </si>
  <si>
    <t>13. For FY 2020 and prior years, the HMO fund amounts have been adjusted to include all SUT revenue deposited in the HMO fund; for this reason, the HMOF numbers reported in prior years may differ.</t>
  </si>
  <si>
    <t>FISCAL YEAR 2022</t>
  </si>
  <si>
    <t>The Honorable Glenn Youngkin, Governor</t>
  </si>
  <si>
    <t>The Honorable Stephen E. Cummings, Secretary of Finance</t>
  </si>
  <si>
    <t>Voluntary Contributions by Taxable Year</t>
  </si>
  <si>
    <r>
      <t xml:space="preserve">Corporate Income Tax: </t>
    </r>
    <r>
      <rPr>
        <sz val="12"/>
        <rFont val="Arial"/>
        <family val="2"/>
      </rPr>
      <t>Number of Returns, Taxable Income, and Tax Liability</t>
    </r>
  </si>
  <si>
    <t>Tangible Personal Property, Machinery &amp; Tools, Merchants' Capital, and Public Service Corporations: Assessed Values &amp; Levies by Locality - Tax Year 2021</t>
  </si>
  <si>
    <t>except where noted in "Net Revenue Collections After Refunds by Tax Type" table</t>
  </si>
  <si>
    <t>The Transportation SUT revenues are as compiled in Table 4.1</t>
  </si>
  <si>
    <r>
      <t xml:space="preserve"># </t>
    </r>
    <r>
      <rPr>
        <sz val="9"/>
        <color theme="1" tint="0.14999847407452621"/>
        <rFont val="Arial Narrow"/>
        <family val="2"/>
      </rPr>
      <t>The Department of Taxation is custodian of the funds appropriated to the State Land Evaluation Advisory</t>
    </r>
  </si>
  <si>
    <r>
      <t xml:space="preserve">7. Total deductions represents standard and itemized deduction and does not include other deductions in </t>
    </r>
    <r>
      <rPr>
        <i/>
        <sz val="9"/>
        <color theme="1" tint="0.14999847407452621"/>
        <rFont val="Arial Narrow"/>
        <family val="2"/>
      </rPr>
      <t xml:space="preserve">Va. Code § </t>
    </r>
    <r>
      <rPr>
        <sz val="9"/>
        <color theme="1" tint="0.14999847407452621"/>
        <rFont val="Arial Narrow"/>
        <family val="2"/>
      </rPr>
      <t xml:space="preserve"> 58.1-322.03.</t>
    </r>
  </si>
  <si>
    <t>3. Effective January 1, 2014, the General Assembly enacted legislation that allowed an individual to designate their individual income tax refund, or a portion thereof, to be deposited into one or more Virginia College Savings Plan accounts (Virginia 529).</t>
  </si>
  <si>
    <r>
      <t xml:space="preserve">* Contributions to political parties are limited to $25 ($50 on a joint return), see </t>
    </r>
    <r>
      <rPr>
        <i/>
        <sz val="9"/>
        <color theme="1" tint="0.14999847407452621"/>
        <rFont val="Arial Narrow"/>
        <family val="2"/>
      </rPr>
      <t>Va. Code §</t>
    </r>
    <r>
      <rPr>
        <sz val="9"/>
        <color theme="1" tint="0.14999847407452621"/>
        <rFont val="Arial Narrow"/>
        <family val="2"/>
      </rPr>
      <t xml:space="preserve">  58.1-344.3 (B) (3).  </t>
    </r>
  </si>
  <si>
    <r>
      <t xml:space="preserve"># </t>
    </r>
    <r>
      <rPr>
        <sz val="9"/>
        <color theme="1" tint="0.14999847407452621"/>
        <rFont val="Arial Narrow"/>
        <family val="2"/>
      </rPr>
      <t>These organizations were removed from the 2016 Virginia Individual Income Tax return with the exception of 'Home Energy Assistance,' which was removed from the 2017 tax return. Amounts reported for 2020 represent contributions made on returns filed for prior years and processed in the 2021 calendar year.</t>
    </r>
  </si>
  <si>
    <t xml:space="preserve">5. Pass-through entities such as S corporations, partnerships and limited liability companies generally file Form 502. Any income flows through to owners of each pass-through entity and they report all taxable income on their tax returns. </t>
  </si>
  <si>
    <t xml:space="preserve"> 6. The state tax on unprepared food for human consumption was reduced from 3.5 % to 3.0 % on January 1, 2000; reduced to 1.5 % on July 1, 2005; and eliminated effective January 1, 2023</t>
  </si>
  <si>
    <t>10. Effective FY 2010, dealers with annual taxable sales above a $1 million threshold were required to make a June payment equal to 90% of their sales and use tax liability for the previous June. The threshold was raised to $10 million for the payment due June 2021.  This accelerated June payment was eliminated for the payment due June 2022.</t>
  </si>
  <si>
    <t>11. Prior to FY 2017, the Commonwealth Accounting and Reporting System (CARS) was the data source for net revenue collections. Effective with FY 2017, the Revenue Status Report from the Cardinal financial system is the data source for net revenue collections. The exception is Additional Tax Certain Localities, which requires a custom report.</t>
  </si>
  <si>
    <t>15. Certain localities have statutory authority to levy an additional sales and use tax of up to one percent. Halifax (effective July 1, 2020) and Henry (effective April 1, 2021) counties were the first to impose this tax followed by Charlotte, Gloucester, Northampton, and Patrick counties in FY 2022.</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</si>
  <si>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9"/>
        <color theme="1" tint="0.14999847407452621"/>
        <rFont val="Arial Narrow"/>
        <family val="2"/>
      </rPr>
      <t>Acts of Assembly</t>
    </r>
    <r>
      <rPr>
        <sz val="9"/>
        <color theme="1" tint="0.14999847407452621"/>
        <rFont val="Arial Narrow"/>
        <family val="2"/>
      </rPr>
      <t xml:space="preserve">. </t>
    </r>
  </si>
  <si>
    <t>Insurance Premiums</t>
  </si>
  <si>
    <t>Suits &amp;</t>
  </si>
  <si>
    <t>Wills</t>
  </si>
  <si>
    <t xml:space="preserve">Notes: </t>
  </si>
  <si>
    <t>Tire Recycling</t>
  </si>
  <si>
    <t>Egg Excise</t>
  </si>
  <si>
    <t>Peanut Excise</t>
  </si>
  <si>
    <t>Aircraft Tax</t>
  </si>
  <si>
    <r>
      <t>Other Tobacco 
Products</t>
    </r>
    <r>
      <rPr>
        <b/>
        <sz val="10"/>
        <color theme="0"/>
        <rFont val="Arial"/>
        <family val="2"/>
      </rPr>
      <t>__</t>
    </r>
  </si>
  <si>
    <t>Corn Tax</t>
  </si>
  <si>
    <t>Cotton Tax</t>
  </si>
  <si>
    <t>Small Grains</t>
  </si>
  <si>
    <t>Litter Tax</t>
  </si>
  <si>
    <t>Sheep Tax</t>
  </si>
  <si>
    <t>Apple Tax</t>
  </si>
  <si>
    <t>Soft Drink 
Excise Tax</t>
  </si>
  <si>
    <r>
      <t>Soybean Excise</t>
    </r>
    <r>
      <rPr>
        <b/>
        <sz val="10"/>
        <color theme="0"/>
        <rFont val="Arial"/>
        <family val="2"/>
      </rPr>
      <t>_</t>
    </r>
  </si>
  <si>
    <t>Communications Sales Tax Distributions, Fiscal Year 2022</t>
  </si>
  <si>
    <t>3. The distributions for FY 2022 were based on collections for May 2021 through April 2022.</t>
  </si>
  <si>
    <t xml:space="preserve">7. The amount of insurance tax credits reported is for returns processed during FY 2022, regardless of taxable year. This table only lists insurance tax credits claimed for FY 2022 that were greater than zero.   </t>
  </si>
  <si>
    <t>Chesapeake*</t>
  </si>
  <si>
    <t>Falls Church *</t>
  </si>
  <si>
    <t>Hampton *</t>
  </si>
  <si>
    <t>Harrisonburg  *</t>
  </si>
  <si>
    <t>Manassas  *</t>
  </si>
  <si>
    <t xml:space="preserve">Manassas Park  </t>
  </si>
  <si>
    <t>Martinsville *</t>
  </si>
  <si>
    <t>Petersburg *</t>
  </si>
  <si>
    <t xml:space="preserve">Poquoson  </t>
  </si>
  <si>
    <t>Roanoke *</t>
  </si>
  <si>
    <t>Salem *</t>
  </si>
  <si>
    <t>Suffolk *</t>
  </si>
  <si>
    <t>Powhatan **</t>
  </si>
  <si>
    <t>Prince George *</t>
  </si>
  <si>
    <t>James City *</t>
  </si>
  <si>
    <t>Bath *</t>
  </si>
  <si>
    <t>Charles City*</t>
  </si>
  <si>
    <t xml:space="preserve">Fairfax County </t>
  </si>
  <si>
    <t>2. Taxable fair market value is the total fair market of real estate minus the special assessment for land preservation (Code of Virginia, Section 58.1-3230).</t>
  </si>
  <si>
    <t>3. The taxable fair market value is equal to the total fair market value for localities which do not have a special assessment for land preservation.</t>
  </si>
  <si>
    <t>2. A local license tax may be imposed on gross receipts under the Code of Virginia, Section 58.1-3706.</t>
  </si>
  <si>
    <t>** 2021 TPP incomplete. Used last reported data of 2020</t>
  </si>
  <si>
    <t>*2021 TPP incomplete. Used last reported data of 2019 for Machinery and Tools.  Tangible Personal Property and Public Service Corporations as of 2021</t>
  </si>
  <si>
    <t xml:space="preserve">Richmond  County </t>
  </si>
  <si>
    <t>Clarke **</t>
  </si>
  <si>
    <t>* Reports on a "hybrid" cycle, in which the tax assessment cycle differs from the tax billing cycle.</t>
  </si>
  <si>
    <t>**Powhatan County is converting from a hybrid to a calendar cycle.  Its 2021 tax levy is a 1/2 year collection.</t>
  </si>
  <si>
    <t>2. The data source for net revenue collections is the Revenue Status Report from the Cardinal financial system,</t>
  </si>
  <si>
    <t>5. Bank Franchise revenue is the total as reported in Table 5.3; it is not taken from the Revenue Status Report in the Cardinal financial system.</t>
  </si>
  <si>
    <t>2. Prior to FY 2017, the Commonwealth Accounting and Reporting System was the data source for Corporate Income Tax revenue. Effective with FY 2017, the data source is the Revenue Status Report from the Cardinal financial system.</t>
  </si>
  <si>
    <t xml:space="preserve">Nonprofit Organization Tax Exemption Annual Report By Fiscal Year </t>
  </si>
  <si>
    <t>License Tax</t>
  </si>
  <si>
    <t>Forest Products</t>
  </si>
  <si>
    <t>6. Starting in FY 2021, state transportation SUT revenues have been consolidated in the Commonwealth Transportation Fund per legislation.</t>
  </si>
  <si>
    <t>*</t>
  </si>
  <si>
    <t>Amount *</t>
  </si>
  <si>
    <t>*Note that the 2019 Amounts for Counties, Cities, and Towns have been corrected to reflect Finalized Claims excluding administrative costs</t>
  </si>
  <si>
    <r>
      <t>State Sales &amp; Use Tax (transportation funds)</t>
    </r>
    <r>
      <rPr>
        <sz val="12"/>
        <rFont val="Calibri"/>
        <family val="2"/>
      </rPr>
      <t>⁶</t>
    </r>
  </si>
  <si>
    <r>
      <t>Bank Franchise (less credits)</t>
    </r>
    <r>
      <rPr>
        <sz val="12"/>
        <rFont val="Calibri"/>
        <family val="2"/>
      </rPr>
      <t>⁵</t>
    </r>
  </si>
  <si>
    <t>http://www.tax.virginia.gov</t>
  </si>
  <si>
    <t>This report was prepared by:</t>
  </si>
  <si>
    <t>http://www.coopercenter.org</t>
  </si>
  <si>
    <t>Other economic and demographic data is available from the University of Virginia's Weldon Cooper Center for Public Service, which can be reached by telephone at (434) 243-5232 or online at:</t>
  </si>
  <si>
    <t xml:space="preserve">3. Insurance companies are subject to tax on their gross premium income. Depending on the line(s) of insurance from which the premiums were derived, the tax rates for taxable year 2021 were 2.25% and 1.00%. Surplus lines brokers are required to pay the tax on each policy of insurance they produce during the preceding calendar year with an insurer that is not licensed to conduct business in Virginia. Surplus lines brokers are subject to a rate of 2.25%. </t>
  </si>
  <si>
    <t xml:space="preserve">1. The figures stated above are net of refunds.  </t>
  </si>
  <si>
    <t>3. The tax on suits is $5 for debts under $50,000, $15 for debts $50,000 and greater but not exceeding $100,000, and $25 for debts $100,000 and greater.  Prior to July 1, 2007, Virginia had an estate tax that was equal to the federal credit for state death taxes. With the elimination of the federal credit, the Virginia estate tax was effectively repealed.</t>
  </si>
  <si>
    <t>1. The Tire Recycling Fee is imposed at a rate of 50 cents per tire. All revenues from the fee are deposited into the Waste Tire Trust Fund.</t>
  </si>
  <si>
    <t>2. This tax is collected from consumers by their service providers and remitted to the Department of Taxation on a monthly basis.  In cases where a consumer purchases taxable communications services and no tax is collected from the consumer on the purchase by the provider, the consumer is responsible for paying a communications use tax.</t>
  </si>
  <si>
    <t xml:space="preserve">2. For insurance companies, taxable premium income means direct premium income allocated to Virginia after taking into account any adjustments. For surplus lines brokers, taxable premium income is premium income from policies for insureds whose home state is Virginia after taking into account any additional or returned premiums. </t>
  </si>
  <si>
    <t xml:space="preserve">1. The Department’s estimate of annual revenue impact of the nonprofit entity exemption is based on the amounts of exempt purchases reported to the Department by nonprofit entities on their applications for a new or renewed exemption under Va. Code § 58.1-609.11.    </t>
  </si>
  <si>
    <r>
      <t>Additional Tax Certain Localities¹</t>
    </r>
    <r>
      <rPr>
        <b/>
        <sz val="9"/>
        <rFont val="Calibri"/>
        <family val="2"/>
      </rPr>
      <t>⁵</t>
    </r>
  </si>
  <si>
    <t>2. One-half of the (Recordation &amp; Deeds) revenues from the additional grantor's tax imposed at a rate of 50 cents on every $500 of value are deposited into the General Fund and one-half are deposited into the treasury of the locality. Effective July 1, 2013, a regional congestion fee is imposed at the rate of $0.15 per $100 in the Northern Virginia Region.  Effective July 1, 2020, the regional congestion fee was replaced with a regional WMATA capital fee of $0.10 per $100 in any county or city that is a member of the Northern Virginia Transportation Authority  and a regional congestion relief fee of $0.10 per $100 in any county or city that is a member of Planning District 8.</t>
  </si>
  <si>
    <t>Cattle Tax</t>
  </si>
  <si>
    <t/>
  </si>
  <si>
    <t>8. The Virginia Department of Taxation began collecting the Cattle Tax Assessment in FY 2019 pursuant to 2018 Senate Bill 374 (Chapter 469, 2018 Acts of Assembly).</t>
  </si>
  <si>
    <t>7. The Virginia Department of Taxation began collecting the Cattle Tax Assessment in FY 2019 pursuant to 2018 Senate Bill 374 (Chapter 469, 2018 Acts of Assembly).</t>
  </si>
  <si>
    <t>Ck shares</t>
  </si>
  <si>
    <t>General Fund (TAX)</t>
  </si>
  <si>
    <t>Non-General Fund (TAX)</t>
  </si>
  <si>
    <t>General Fund (Other Agencies)</t>
  </si>
  <si>
    <t>Non-General Fund (Other Agencies)</t>
  </si>
  <si>
    <t>Ck Shares</t>
  </si>
  <si>
    <t xml:space="preserve"> </t>
  </si>
  <si>
    <t xml:space="preserve">1. The administration and collection of Insurance Premiums License Tax was transferred from SCC's Bureau of Insurance to the Department of Taxation effective for taxable years beginning on or after January 1, 2013. </t>
  </si>
  <si>
    <t>2020*</t>
  </si>
  <si>
    <t>* 2020 revised upward because data was erroneously excluded from "Not Categorized"</t>
  </si>
  <si>
    <t>9. The corn assessment is imposed at the rate of 1 cent per bushel.  All revenues from the tax are deposited into the Virginia Corn Fund.</t>
  </si>
  <si>
    <t>10. The cotton assessment is imposed at the rate of 95 cents per bale.  All revenues from the tax are deposited into the Virginia Cotton Fund.</t>
  </si>
  <si>
    <t>11. The small grains assessment is imposed at the rate of one-half of one percent (.005) of the net selling price per bushel.  All revenues from the tax are deposited into the Virginia Small Grains Fund.</t>
  </si>
  <si>
    <t>12. The forest products tax is imposed at different rates based on the type of product.  Revenues from the tax are deposited into the Reforestation of Timberlands State Fund and the Protection and Development of Forest Resources State Fund.</t>
  </si>
  <si>
    <t>13. The soft drink excise tax is imposed on wholesalers or distributors of carbonated soft drinks on a sliding scale based on gross receipts.  The tax revenues is deposited into the Litter Control and Recycling Fund.</t>
  </si>
  <si>
    <t>14. Legislation effective July 1, 2020 changed the litter tax to $20 per establishment operated by a manufacturer, wholesaler or retailer. An additional annual tax of $30 per establishment is to be paid by businesses making or distributing certain product categories (i.e., groceries, soft drinks/carbonated beverages, and beer). A penalty of $100 plus an amount equal to the tax due is imposed on all delinquent taxes.</t>
  </si>
  <si>
    <t>15. The sheep assessment is imposed at the rate of 50 cents per head.  All revenues from the tax are deposited into the Virginia Sheep Industry Promotion and Development Fund.</t>
  </si>
  <si>
    <t>16. The apple excise tax is 2.5 cents per tree run bushel of ungraded apples grown in the Commonwealth. Revenues from the tax are deposited into the Apple Fund.</t>
  </si>
  <si>
    <t>* This table is not comparable to equivalent tables in annual reports prior to FY 2006.  Returns are selected for inclusion on this table if the tax reporting period on the return began in 2020.  Reports prior to FY 2006 selected returns based on the state fiscal year in which they were received.</t>
  </si>
  <si>
    <t xml:space="preserve">2. The primary source for these expenditures is report RGL008 (Statement of Appropriations, Allotments, and Expenditures) from the Cardinal financial system. </t>
  </si>
  <si>
    <t>The expenditures on behalf of SLEAC are provided by the Fiscal Office, Virginia Department of Taxation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</si>
</sst>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 numFmtId="180" formatCode="#,##0;\-#,##0;0"/>
  </numFmts>
  <fonts count="195">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sz val="10"/>
      <name val="Bookman Old Style"/>
      <family val="1"/>
    </font>
    <font>
      <sz val="10"/>
      <color indexed="8"/>
      <name val="Arial"/>
      <family val="2"/>
    </font>
    <font>
      <b/>
      <u/>
      <sz val="10"/>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u/>
      <sz val="10"/>
      <color theme="10"/>
      <name val="Arial"/>
      <family val="2"/>
    </font>
    <font>
      <sz val="11"/>
      <color theme="1"/>
      <name val="Arial"/>
      <family val="2"/>
    </font>
    <font>
      <sz val="10"/>
      <color theme="1"/>
      <name val="COUR"/>
    </font>
    <font>
      <sz val="10"/>
      <color theme="0" tint="-0.499984740745262"/>
      <name val="Arial"/>
      <family val="2"/>
    </font>
    <font>
      <sz val="10"/>
      <color rgb="FFC00000"/>
      <name val="Arial "/>
      <family val="2"/>
    </font>
    <font>
      <sz val="12"/>
      <color theme="0" tint="-0.499984740745262"/>
      <name val="Arial"/>
      <family val="2"/>
    </font>
    <font>
      <sz val="10"/>
      <color theme="0" tint="-0.499984740745262"/>
      <name val="Arial "/>
      <family val="2"/>
    </font>
    <font>
      <sz val="10"/>
      <name val="Segoe UI"/>
      <family val="2"/>
    </font>
    <font>
      <b/>
      <sz val="9"/>
      <color theme="0" tint="-0.499984740745262"/>
      <name val="Arial"/>
      <family val="2"/>
    </font>
    <font>
      <b/>
      <sz val="10"/>
      <color theme="0" tint="-0.499984740745262"/>
      <name val="Arial"/>
      <family val="2"/>
    </font>
    <font>
      <i/>
      <sz val="12"/>
      <color theme="0"/>
      <name val="Arial"/>
      <family val="2"/>
    </font>
    <font>
      <i/>
      <sz val="10"/>
      <color theme="0" tint="-0.249977111117893"/>
      <name val="Arial"/>
      <family val="2"/>
    </font>
    <font>
      <sz val="12"/>
      <color theme="0" tint="-0.249977111117893"/>
      <name val="Arial"/>
      <family val="2"/>
    </font>
    <font>
      <sz val="10"/>
      <color rgb="FFFFFFFF"/>
      <name val="Arial"/>
      <family val="2"/>
    </font>
    <font>
      <vertAlign val="superscript"/>
      <sz val="10"/>
      <color indexed="8"/>
      <name val="Arial"/>
      <family val="2"/>
    </font>
    <font>
      <i/>
      <sz val="12"/>
      <color theme="0" tint="-0.249977111117893"/>
      <name val="Arial"/>
      <family val="2"/>
    </font>
    <font>
      <sz val="10"/>
      <color theme="0" tint="-0.249977111117893"/>
      <name val="Arial"/>
      <family val="2"/>
    </font>
    <font>
      <i/>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sz val="12"/>
      <color theme="0" tint="-0.34998626667073579"/>
      <name val="Arial"/>
      <family val="2"/>
    </font>
    <font>
      <sz val="9"/>
      <color rgb="FFFFFFFF"/>
      <name val="Arial"/>
      <family val="2"/>
    </font>
    <font>
      <b/>
      <sz val="12"/>
      <color theme="0"/>
      <name val="Arial"/>
      <family val="2"/>
    </font>
    <font>
      <i/>
      <sz val="12"/>
      <color theme="0" tint="-0.499984740745262"/>
      <name val="Arial"/>
      <family val="2"/>
    </font>
    <font>
      <i/>
      <sz val="9"/>
      <color theme="0"/>
      <name val="Arial"/>
      <family val="2"/>
    </font>
    <font>
      <b/>
      <sz val="12"/>
      <color theme="0" tint="-0.499984740745262"/>
      <name val="Arial"/>
      <family val="2"/>
    </font>
    <font>
      <b/>
      <sz val="9"/>
      <color theme="0"/>
      <name val="Arial"/>
      <family val="2"/>
    </font>
    <font>
      <sz val="8"/>
      <color theme="0" tint="-0.499984740745262"/>
      <name val="Arial"/>
      <family val="2"/>
    </font>
    <font>
      <sz val="10"/>
      <name val="Arial Narrow"/>
      <family val="2"/>
    </font>
    <font>
      <sz val="10"/>
      <color theme="1"/>
      <name val="Arial Narrow"/>
      <family val="2"/>
    </font>
    <font>
      <sz val="9"/>
      <name val="Arial Narrow"/>
      <family val="2"/>
    </font>
    <font>
      <b/>
      <sz val="10"/>
      <color theme="0" tint="-0.499984740745262"/>
      <name val="Arial Narrow"/>
      <family val="2"/>
    </font>
    <font>
      <b/>
      <sz val="10"/>
      <name val="Arial Narrow"/>
      <family val="2"/>
    </font>
    <font>
      <sz val="10"/>
      <color theme="0" tint="-0.499984740745262"/>
      <name val="Arial Narrow"/>
      <family val="2"/>
    </font>
    <font>
      <sz val="10"/>
      <color theme="0"/>
      <name val="Arial Narrow"/>
      <family val="2"/>
    </font>
    <font>
      <b/>
      <sz val="9"/>
      <name val="Arial Narrow"/>
      <family val="2"/>
    </font>
    <font>
      <sz val="10"/>
      <color theme="0" tint="-0.499984740745262"/>
      <name val="Bookman Old Style"/>
      <family val="1"/>
    </font>
    <font>
      <sz val="9"/>
      <color rgb="FF0070C0"/>
      <name val="Arial Narrow"/>
      <family val="2"/>
    </font>
    <font>
      <sz val="9"/>
      <color indexed="81"/>
      <name val="Tahoma"/>
      <family val="2"/>
    </font>
    <font>
      <b/>
      <sz val="9"/>
      <color indexed="81"/>
      <name val="Tahoma"/>
      <family val="2"/>
    </font>
    <font>
      <sz val="12"/>
      <color theme="0" tint="-0.499984740745262"/>
      <name val="COUR"/>
    </font>
    <font>
      <sz val="9"/>
      <color indexed="10"/>
      <name val="Tahoma"/>
      <family val="2"/>
    </font>
    <font>
      <sz val="10"/>
      <color rgb="FFC00000"/>
      <name val="Arial Narrow"/>
      <family val="2"/>
    </font>
    <font>
      <sz val="10"/>
      <color theme="0" tint="-0.34998626667073579"/>
      <name val="Arial Narrow"/>
      <family val="2"/>
    </font>
    <font>
      <sz val="12"/>
      <color rgb="FF0070C0"/>
      <name val="Arial"/>
      <family val="2"/>
    </font>
    <font>
      <sz val="10"/>
      <color theme="0" tint="-0.499984740745262"/>
      <name val="COUR"/>
    </font>
    <font>
      <sz val="10"/>
      <color rgb="FF0070C0"/>
      <name val="Arial"/>
      <family val="2"/>
    </font>
    <font>
      <b/>
      <sz val="9"/>
      <color rgb="FFFF0000"/>
      <name val="Calibri"/>
      <family val="2"/>
    </font>
    <font>
      <sz val="12"/>
      <color theme="0" tint="-0.34998626667073579"/>
      <name val="Arial Narrow"/>
      <family val="2"/>
    </font>
    <font>
      <b/>
      <sz val="9"/>
      <color rgb="FFFF0000"/>
      <name val="Arial"/>
      <family val="2"/>
    </font>
    <font>
      <u/>
      <sz val="10"/>
      <color rgb="FFC00000"/>
      <name val="Arial Narrow"/>
      <family val="2"/>
    </font>
    <font>
      <b/>
      <sz val="10"/>
      <color rgb="FFC00000"/>
      <name val="Arial Narrow"/>
      <family val="2"/>
    </font>
    <font>
      <u/>
      <sz val="10"/>
      <name val="Arial Narrow"/>
      <family val="2"/>
    </font>
    <font>
      <sz val="9"/>
      <color theme="3"/>
      <name val="Arial"/>
      <family val="2"/>
    </font>
    <font>
      <b/>
      <sz val="11"/>
      <color theme="0" tint="-0.499984740745262"/>
      <name val="Arial"/>
      <family val="2"/>
    </font>
    <font>
      <b/>
      <u/>
      <sz val="9"/>
      <color theme="0" tint="-0.499984740745262"/>
      <name val="Arial"/>
      <family val="2"/>
    </font>
    <font>
      <sz val="9"/>
      <color theme="4" tint="-0.499984740745262"/>
      <name val="Arial"/>
      <family val="2"/>
    </font>
    <font>
      <b/>
      <u/>
      <sz val="10"/>
      <name val="Arial Narrow"/>
      <family val="2"/>
    </font>
    <font>
      <sz val="8"/>
      <color rgb="FFFFFFFF"/>
      <name val="Arial Narrow"/>
      <family val="2"/>
    </font>
    <font>
      <b/>
      <sz val="14"/>
      <color theme="1"/>
      <name val="Arial"/>
      <family val="2"/>
    </font>
    <font>
      <sz val="10"/>
      <color rgb="FF7030A0"/>
      <name val="Arial Narrow"/>
      <family val="2"/>
    </font>
    <font>
      <sz val="10"/>
      <color rgb="FF7030A0"/>
      <name val="Arial"/>
      <family val="2"/>
    </font>
    <font>
      <b/>
      <sz val="9"/>
      <name val="Calibri"/>
      <family val="2"/>
    </font>
    <font>
      <b/>
      <sz val="9"/>
      <color rgb="FF7030A0"/>
      <name val="Arial"/>
      <family val="2"/>
    </font>
    <font>
      <b/>
      <sz val="9"/>
      <color rgb="FF7030A0"/>
      <name val="Calibri"/>
      <family val="2"/>
    </font>
    <font>
      <b/>
      <sz val="11"/>
      <name val="Arial Narrow"/>
      <family val="2"/>
    </font>
    <font>
      <sz val="12"/>
      <name val="Arial Narrow"/>
      <family val="2"/>
    </font>
    <font>
      <b/>
      <sz val="12"/>
      <color theme="0" tint="-0.14999847407452621"/>
      <name val="Arial"/>
      <family val="2"/>
    </font>
    <font>
      <sz val="12"/>
      <color indexed="8"/>
      <name val="Arial Narrow"/>
      <family val="2"/>
    </font>
    <font>
      <sz val="9"/>
      <color theme="0" tint="-0.499984740745262"/>
      <name val="Arial Narrow"/>
      <family val="2"/>
    </font>
    <font>
      <b/>
      <sz val="14"/>
      <color theme="0" tint="-0.499984740745262"/>
      <name val="Arial Narrow"/>
      <family val="2"/>
    </font>
    <font>
      <b/>
      <sz val="12"/>
      <color theme="0" tint="-0.499984740745262"/>
      <name val="Arial Narrow"/>
      <family val="2"/>
    </font>
    <font>
      <sz val="12"/>
      <color theme="0" tint="-0.499984740745262"/>
      <name val="Arial Narrow"/>
      <family val="2"/>
    </font>
    <font>
      <sz val="11"/>
      <color theme="0" tint="-0.499984740745262"/>
      <name val="Arial"/>
      <family val="2"/>
    </font>
    <font>
      <sz val="9"/>
      <color theme="1"/>
      <name val="Arial Narrow"/>
      <family val="2"/>
    </font>
    <font>
      <sz val="9"/>
      <color theme="0" tint="-0.249977111117893"/>
      <name val="Arial Narrow"/>
      <family val="2"/>
    </font>
    <font>
      <sz val="9"/>
      <color theme="0" tint="-0.34998626667073579"/>
      <name val="Arial Narrow"/>
      <family val="2"/>
    </font>
    <font>
      <sz val="9"/>
      <color theme="3"/>
      <name val="Arial Narrow"/>
      <family val="2"/>
    </font>
    <font>
      <sz val="9"/>
      <color theme="1" tint="0.14999847407452621"/>
      <name val="Arial Narrow"/>
      <family val="2"/>
    </font>
    <font>
      <sz val="10"/>
      <color theme="1" tint="0.14999847407452621"/>
      <name val="Arial"/>
      <family val="2"/>
    </font>
    <font>
      <sz val="9"/>
      <color theme="1" tint="0.34998626667073579"/>
      <name val="Arial Narrow"/>
      <family val="2"/>
    </font>
    <font>
      <vertAlign val="superscript"/>
      <sz val="9"/>
      <color theme="1" tint="0.14999847407452621"/>
      <name val="Arial Narrow"/>
      <family val="2"/>
    </font>
    <font>
      <sz val="9"/>
      <color theme="1" tint="0.249977111117893"/>
      <name val="Arial Narrow"/>
      <family val="2"/>
    </font>
    <font>
      <b/>
      <sz val="9"/>
      <color theme="0" tint="-0.499984740745262"/>
      <name val="Arial Narrow"/>
      <family val="2"/>
    </font>
    <font>
      <sz val="9"/>
      <color rgb="FFC00000"/>
      <name val="Arial Narrow"/>
      <family val="2"/>
    </font>
    <font>
      <i/>
      <sz val="9"/>
      <color theme="1" tint="0.14999847407452621"/>
      <name val="Arial Narrow"/>
      <family val="2"/>
    </font>
    <font>
      <sz val="9"/>
      <color rgb="FFFF0000"/>
      <name val="Arial Narrow"/>
      <family val="2"/>
    </font>
    <font>
      <b/>
      <sz val="9"/>
      <color theme="1" tint="0.14999847407452621"/>
      <name val="Arial Narrow"/>
      <family val="2"/>
    </font>
    <font>
      <sz val="9"/>
      <color theme="0"/>
      <name val="Arial Narrow"/>
      <family val="2"/>
    </font>
    <font>
      <b/>
      <sz val="10"/>
      <color theme="0"/>
      <name val="Arial"/>
      <family val="2"/>
    </font>
    <font>
      <sz val="8"/>
      <color theme="0" tint="-0.249977111117893"/>
      <name val="COUR"/>
    </font>
    <font>
      <sz val="12"/>
      <name val="Calibri"/>
      <family val="2"/>
    </font>
    <font>
      <sz val="10"/>
      <color theme="1" tint="0.14999847407452621"/>
      <name val="Arial Narrow"/>
      <family val="2"/>
    </font>
    <font>
      <sz val="12"/>
      <color theme="0" tint="-0.249977111117893"/>
      <name val="COUR"/>
    </font>
    <font>
      <b/>
      <sz val="12"/>
      <color theme="0" tint="-0.249977111117893"/>
      <name val="Arial"/>
      <family val="2"/>
    </font>
    <font>
      <i/>
      <sz val="12"/>
      <name val="Arial"/>
      <family val="2"/>
    </font>
    <font>
      <b/>
      <sz val="10"/>
      <color theme="0" tint="-0.34998626667073579"/>
      <name val="Arial Narrow"/>
      <family val="2"/>
    </font>
  </fonts>
  <fills count="41">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FF"/>
        <bgColor indexed="64"/>
      </patternFill>
    </fill>
  </fills>
  <borders count="61">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medium">
        <color auto="1"/>
      </top>
      <bottom/>
      <diagonal/>
    </border>
    <border>
      <left/>
      <right/>
      <top/>
      <bottom style="thin">
        <color rgb="FFFFFFFF"/>
      </bottom>
      <diagonal/>
    </border>
    <border>
      <left/>
      <right/>
      <top/>
      <bottom style="thin">
        <color theme="1"/>
      </bottom>
      <diagonal/>
    </border>
    <border>
      <left/>
      <right/>
      <top style="medium">
        <color auto="1"/>
      </top>
      <bottom style="thin">
        <color auto="1"/>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indexed="8"/>
      </left>
      <right style="thin">
        <color indexed="8"/>
      </right>
      <top/>
      <bottom style="double">
        <color auto="1"/>
      </bottom>
      <diagonal/>
    </border>
    <border>
      <left/>
      <right/>
      <top/>
      <bottom style="thin">
        <color indexed="64"/>
      </bottom>
      <diagonal/>
    </border>
  </borders>
  <cellStyleXfs count="113">
    <xf numFmtId="0" fontId="0" fillId="0" borderId="0"/>
    <xf numFmtId="43" fontId="39" fillId="0" borderId="0" applyFont="0" applyFill="0" applyBorder="0" applyAlignment="0" applyProtection="0"/>
    <xf numFmtId="43" fontId="49"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39" fillId="0" borderId="0" applyFont="0" applyFill="0" applyBorder="0" applyAlignment="0" applyProtection="0"/>
    <xf numFmtId="44" fontId="11" fillId="0" borderId="0" applyFont="0" applyFill="0" applyBorder="0" applyProtection="0"/>
    <xf numFmtId="0" fontId="49" fillId="0" borderId="0"/>
    <xf numFmtId="0" fontId="11" fillId="0" borderId="0"/>
    <xf numFmtId="0" fontId="8" fillId="0" borderId="0"/>
    <xf numFmtId="0" fontId="11" fillId="0" borderId="0"/>
    <xf numFmtId="0" fontId="4" fillId="0" borderId="0"/>
    <xf numFmtId="0" fontId="4" fillId="0" borderId="0"/>
    <xf numFmtId="0" fontId="3" fillId="0" borderId="0"/>
    <xf numFmtId="0" fontId="4" fillId="0" borderId="0"/>
    <xf numFmtId="0" fontId="8" fillId="0" borderId="0"/>
    <xf numFmtId="0" fontId="4" fillId="0" borderId="0"/>
    <xf numFmtId="0" fontId="8" fillId="0" borderId="0"/>
    <xf numFmtId="8" fontId="8" fillId="0" borderId="0"/>
    <xf numFmtId="0" fontId="4" fillId="0" borderId="0"/>
    <xf numFmtId="0" fontId="39" fillId="0" borderId="0"/>
    <xf numFmtId="0" fontId="39" fillId="0" borderId="0"/>
    <xf numFmtId="0" fontId="18" fillId="0" borderId="0"/>
    <xf numFmtId="0" fontId="18" fillId="0" borderId="0"/>
    <xf numFmtId="0" fontId="4" fillId="0" borderId="0"/>
    <xf numFmtId="0" fontId="39" fillId="0" borderId="0"/>
    <xf numFmtId="0" fontId="8" fillId="0" borderId="0"/>
    <xf numFmtId="0" fontId="11" fillId="0" borderId="0"/>
    <xf numFmtId="0" fontId="18" fillId="0" borderId="0"/>
    <xf numFmtId="0" fontId="39" fillId="0" borderId="0"/>
    <xf numFmtId="0" fontId="39" fillId="0" borderId="0"/>
    <xf numFmtId="177" fontId="43" fillId="0" borderId="0"/>
    <xf numFmtId="0" fontId="11" fillId="0" borderId="0"/>
    <xf numFmtId="0" fontId="11" fillId="0" borderId="0"/>
    <xf numFmtId="0" fontId="39" fillId="0" borderId="0"/>
    <xf numFmtId="0" fontId="11" fillId="0" borderId="0"/>
    <xf numFmtId="9" fontId="3"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49" fillId="0" borderId="0" applyFont="0" applyFill="0" applyBorder="0" applyAlignment="0" applyProtection="0"/>
    <xf numFmtId="0" fontId="3" fillId="0" borderId="0"/>
    <xf numFmtId="43" fontId="54" fillId="0" borderId="0" applyFont="0" applyFill="0" applyBorder="0" applyAlignment="0" applyProtection="0"/>
    <xf numFmtId="0" fontId="55" fillId="0" borderId="0" applyNumberFormat="0" applyFill="0" applyBorder="0" applyAlignment="0" applyProtection="0"/>
    <xf numFmtId="0" fontId="56" fillId="0" borderId="30" applyNumberFormat="0" applyFill="0" applyAlignment="0" applyProtection="0"/>
    <xf numFmtId="0" fontId="57" fillId="0" borderId="31" applyNumberFormat="0" applyFill="0" applyAlignment="0" applyProtection="0"/>
    <xf numFmtId="0" fontId="58" fillId="0" borderId="32" applyNumberFormat="0" applyFill="0" applyAlignment="0" applyProtection="0"/>
    <xf numFmtId="0" fontId="58" fillId="0" borderId="0" applyNumberFormat="0" applyFill="0" applyBorder="0" applyAlignment="0" applyProtection="0"/>
    <xf numFmtId="0" fontId="59" fillId="5" borderId="0" applyNumberFormat="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33" applyNumberFormat="0" applyAlignment="0" applyProtection="0"/>
    <xf numFmtId="0" fontId="63" fillId="9" borderId="34" applyNumberFormat="0" applyAlignment="0" applyProtection="0"/>
    <xf numFmtId="0" fontId="64" fillId="9" borderId="33" applyNumberFormat="0" applyAlignment="0" applyProtection="0"/>
    <xf numFmtId="0" fontId="65" fillId="0" borderId="35" applyNumberFormat="0" applyFill="0" applyAlignment="0" applyProtection="0"/>
    <xf numFmtId="0" fontId="66" fillId="10" borderId="36"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8" applyNumberFormat="0" applyFill="0" applyAlignment="0" applyProtection="0"/>
    <xf numFmtId="0" fontId="7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0" fillId="35" borderId="0" applyNumberFormat="0" applyBorder="0" applyAlignment="0" applyProtection="0"/>
    <xf numFmtId="0" fontId="2" fillId="0" borderId="0"/>
    <xf numFmtId="0" fontId="2" fillId="11" borderId="37" applyNumberFormat="0" applyFont="0" applyAlignment="0" applyProtection="0"/>
    <xf numFmtId="0" fontId="18" fillId="0" borderId="0"/>
    <xf numFmtId="44" fontId="18" fillId="0" borderId="0" applyFont="0" applyFill="0" applyBorder="0" applyAlignment="0" applyProtection="0"/>
    <xf numFmtId="0" fontId="91"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Protection="0"/>
    <xf numFmtId="0" fontId="4" fillId="0" borderId="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7" applyNumberFormat="0" applyFont="0" applyAlignment="0" applyProtection="0"/>
  </cellStyleXfs>
  <cellXfs count="1970">
    <xf numFmtId="0" fontId="0" fillId="0" borderId="0" xfId="0"/>
    <xf numFmtId="0" fontId="4" fillId="0" borderId="0" xfId="0" applyNumberFormat="1" applyFont="1" applyAlignment="1"/>
    <xf numFmtId="0" fontId="6" fillId="0" borderId="0" xfId="0" applyNumberFormat="1" applyFont="1" applyAlignment="1">
      <alignment horizontal="center"/>
    </xf>
    <xf numFmtId="0" fontId="6" fillId="0" borderId="0" xfId="0" applyNumberFormat="1" applyFont="1" applyAlignment="1"/>
    <xf numFmtId="0" fontId="11" fillId="0" borderId="0" xfId="0" applyNumberFormat="1" applyFont="1" applyFill="1" applyAlignment="1"/>
    <xf numFmtId="0" fontId="6" fillId="0" borderId="0" xfId="0" applyFont="1" applyBorder="1" applyAlignment="1">
      <alignment horizontal="center"/>
    </xf>
    <xf numFmtId="10" fontId="4" fillId="0" borderId="0" xfId="0" applyNumberFormat="1" applyFont="1" applyAlignment="1"/>
    <xf numFmtId="0" fontId="3" fillId="0" borderId="0" xfId="0" applyNumberFormat="1" applyFont="1" applyAlignment="1"/>
    <xf numFmtId="0" fontId="7" fillId="0" borderId="0" xfId="0" applyNumberFormat="1" applyFont="1" applyAlignment="1"/>
    <xf numFmtId="0" fontId="13" fillId="0" borderId="0" xfId="0" applyNumberFormat="1" applyFont="1" applyAlignment="1"/>
    <xf numFmtId="10" fontId="4" fillId="0" borderId="0" xfId="0" applyNumberFormat="1" applyFont="1" applyAlignment="1">
      <alignment horizontal="center"/>
    </xf>
    <xf numFmtId="0" fontId="6" fillId="0" borderId="0" xfId="0" applyFont="1"/>
    <xf numFmtId="164" fontId="4" fillId="0" borderId="0" xfId="0" applyNumberFormat="1" applyFont="1" applyAlignment="1">
      <alignment horizontal="right"/>
    </xf>
    <xf numFmtId="0" fontId="0" fillId="0" borderId="0" xfId="0" applyBorder="1"/>
    <xf numFmtId="0" fontId="6" fillId="0" borderId="2" xfId="0" applyFont="1" applyBorder="1"/>
    <xf numFmtId="10" fontId="4" fillId="0" borderId="0" xfId="0" applyNumberFormat="1" applyFont="1" applyBorder="1" applyAlignment="1">
      <alignment horizontal="center"/>
    </xf>
    <xf numFmtId="10" fontId="3" fillId="0" borderId="0" xfId="36" applyNumberFormat="1"/>
    <xf numFmtId="10" fontId="3" fillId="0" borderId="0" xfId="0" applyNumberFormat="1" applyFont="1" applyAlignment="1"/>
    <xf numFmtId="0" fontId="6" fillId="0" borderId="0" xfId="0" applyNumberFormat="1" applyFont="1" applyBorder="1" applyAlignment="1">
      <alignment horizontal="center"/>
    </xf>
    <xf numFmtId="3" fontId="3" fillId="0" borderId="0" xfId="0" applyNumberFormat="1" applyFont="1" applyAlignment="1"/>
    <xf numFmtId="0" fontId="16" fillId="0" borderId="0" xfId="0" applyNumberFormat="1" applyFont="1" applyAlignment="1"/>
    <xf numFmtId="0" fontId="6" fillId="0" borderId="0" xfId="14" applyFont="1" applyProtection="1"/>
    <xf numFmtId="39" fontId="22" fillId="0" borderId="0" xfId="14" applyNumberFormat="1" applyFont="1" applyProtection="1"/>
    <xf numFmtId="0" fontId="3" fillId="0" borderId="0" xfId="13"/>
    <xf numFmtId="39" fontId="11" fillId="0" borderId="0" xfId="14" applyNumberFormat="1" applyFont="1" applyProtection="1"/>
    <xf numFmtId="0" fontId="23" fillId="0" borderId="8" xfId="14" applyFont="1" applyBorder="1" applyAlignment="1" applyProtection="1">
      <alignment horizontal="left"/>
    </xf>
    <xf numFmtId="9" fontId="24" fillId="0" borderId="0" xfId="14" applyNumberFormat="1" applyFont="1" applyBorder="1" applyProtection="1"/>
    <xf numFmtId="0" fontId="4" fillId="0" borderId="0" xfId="16"/>
    <xf numFmtId="0" fontId="6" fillId="0" borderId="0" xfId="16" applyFont="1"/>
    <xf numFmtId="0" fontId="8" fillId="0" borderId="9" xfId="16" applyFont="1" applyBorder="1"/>
    <xf numFmtId="0" fontId="8" fillId="0" borderId="0" xfId="16" applyFont="1"/>
    <xf numFmtId="0" fontId="11" fillId="0" borderId="0" xfId="16" applyFont="1" applyAlignment="1" applyProtection="1">
      <alignment horizontal="center"/>
    </xf>
    <xf numFmtId="37" fontId="11" fillId="0" borderId="0" xfId="16" applyNumberFormat="1" applyFont="1" applyProtection="1"/>
    <xf numFmtId="10" fontId="8" fillId="0" borderId="0" xfId="36" applyNumberFormat="1" applyFont="1"/>
    <xf numFmtId="0" fontId="22" fillId="0" borderId="0" xfId="16" applyFont="1"/>
    <xf numFmtId="0" fontId="29" fillId="0" borderId="0" xfId="16" applyFont="1" applyAlignment="1">
      <alignment horizontal="center"/>
    </xf>
    <xf numFmtId="4" fontId="6" fillId="0" borderId="0" xfId="0" applyNumberFormat="1" applyFont="1" applyAlignment="1"/>
    <xf numFmtId="3" fontId="6" fillId="0" borderId="0" xfId="0" applyNumberFormat="1" applyFont="1" applyAlignment="1"/>
    <xf numFmtId="4" fontId="16" fillId="0" borderId="0" xfId="0" applyNumberFormat="1" applyFont="1" applyAlignment="1"/>
    <xf numFmtId="3" fontId="3" fillId="0" borderId="0" xfId="0" applyNumberFormat="1" applyFont="1" applyBorder="1" applyAlignment="1"/>
    <xf numFmtId="0" fontId="13" fillId="0" borderId="10" xfId="0" applyNumberFormat="1" applyFont="1" applyFill="1" applyBorder="1" applyAlignment="1"/>
    <xf numFmtId="0" fontId="34" fillId="0" borderId="10" xfId="0" applyNumberFormat="1" applyFont="1" applyFill="1" applyBorder="1" applyAlignment="1">
      <alignment horizontal="center"/>
    </xf>
    <xf numFmtId="3" fontId="15" fillId="0" borderId="1" xfId="0" applyNumberFormat="1" applyFont="1" applyFill="1" applyBorder="1" applyAlignment="1">
      <alignment horizontal="center"/>
    </xf>
    <xf numFmtId="0" fontId="15" fillId="0" borderId="1" xfId="0" applyNumberFormat="1" applyFont="1" applyFill="1" applyBorder="1" applyAlignment="1">
      <alignment horizontal="center"/>
    </xf>
    <xf numFmtId="1" fontId="17" fillId="0" borderId="0" xfId="0" applyNumberFormat="1" applyFont="1" applyFill="1" applyAlignment="1">
      <alignment horizontal="center"/>
    </xf>
    <xf numFmtId="3" fontId="3" fillId="0" borderId="0" xfId="0" applyNumberFormat="1" applyFont="1" applyFill="1" applyAlignment="1"/>
    <xf numFmtId="3" fontId="3" fillId="0" borderId="0" xfId="0" applyNumberFormat="1" applyFont="1" applyFill="1" applyBorder="1" applyAlignment="1"/>
    <xf numFmtId="1" fontId="17" fillId="0" borderId="0" xfId="0" applyNumberFormat="1" applyFont="1" applyFill="1" applyBorder="1" applyAlignment="1">
      <alignment horizontal="center"/>
    </xf>
    <xf numFmtId="0" fontId="21" fillId="0" borderId="0" xfId="0" applyNumberFormat="1" applyFont="1" applyAlignment="1"/>
    <xf numFmtId="0" fontId="3" fillId="0" borderId="0" xfId="0" applyFont="1"/>
    <xf numFmtId="0" fontId="36" fillId="0" borderId="0" xfId="0" applyFont="1" applyAlignment="1">
      <alignment horizontal="centerContinuous"/>
    </xf>
    <xf numFmtId="0" fontId="20" fillId="0" borderId="0" xfId="0" applyFont="1"/>
    <xf numFmtId="0" fontId="29" fillId="0" borderId="0" xfId="0" applyFont="1"/>
    <xf numFmtId="0" fontId="20" fillId="0" borderId="0" xfId="0" applyFont="1" applyBorder="1"/>
    <xf numFmtId="0" fontId="20" fillId="0" borderId="11" xfId="0" applyFont="1" applyBorder="1"/>
    <xf numFmtId="0" fontId="8" fillId="0" borderId="0" xfId="0" applyFont="1"/>
    <xf numFmtId="0" fontId="37" fillId="0" borderId="0" xfId="0" applyFont="1" applyAlignment="1"/>
    <xf numFmtId="0" fontId="38" fillId="0" borderId="0" xfId="0" applyFont="1" applyAlignment="1"/>
    <xf numFmtId="0" fontId="6" fillId="0" borderId="0" xfId="0" applyFont="1" applyAlignment="1"/>
    <xf numFmtId="0" fontId="8" fillId="0" borderId="0" xfId="0" applyFont="1" applyAlignment="1"/>
    <xf numFmtId="0" fontId="25"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39" fillId="0" borderId="0" xfId="29" applyFill="1" applyBorder="1" applyAlignment="1"/>
    <xf numFmtId="0" fontId="39" fillId="0" borderId="0" xfId="29" applyFill="1" applyBorder="1" applyAlignment="1">
      <alignment horizontal="left"/>
    </xf>
    <xf numFmtId="0" fontId="0" fillId="0" borderId="0" xfId="0" applyNumberFormat="1" applyFont="1" applyAlignment="1"/>
    <xf numFmtId="0" fontId="40"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1"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6" fillId="0" borderId="15" xfId="22" applyNumberFormat="1" applyFont="1" applyFill="1" applyBorder="1" applyAlignment="1">
      <alignment horizontal="right" vertical="center"/>
    </xf>
    <xf numFmtId="3" fontId="16" fillId="0" borderId="15" xfId="22" applyNumberFormat="1" applyFont="1" applyFill="1" applyBorder="1" applyAlignment="1">
      <alignment horizontal="right" vertical="center"/>
    </xf>
    <xf numFmtId="167" fontId="16" fillId="0" borderId="15" xfId="22" applyNumberFormat="1" applyFont="1" applyFill="1" applyBorder="1" applyAlignment="1">
      <alignment horizontal="right" vertical="center"/>
    </xf>
    <xf numFmtId="3" fontId="11" fillId="4" borderId="0" xfId="32" applyNumberFormat="1" applyFont="1" applyFill="1" applyBorder="1"/>
    <xf numFmtId="3" fontId="11" fillId="4" borderId="0" xfId="32" applyNumberFormat="1" applyFont="1" applyFill="1"/>
    <xf numFmtId="0" fontId="11" fillId="4" borderId="0" xfId="32" applyFont="1" applyFill="1"/>
    <xf numFmtId="0" fontId="39" fillId="0" borderId="0" xfId="25"/>
    <xf numFmtId="0" fontId="21" fillId="0" borderId="0" xfId="25" applyFont="1" applyAlignment="1">
      <alignment horizontal="right"/>
    </xf>
    <xf numFmtId="0" fontId="39" fillId="0" borderId="0" xfId="25" applyAlignment="1"/>
    <xf numFmtId="0" fontId="6" fillId="0" borderId="0" xfId="25" applyFont="1" applyAlignment="1"/>
    <xf numFmtId="0" fontId="39" fillId="0" borderId="0" xfId="25" applyAlignment="1">
      <alignment wrapText="1"/>
    </xf>
    <xf numFmtId="0" fontId="0" fillId="0" borderId="0" xfId="25" applyFont="1" applyAlignment="1"/>
    <xf numFmtId="0" fontId="39" fillId="0" borderId="0" xfId="25" applyFont="1"/>
    <xf numFmtId="0" fontId="11" fillId="0" borderId="0" xfId="25" applyFont="1"/>
    <xf numFmtId="0" fontId="21" fillId="0" borderId="0" xfId="20" applyFont="1"/>
    <xf numFmtId="0" fontId="11" fillId="0" borderId="0" xfId="20" applyFont="1"/>
    <xf numFmtId="0" fontId="6" fillId="0" borderId="0" xfId="20" applyFont="1"/>
    <xf numFmtId="0" fontId="23" fillId="0" borderId="19" xfId="20" applyFont="1" applyBorder="1" applyAlignment="1">
      <alignment horizontal="center"/>
    </xf>
    <xf numFmtId="0" fontId="11" fillId="0" borderId="26" xfId="20" applyFont="1" applyBorder="1" applyAlignment="1">
      <alignment horizontal="center"/>
    </xf>
    <xf numFmtId="0" fontId="11" fillId="0" borderId="26" xfId="20" applyFont="1" applyFill="1" applyBorder="1" applyAlignment="1">
      <alignment horizontal="center"/>
    </xf>
    <xf numFmtId="0" fontId="39" fillId="0" borderId="26" xfId="25" applyBorder="1" applyAlignment="1">
      <alignment horizontal="center"/>
    </xf>
    <xf numFmtId="0" fontId="6" fillId="0" borderId="0" xfId="25" applyFont="1" applyAlignment="1">
      <alignment horizontal="center"/>
    </xf>
    <xf numFmtId="0" fontId="22" fillId="0" borderId="0" xfId="21" applyFont="1" applyAlignment="1">
      <alignment horizontal="centerContinuous"/>
    </xf>
    <xf numFmtId="3" fontId="22" fillId="0" borderId="0" xfId="21" applyNumberFormat="1" applyFont="1" applyAlignment="1">
      <alignment horizontal="centerContinuous"/>
    </xf>
    <xf numFmtId="0" fontId="22" fillId="0" borderId="0" xfId="21" applyFont="1"/>
    <xf numFmtId="0" fontId="46" fillId="0" borderId="0" xfId="21" applyFont="1"/>
    <xf numFmtId="0" fontId="6" fillId="0" borderId="0" xfId="21" applyFont="1" applyAlignment="1">
      <alignment horizontal="left"/>
    </xf>
    <xf numFmtId="0" fontId="11" fillId="0" borderId="0" xfId="21" applyFont="1"/>
    <xf numFmtId="3" fontId="11" fillId="0" borderId="0" xfId="21" applyNumberFormat="1" applyFont="1"/>
    <xf numFmtId="0" fontId="26" fillId="0" borderId="0" xfId="21" applyFont="1"/>
    <xf numFmtId="167" fontId="11" fillId="0" borderId="0" xfId="21" applyNumberFormat="1" applyFont="1" applyFill="1" applyBorder="1"/>
    <xf numFmtId="167" fontId="11" fillId="0" borderId="0" xfId="21" applyNumberFormat="1" applyFont="1" applyBorder="1"/>
    <xf numFmtId="3" fontId="11" fillId="0" borderId="0" xfId="21" applyNumberFormat="1" applyFont="1" applyBorder="1"/>
    <xf numFmtId="0" fontId="11" fillId="0" borderId="0" xfId="21" applyNumberFormat="1" applyFont="1" applyFill="1" applyBorder="1" applyAlignment="1">
      <alignment horizontal="left"/>
    </xf>
    <xf numFmtId="0" fontId="23" fillId="0" borderId="0" xfId="21" applyFont="1" applyBorder="1"/>
    <xf numFmtId="164" fontId="11" fillId="0" borderId="0" xfId="21" applyNumberFormat="1" applyFont="1" applyBorder="1"/>
    <xf numFmtId="3" fontId="23" fillId="0" borderId="15" xfId="21" applyNumberFormat="1" applyFont="1" applyBorder="1"/>
    <xf numFmtId="3" fontId="23" fillId="0" borderId="0" xfId="21" applyNumberFormat="1" applyFont="1" applyBorder="1"/>
    <xf numFmtId="167" fontId="23" fillId="0" borderId="0" xfId="5" applyNumberFormat="1" applyFont="1" applyBorder="1"/>
    <xf numFmtId="164" fontId="23" fillId="0" borderId="0" xfId="21" applyNumberFormat="1" applyFont="1" applyBorder="1"/>
    <xf numFmtId="167" fontId="23" fillId="0" borderId="0" xfId="21" applyNumberFormat="1" applyFont="1" applyBorder="1"/>
    <xf numFmtId="3" fontId="46" fillId="0" borderId="0" xfId="21" applyNumberFormat="1" applyFont="1"/>
    <xf numFmtId="10" fontId="50" fillId="0" borderId="0" xfId="36" applyNumberFormat="1" applyFont="1"/>
    <xf numFmtId="3" fontId="19" fillId="0" borderId="0" xfId="28" applyNumberFormat="1" applyFont="1" applyFill="1"/>
    <xf numFmtId="0" fontId="33" fillId="0" borderId="0" xfId="0" applyFont="1"/>
    <xf numFmtId="0" fontId="22" fillId="0" borderId="0" xfId="0" applyFont="1"/>
    <xf numFmtId="0" fontId="23" fillId="0" borderId="0" xfId="0" applyFont="1"/>
    <xf numFmtId="0" fontId="22" fillId="0" borderId="0" xfId="0" quotePrefix="1" applyFont="1" applyAlignment="1">
      <alignment horizontal="right"/>
    </xf>
    <xf numFmtId="0" fontId="22" fillId="0" borderId="0" xfId="0" applyFont="1" applyAlignment="1">
      <alignment horizontal="right"/>
    </xf>
    <xf numFmtId="3" fontId="4" fillId="0" borderId="0" xfId="8" applyNumberFormat="1" applyFont="1" applyFill="1" applyAlignment="1"/>
    <xf numFmtId="0" fontId="4" fillId="0" borderId="0" xfId="8" applyFont="1" applyFill="1"/>
    <xf numFmtId="0" fontId="4" fillId="0" borderId="0" xfId="8" applyNumberFormat="1" applyFont="1" applyFill="1" applyAlignment="1"/>
    <xf numFmtId="0" fontId="4" fillId="0" borderId="0" xfId="8" applyNumberFormat="1" applyFont="1" applyAlignment="1"/>
    <xf numFmtId="0" fontId="5" fillId="0" borderId="0" xfId="8" applyNumberFormat="1" applyFont="1" applyAlignment="1"/>
    <xf numFmtId="0" fontId="9" fillId="0" borderId="0" xfId="8" applyNumberFormat="1" applyFont="1" applyFill="1" applyAlignment="1">
      <alignment horizontal="left"/>
    </xf>
    <xf numFmtId="3" fontId="9" fillId="0" borderId="0" xfId="8" applyNumberFormat="1" applyFont="1" applyFill="1" applyAlignment="1">
      <alignment horizontal="right"/>
    </xf>
    <xf numFmtId="0" fontId="5" fillId="0" borderId="0" xfId="8" applyNumberFormat="1" applyFont="1" applyFill="1" applyAlignment="1"/>
    <xf numFmtId="0" fontId="6" fillId="0" borderId="0" xfId="8" applyFont="1" applyFill="1"/>
    <xf numFmtId="3" fontId="4" fillId="0" borderId="0" xfId="8" applyNumberFormat="1" applyFont="1" applyAlignment="1"/>
    <xf numFmtId="0" fontId="10" fillId="0" borderId="0" xfId="8" applyNumberFormat="1" applyFont="1" applyFill="1" applyBorder="1" applyAlignment="1">
      <alignment horizontal="left"/>
    </xf>
    <xf numFmtId="0" fontId="4" fillId="0" borderId="0" xfId="8" applyFont="1" applyFill="1" applyBorder="1"/>
    <xf numFmtId="0" fontId="9" fillId="0" borderId="15" xfId="8" applyNumberFormat="1" applyFont="1" applyFill="1" applyBorder="1" applyAlignment="1">
      <alignment horizontal="left"/>
    </xf>
    <xf numFmtId="0" fontId="6" fillId="0" borderId="15" xfId="8" applyFont="1" applyFill="1" applyBorder="1"/>
    <xf numFmtId="0" fontId="4" fillId="0" borderId="0" xfId="8" applyNumberFormat="1" applyFont="1" applyFill="1" applyBorder="1"/>
    <xf numFmtId="0" fontId="5" fillId="0" borderId="0" xfId="8" applyNumberFormat="1" applyFont="1" applyFill="1" applyBorder="1" applyAlignment="1"/>
    <xf numFmtId="3" fontId="11" fillId="0" borderId="0" xfId="35" applyNumberFormat="1" applyFont="1" applyFill="1" applyAlignment="1">
      <alignment horizontal="right"/>
    </xf>
    <xf numFmtId="0" fontId="11" fillId="0" borderId="0" xfId="35" applyNumberFormat="1" applyFont="1" applyFill="1" applyAlignment="1">
      <alignment horizontal="center"/>
    </xf>
    <xf numFmtId="167" fontId="11" fillId="0" borderId="0" xfId="35" applyNumberFormat="1" applyFill="1"/>
    <xf numFmtId="167" fontId="11" fillId="0" borderId="0" xfId="35" applyNumberFormat="1" applyFont="1" applyFill="1" applyAlignment="1">
      <alignment horizontal="right"/>
    </xf>
    <xf numFmtId="10" fontId="0" fillId="0" borderId="0" xfId="36" applyNumberFormat="1" applyFont="1"/>
    <xf numFmtId="171" fontId="3" fillId="0" borderId="0" xfId="13" applyNumberFormat="1"/>
    <xf numFmtId="0" fontId="20" fillId="0" borderId="0" xfId="0" applyFont="1" applyAlignment="1">
      <alignment vertical="center"/>
    </xf>
    <xf numFmtId="3" fontId="3" fillId="0" borderId="0" xfId="11" applyNumberFormat="1" applyFont="1" applyFill="1"/>
    <xf numFmtId="164" fontId="3" fillId="0" borderId="1" xfId="11" applyNumberFormat="1" applyFont="1" applyFill="1" applyBorder="1" applyAlignment="1"/>
    <xf numFmtId="3" fontId="11" fillId="0" borderId="0" xfId="11" applyNumberFormat="1" applyFont="1" applyFill="1"/>
    <xf numFmtId="3" fontId="3" fillId="0" borderId="0" xfId="11" applyNumberFormat="1" applyFont="1" applyFill="1" applyBorder="1"/>
    <xf numFmtId="37" fontId="3" fillId="0" borderId="0" xfId="16" quotePrefix="1" applyNumberFormat="1" applyFont="1" applyProtection="1"/>
    <xf numFmtId="167" fontId="3" fillId="0" borderId="0" xfId="34" applyNumberFormat="1" applyFont="1" applyFill="1"/>
    <xf numFmtId="167" fontId="3" fillId="0" borderId="0" xfId="11" applyNumberFormat="1" applyFont="1" applyFill="1"/>
    <xf numFmtId="3" fontId="11" fillId="4" borderId="0" xfId="38" applyNumberFormat="1" applyFont="1" applyFill="1"/>
    <xf numFmtId="169" fontId="11" fillId="4" borderId="0" xfId="36" applyNumberFormat="1" applyFont="1" applyFill="1"/>
    <xf numFmtId="167" fontId="11" fillId="4" borderId="0" xfId="38" applyNumberFormat="1" applyFont="1" applyFill="1"/>
    <xf numFmtId="0" fontId="3" fillId="4" borderId="0" xfId="32" applyFont="1" applyFill="1"/>
    <xf numFmtId="169" fontId="3" fillId="4" borderId="0" xfId="36" applyNumberFormat="1" applyFont="1" applyFill="1"/>
    <xf numFmtId="0" fontId="16" fillId="0" borderId="0" xfId="0" applyFont="1" applyFill="1"/>
    <xf numFmtId="0" fontId="22" fillId="0" borderId="0" xfId="0" applyFont="1" applyFill="1"/>
    <xf numFmtId="3" fontId="3" fillId="0" borderId="0" xfId="0" applyNumberFormat="1" applyFont="1"/>
    <xf numFmtId="0" fontId="11" fillId="4" borderId="0" xfId="33" applyFont="1" applyFill="1" applyBorder="1"/>
    <xf numFmtId="3" fontId="11" fillId="4" borderId="0" xfId="33" applyNumberFormat="1" applyFont="1" applyFill="1" applyBorder="1" applyAlignment="1"/>
    <xf numFmtId="0" fontId="3" fillId="0" borderId="0" xfId="14" applyFont="1" applyProtection="1"/>
    <xf numFmtId="0" fontId="21" fillId="0" borderId="0" xfId="84" applyFont="1" applyFill="1" applyAlignment="1"/>
    <xf numFmtId="0" fontId="19" fillId="0" borderId="0" xfId="84" applyFont="1" applyFill="1"/>
    <xf numFmtId="0" fontId="6" fillId="0" borderId="0" xfId="84" applyFont="1" applyFill="1" applyAlignment="1"/>
    <xf numFmtId="0" fontId="18" fillId="0" borderId="0" xfId="84" applyFill="1"/>
    <xf numFmtId="0" fontId="18" fillId="0" borderId="0" xfId="84" applyFill="1" applyAlignment="1">
      <alignment horizontal="center"/>
    </xf>
    <xf numFmtId="0" fontId="19" fillId="0" borderId="0" xfId="84" applyFont="1" applyFill="1" applyAlignment="1">
      <alignment wrapText="1"/>
    </xf>
    <xf numFmtId="0" fontId="18" fillId="0" borderId="0" xfId="84" applyFill="1" applyAlignment="1">
      <alignment wrapText="1"/>
    </xf>
    <xf numFmtId="0" fontId="18" fillId="0" borderId="0" xfId="84" applyFill="1" applyAlignment="1">
      <alignment horizontal="center" wrapText="1"/>
    </xf>
    <xf numFmtId="0" fontId="72" fillId="0" borderId="0" xfId="84" applyFont="1" applyFill="1" applyAlignment="1">
      <alignment horizontal="right"/>
    </xf>
    <xf numFmtId="167" fontId="72" fillId="0" borderId="0" xfId="84" applyNumberFormat="1" applyFont="1" applyFill="1"/>
    <xf numFmtId="3" fontId="72" fillId="0" borderId="0" xfId="84" applyNumberFormat="1" applyFont="1" applyFill="1"/>
    <xf numFmtId="0" fontId="73" fillId="0" borderId="0" xfId="0" applyNumberFormat="1" applyFont="1" applyAlignment="1"/>
    <xf numFmtId="0" fontId="3" fillId="0" borderId="0" xfId="11" applyFont="1" applyFill="1"/>
    <xf numFmtId="0" fontId="3" fillId="0" borderId="0" xfId="11" applyFont="1" applyFill="1" applyBorder="1"/>
    <xf numFmtId="0" fontId="21" fillId="0" borderId="0" xfId="11" applyNumberFormat="1" applyFont="1" applyFill="1" applyAlignment="1"/>
    <xf numFmtId="0" fontId="22" fillId="0" borderId="0" xfId="11" applyNumberFormat="1" applyFont="1" applyFill="1" applyAlignment="1"/>
    <xf numFmtId="164" fontId="22"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2" fillId="0" borderId="0" xfId="11" applyNumberFormat="1" applyFont="1" applyFill="1" applyAlignment="1">
      <alignment horizontal="center"/>
    </xf>
    <xf numFmtId="0" fontId="3" fillId="0" borderId="0" xfId="11" applyNumberFormat="1" applyFont="1" applyFill="1" applyAlignment="1"/>
    <xf numFmtId="167" fontId="3" fillId="0" borderId="0" xfId="11" applyNumberFormat="1" applyFont="1" applyFill="1" applyAlignment="1"/>
    <xf numFmtId="3" fontId="3" fillId="0" borderId="0" xfId="34" applyNumberFormat="1" applyFont="1" applyFill="1"/>
    <xf numFmtId="3" fontId="3" fillId="0" borderId="0" xfId="34" applyNumberFormat="1" applyFont="1" applyFill="1" applyBorder="1"/>
    <xf numFmtId="0" fontId="21" fillId="0" borderId="0" xfId="11" applyNumberFormat="1" applyFont="1" applyFill="1" applyBorder="1" applyAlignment="1"/>
    <xf numFmtId="164" fontId="22" fillId="0" borderId="0" xfId="11" applyNumberFormat="1" applyFont="1" applyFill="1" applyBorder="1" applyAlignment="1"/>
    <xf numFmtId="164" fontId="45" fillId="0" borderId="0" xfId="11" applyNumberFormat="1" applyFont="1" applyFill="1" applyAlignment="1"/>
    <xf numFmtId="0" fontId="22" fillId="0" borderId="0" xfId="11" applyFont="1" applyFill="1" applyBorder="1"/>
    <xf numFmtId="0" fontId="4" fillId="0" borderId="0" xfId="11" applyFill="1"/>
    <xf numFmtId="167" fontId="22" fillId="0" borderId="0" xfId="11" applyNumberFormat="1" applyFont="1" applyFill="1" applyAlignment="1"/>
    <xf numFmtId="0" fontId="16" fillId="0" borderId="15" xfId="11" applyNumberFormat="1" applyFont="1" applyFill="1" applyBorder="1" applyAlignment="1"/>
    <xf numFmtId="167" fontId="16" fillId="0" borderId="15" xfId="11" applyNumberFormat="1" applyFont="1" applyFill="1" applyBorder="1"/>
    <xf numFmtId="0" fontId="16" fillId="0" borderId="0" xfId="11" applyNumberFormat="1" applyFont="1" applyFill="1" applyAlignment="1"/>
    <xf numFmtId="0" fontId="16" fillId="0" borderId="0" xfId="11" applyNumberFormat="1" applyFont="1" applyFill="1" applyBorder="1" applyAlignment="1"/>
    <xf numFmtId="164" fontId="16" fillId="0" borderId="0" xfId="11" applyNumberFormat="1" applyFont="1" applyFill="1" applyBorder="1" applyAlignment="1"/>
    <xf numFmtId="0" fontId="3" fillId="0" borderId="0" xfId="11" applyNumberFormat="1" applyFont="1" applyFill="1" applyBorder="1" applyAlignment="1"/>
    <xf numFmtId="3" fontId="25" fillId="0" borderId="0" xfId="11" applyNumberFormat="1" applyFont="1" applyFill="1" applyBorder="1"/>
    <xf numFmtId="0" fontId="25" fillId="0" borderId="0" xfId="11" applyNumberFormat="1" applyFont="1" applyFill="1" applyAlignment="1"/>
    <xf numFmtId="3" fontId="22" fillId="0" borderId="0" xfId="11" applyNumberFormat="1" applyFont="1" applyFill="1" applyBorder="1"/>
    <xf numFmtId="3" fontId="22" fillId="0" borderId="0" xfId="11" applyNumberFormat="1" applyFont="1" applyFill="1"/>
    <xf numFmtId="164" fontId="3" fillId="0" borderId="0" xfId="11" applyNumberFormat="1" applyFont="1" applyFill="1" applyBorder="1" applyAlignment="1"/>
    <xf numFmtId="169" fontId="77" fillId="0" borderId="0" xfId="36" applyNumberFormat="1" applyFont="1" applyFill="1"/>
    <xf numFmtId="164" fontId="4" fillId="0" borderId="0" xfId="0" applyNumberFormat="1" applyFont="1" applyFill="1" applyAlignment="1">
      <alignment horizontal="right"/>
    </xf>
    <xf numFmtId="3" fontId="4" fillId="0" borderId="0" xfId="0" applyNumberFormat="1" applyFont="1" applyFill="1" applyAlignment="1">
      <alignment horizontal="right"/>
    </xf>
    <xf numFmtId="0" fontId="11" fillId="0" borderId="0" xfId="14" applyFont="1" applyFill="1" applyAlignment="1" applyProtection="1">
      <alignment horizontal="left"/>
    </xf>
    <xf numFmtId="7" fontId="78" fillId="0" borderId="0" xfId="16" applyNumberFormat="1" applyFont="1"/>
    <xf numFmtId="167" fontId="8" fillId="0" borderId="0" xfId="26" applyNumberFormat="1" applyAlignment="1"/>
    <xf numFmtId="5" fontId="11" fillId="0" borderId="0" xfId="16" applyNumberFormat="1" applyFont="1" applyProtection="1"/>
    <xf numFmtId="167" fontId="3" fillId="0" borderId="0" xfId="0" applyNumberFormat="1" applyFont="1" applyFill="1" applyAlignment="1"/>
    <xf numFmtId="167" fontId="3" fillId="0" borderId="0" xfId="0" applyNumberFormat="1" applyFont="1" applyAlignment="1"/>
    <xf numFmtId="0" fontId="80" fillId="0" borderId="0" xfId="0" applyFont="1"/>
    <xf numFmtId="3" fontId="79" fillId="0" borderId="0" xfId="0" applyNumberFormat="1" applyFont="1" applyAlignment="1"/>
    <xf numFmtId="0" fontId="81" fillId="0" borderId="0" xfId="8" applyNumberFormat="1" applyFont="1" applyFill="1" applyAlignment="1"/>
    <xf numFmtId="0" fontId="79" fillId="0" borderId="9" xfId="16" applyFont="1" applyBorder="1"/>
    <xf numFmtId="4" fontId="4" fillId="0" borderId="0" xfId="8" applyNumberFormat="1" applyFont="1" applyFill="1" applyAlignment="1"/>
    <xf numFmtId="0" fontId="82" fillId="0" borderId="0" xfId="14" applyFont="1" applyBorder="1" applyAlignment="1" applyProtection="1">
      <alignment horizontal="left"/>
    </xf>
    <xf numFmtId="5" fontId="11" fillId="0" borderId="0" xfId="16" applyNumberFormat="1" applyFont="1" applyAlignment="1" applyProtection="1">
      <alignment horizontal="right"/>
    </xf>
    <xf numFmtId="0" fontId="83" fillId="0" borderId="0" xfId="0" applyFont="1"/>
    <xf numFmtId="2" fontId="5" fillId="0" borderId="0" xfId="8" applyNumberFormat="1" applyFont="1" applyFill="1" applyBorder="1" applyAlignment="1"/>
    <xf numFmtId="0" fontId="3" fillId="0" borderId="0" xfId="0" applyFont="1" applyBorder="1"/>
    <xf numFmtId="0" fontId="50" fillId="0" borderId="0" xfId="0" applyNumberFormat="1" applyFont="1" applyAlignment="1"/>
    <xf numFmtId="0" fontId="81" fillId="0" borderId="0" xfId="0" applyNumberFormat="1" applyFont="1" applyAlignment="1"/>
    <xf numFmtId="3" fontId="73" fillId="0" borderId="0" xfId="11" applyNumberFormat="1" applyFont="1" applyFill="1"/>
    <xf numFmtId="0" fontId="76" fillId="0" borderId="0" xfId="11" applyNumberFormat="1" applyFont="1" applyFill="1" applyAlignment="1"/>
    <xf numFmtId="3" fontId="73" fillId="0" borderId="0" xfId="11" applyNumberFormat="1" applyFont="1" applyFill="1" applyBorder="1"/>
    <xf numFmtId="0" fontId="73" fillId="0" borderId="0" xfId="11" applyNumberFormat="1" applyFont="1" applyFill="1" applyBorder="1" applyAlignment="1"/>
    <xf numFmtId="3" fontId="89" fillId="0" borderId="0" xfId="11" applyNumberFormat="1" applyFont="1" applyFill="1" applyBorder="1"/>
    <xf numFmtId="3" fontId="76" fillId="0" borderId="0" xfId="11" applyNumberFormat="1" applyFont="1" applyFill="1" applyBorder="1"/>
    <xf numFmtId="3" fontId="76" fillId="0" borderId="0" xfId="11" applyNumberFormat="1" applyFont="1" applyFill="1"/>
    <xf numFmtId="3" fontId="86" fillId="0" borderId="0" xfId="28" applyNumberFormat="1" applyFont="1" applyFill="1"/>
    <xf numFmtId="0" fontId="91" fillId="0" borderId="0" xfId="86" applyAlignment="1" applyProtection="1"/>
    <xf numFmtId="167" fontId="0" fillId="0" borderId="0" xfId="0" applyNumberFormat="1" applyAlignment="1"/>
    <xf numFmtId="0" fontId="79" fillId="0" borderId="0" xfId="14" applyFont="1" applyProtection="1"/>
    <xf numFmtId="0" fontId="79" fillId="0" borderId="0" xfId="0" applyNumberFormat="1" applyFont="1" applyAlignment="1"/>
    <xf numFmtId="3" fontId="21" fillId="0" borderId="0" xfId="35" applyNumberFormat="1" applyFont="1" applyFill="1" applyAlignment="1"/>
    <xf numFmtId="0" fontId="11" fillId="0" borderId="0" xfId="35" applyNumberFormat="1" applyFont="1" applyFill="1" applyAlignment="1"/>
    <xf numFmtId="0" fontId="19" fillId="0" borderId="0" xfId="22" applyFont="1" applyFill="1"/>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0" fontId="6" fillId="0" borderId="0" xfId="35" applyNumberFormat="1" applyFont="1" applyFill="1" applyAlignment="1"/>
    <xf numFmtId="167" fontId="19" fillId="0" borderId="0" xfId="22" applyNumberFormat="1" applyFont="1" applyFill="1"/>
    <xf numFmtId="0" fontId="21" fillId="0" borderId="0" xfId="35" applyNumberFormat="1" applyFont="1" applyFill="1" applyAlignment="1"/>
    <xf numFmtId="0" fontId="85" fillId="0" borderId="0" xfId="22" applyFont="1" applyFill="1"/>
    <xf numFmtId="0" fontId="11" fillId="0" borderId="0" xfId="35" applyNumberFormat="1" applyFont="1" applyFill="1" applyAlignment="1">
      <alignment horizontal="right"/>
    </xf>
    <xf numFmtId="0" fontId="95" fillId="0" borderId="0" xfId="22" applyFont="1" applyFill="1"/>
    <xf numFmtId="0" fontId="11" fillId="0" borderId="0" xfId="35" applyFill="1"/>
    <xf numFmtId="0" fontId="86" fillId="0" borderId="0" xfId="22" applyFont="1" applyFill="1"/>
    <xf numFmtId="167" fontId="87" fillId="0" borderId="0" xfId="11" applyNumberFormat="1" applyFont="1" applyFill="1"/>
    <xf numFmtId="179" fontId="19" fillId="0" borderId="0" xfId="41" applyNumberFormat="1" applyFont="1" applyFill="1"/>
    <xf numFmtId="3" fontId="3" fillId="0" borderId="0" xfId="11" applyNumberFormat="1" applyFont="1" applyFill="1" applyAlignment="1"/>
    <xf numFmtId="3" fontId="73" fillId="0" borderId="0" xfId="11" applyNumberFormat="1" applyFont="1" applyFill="1" applyAlignment="1"/>
    <xf numFmtId="0" fontId="73" fillId="0" borderId="0" xfId="11" applyNumberFormat="1" applyFont="1" applyFill="1" applyAlignment="1"/>
    <xf numFmtId="3" fontId="73" fillId="0" borderId="0" xfId="11" applyNumberFormat="1" applyFont="1" applyFill="1" applyBorder="1" applyAlignment="1"/>
    <xf numFmtId="3" fontId="6" fillId="0" borderId="0" xfId="11" applyNumberFormat="1" applyFont="1" applyFill="1" applyBorder="1" applyAlignment="1"/>
    <xf numFmtId="3" fontId="3" fillId="0" borderId="0" xfId="11" applyNumberFormat="1" applyFont="1" applyFill="1" applyBorder="1" applyAlignment="1"/>
    <xf numFmtId="0" fontId="4" fillId="0" borderId="0" xfId="11" applyFill="1" applyBorder="1"/>
    <xf numFmtId="0" fontId="16" fillId="0" borderId="19" xfId="11" applyNumberFormat="1" applyFont="1" applyFill="1" applyBorder="1" applyAlignment="1"/>
    <xf numFmtId="0" fontId="16" fillId="0" borderId="20" xfId="11" applyNumberFormat="1" applyFont="1" applyFill="1" applyBorder="1" applyAlignment="1">
      <alignment horizontal="center"/>
    </xf>
    <xf numFmtId="3" fontId="16" fillId="0" borderId="20" xfId="11" applyNumberFormat="1" applyFont="1" applyFill="1" applyBorder="1" applyAlignment="1">
      <alignment horizontal="center"/>
    </xf>
    <xf numFmtId="0" fontId="87" fillId="0" borderId="19" xfId="11" applyNumberFormat="1" applyFont="1" applyFill="1" applyBorder="1" applyAlignment="1">
      <alignment horizontal="left"/>
    </xf>
    <xf numFmtId="0" fontId="87" fillId="0" borderId="19" xfId="11" applyNumberFormat="1" applyFont="1" applyFill="1" applyBorder="1" applyAlignment="1">
      <alignment horizontal="center"/>
    </xf>
    <xf numFmtId="0" fontId="75" fillId="0" borderId="19" xfId="11" applyNumberFormat="1" applyFont="1" applyFill="1" applyBorder="1" applyAlignment="1">
      <alignment horizontal="left"/>
    </xf>
    <xf numFmtId="0" fontId="16" fillId="0" borderId="13" xfId="11" applyNumberFormat="1" applyFont="1" applyFill="1" applyBorder="1" applyAlignment="1">
      <alignment horizontal="center"/>
    </xf>
    <xf numFmtId="3" fontId="16" fillId="0" borderId="13" xfId="11" applyNumberFormat="1" applyFont="1" applyFill="1" applyBorder="1" applyAlignment="1"/>
    <xf numFmtId="0" fontId="16" fillId="0" borderId="13" xfId="11" applyNumberFormat="1" applyFont="1" applyFill="1" applyBorder="1" applyAlignment="1"/>
    <xf numFmtId="3" fontId="16" fillId="0" borderId="21" xfId="11" applyNumberFormat="1" applyFont="1" applyFill="1" applyBorder="1" applyAlignment="1"/>
    <xf numFmtId="3" fontId="16" fillId="0" borderId="13" xfId="11" applyNumberFormat="1" applyFont="1" applyFill="1" applyBorder="1" applyAlignment="1">
      <alignment horizontal="center"/>
    </xf>
    <xf numFmtId="3" fontId="16" fillId="0" borderId="22" xfId="11" applyNumberFormat="1" applyFont="1" applyFill="1" applyBorder="1" applyAlignment="1">
      <alignment horizontal="center"/>
    </xf>
    <xf numFmtId="3" fontId="87" fillId="0" borderId="13" xfId="11" applyNumberFormat="1" applyFont="1" applyFill="1" applyBorder="1" applyAlignment="1">
      <alignment horizontal="center"/>
    </xf>
    <xf numFmtId="0" fontId="87" fillId="0" borderId="13" xfId="11" applyNumberFormat="1" applyFont="1" applyFill="1" applyBorder="1" applyAlignment="1">
      <alignment horizontal="center"/>
    </xf>
    <xf numFmtId="3" fontId="16" fillId="0" borderId="23" xfId="11" applyNumberFormat="1" applyFont="1" applyFill="1" applyBorder="1" applyAlignment="1">
      <alignment horizontal="center"/>
    </xf>
    <xf numFmtId="3" fontId="16" fillId="0" borderId="24" xfId="11" applyNumberFormat="1" applyFont="1" applyFill="1" applyBorder="1" applyAlignment="1">
      <alignment horizontal="center"/>
    </xf>
    <xf numFmtId="167" fontId="3" fillId="0" borderId="0" xfId="11" applyNumberFormat="1" applyFont="1" applyFill="1" applyBorder="1"/>
    <xf numFmtId="3" fontId="3" fillId="0" borderId="25" xfId="11" applyNumberFormat="1" applyFont="1" applyFill="1" applyBorder="1"/>
    <xf numFmtId="3" fontId="3" fillId="0" borderId="26" xfId="11" applyNumberFormat="1" applyFont="1" applyFill="1" applyBorder="1"/>
    <xf numFmtId="0" fontId="6" fillId="0" borderId="0" xfId="11" applyNumberFormat="1" applyFont="1" applyFill="1" applyBorder="1" applyAlignment="1"/>
    <xf numFmtId="3" fontId="44" fillId="0" borderId="0" xfId="11" applyNumberFormat="1" applyFont="1" applyFill="1" applyBorder="1" applyAlignment="1"/>
    <xf numFmtId="3" fontId="50" fillId="0" borderId="0" xfId="11" applyNumberFormat="1" applyFont="1" applyFill="1" applyBorder="1" applyAlignment="1"/>
    <xf numFmtId="0" fontId="16" fillId="0" borderId="0" xfId="11" applyNumberFormat="1" applyFont="1" applyFill="1" applyBorder="1" applyAlignment="1">
      <alignment horizontal="center"/>
    </xf>
    <xf numFmtId="3" fontId="16" fillId="0" borderId="0" xfId="11" applyNumberFormat="1" applyFont="1" applyFill="1" applyBorder="1" applyAlignment="1"/>
    <xf numFmtId="3" fontId="16" fillId="0" borderId="25" xfId="11" applyNumberFormat="1" applyFont="1" applyFill="1" applyBorder="1" applyAlignment="1"/>
    <xf numFmtId="3" fontId="16" fillId="0" borderId="0" xfId="11" applyNumberFormat="1" applyFont="1" applyFill="1" applyBorder="1" applyAlignment="1">
      <alignment horizontal="center"/>
    </xf>
    <xf numFmtId="3" fontId="16" fillId="0" borderId="26" xfId="11" applyNumberFormat="1" applyFont="1" applyFill="1" applyBorder="1" applyAlignment="1">
      <alignment horizontal="center"/>
    </xf>
    <xf numFmtId="3" fontId="87" fillId="0" borderId="0" xfId="11" applyNumberFormat="1" applyFont="1" applyFill="1" applyBorder="1" applyAlignment="1">
      <alignment horizontal="center"/>
    </xf>
    <xf numFmtId="3" fontId="73" fillId="0" borderId="0" xfId="11" applyNumberFormat="1" applyFont="1" applyFill="1" applyAlignment="1">
      <alignment horizontal="right"/>
    </xf>
    <xf numFmtId="3" fontId="73" fillId="0" borderId="25" xfId="11" applyNumberFormat="1" applyFont="1" applyFill="1" applyBorder="1"/>
    <xf numFmtId="3" fontId="73" fillId="0" borderId="26" xfId="11" applyNumberFormat="1" applyFont="1" applyFill="1" applyBorder="1"/>
    <xf numFmtId="3" fontId="3" fillId="0" borderId="1" xfId="11" applyNumberFormat="1" applyFont="1" applyFill="1" applyBorder="1"/>
    <xf numFmtId="3" fontId="3" fillId="0" borderId="23" xfId="11" applyNumberFormat="1" applyFont="1" applyFill="1" applyBorder="1"/>
    <xf numFmtId="3" fontId="3" fillId="0" borderId="24" xfId="11" applyNumberFormat="1" applyFont="1" applyFill="1" applyBorder="1"/>
    <xf numFmtId="3" fontId="73" fillId="0" borderId="1" xfId="11" applyNumberFormat="1" applyFont="1" applyFill="1" applyBorder="1"/>
    <xf numFmtId="3" fontId="4" fillId="0" borderId="0" xfId="11" applyNumberFormat="1" applyFill="1"/>
    <xf numFmtId="3" fontId="16" fillId="0" borderId="15" xfId="11" applyNumberFormat="1" applyFont="1" applyFill="1" applyBorder="1"/>
    <xf numFmtId="167" fontId="16" fillId="0" borderId="27" xfId="11" applyNumberFormat="1" applyFont="1" applyFill="1" applyBorder="1"/>
    <xf numFmtId="3" fontId="16" fillId="0" borderId="28" xfId="11" applyNumberFormat="1" applyFont="1" applyFill="1" applyBorder="1"/>
    <xf numFmtId="3" fontId="16" fillId="0" borderId="27" xfId="11" applyNumberFormat="1" applyFont="1" applyFill="1" applyBorder="1"/>
    <xf numFmtId="3" fontId="87" fillId="0" borderId="15" xfId="11" applyNumberFormat="1" applyFont="1" applyFill="1" applyBorder="1"/>
    <xf numFmtId="0" fontId="3" fillId="0" borderId="1" xfId="11" applyNumberFormat="1" applyFont="1" applyFill="1" applyBorder="1" applyAlignment="1"/>
    <xf numFmtId="0" fontId="3" fillId="0" borderId="24" xfId="11" applyNumberFormat="1" applyFont="1" applyFill="1" applyBorder="1" applyAlignment="1"/>
    <xf numFmtId="0" fontId="3" fillId="0" borderId="23" xfId="11" applyNumberFormat="1" applyFont="1" applyFill="1" applyBorder="1" applyAlignment="1"/>
    <xf numFmtId="0" fontId="73" fillId="0" borderId="1" xfId="11" applyNumberFormat="1" applyFont="1" applyFill="1" applyBorder="1" applyAlignment="1"/>
    <xf numFmtId="3" fontId="73" fillId="0" borderId="1" xfId="11" applyNumberFormat="1" applyFont="1" applyFill="1" applyBorder="1" applyAlignment="1"/>
    <xf numFmtId="3" fontId="16" fillId="0" borderId="0" xfId="11" applyNumberFormat="1" applyFont="1" applyFill="1" applyBorder="1"/>
    <xf numFmtId="167" fontId="16" fillId="0" borderId="24" xfId="11" applyNumberFormat="1" applyFont="1" applyFill="1" applyBorder="1"/>
    <xf numFmtId="167" fontId="16" fillId="0" borderId="13" xfId="11" applyNumberFormat="1" applyFont="1" applyFill="1" applyBorder="1"/>
    <xf numFmtId="3" fontId="16" fillId="0" borderId="25" xfId="11" applyNumberFormat="1" applyFont="1" applyFill="1" applyBorder="1"/>
    <xf numFmtId="167" fontId="16" fillId="0" borderId="0" xfId="11" applyNumberFormat="1" applyFont="1" applyFill="1" applyBorder="1"/>
    <xf numFmtId="3" fontId="16" fillId="0" borderId="26" xfId="11" applyNumberFormat="1" applyFont="1" applyFill="1" applyBorder="1"/>
    <xf numFmtId="3" fontId="87" fillId="0" borderId="0" xfId="11" applyNumberFormat="1" applyFont="1" applyFill="1" applyBorder="1"/>
    <xf numFmtId="0" fontId="22" fillId="0" borderId="0" xfId="11" applyFont="1" applyFill="1"/>
    <xf numFmtId="0" fontId="75" fillId="0" borderId="0" xfId="11" applyFont="1" applyFill="1"/>
    <xf numFmtId="3" fontId="11" fillId="0" borderId="0" xfId="11" applyNumberFormat="1" applyFont="1" applyFill="1" applyAlignment="1"/>
    <xf numFmtId="3" fontId="11" fillId="0" borderId="0" xfId="11" applyNumberFormat="1" applyFont="1" applyFill="1" applyBorder="1" applyAlignment="1"/>
    <xf numFmtId="167" fontId="11" fillId="0" borderId="0" xfId="11" applyNumberFormat="1" applyFont="1" applyFill="1"/>
    <xf numFmtId="3" fontId="11" fillId="0" borderId="0" xfId="11" applyNumberFormat="1" applyFont="1" applyFill="1" applyBorder="1"/>
    <xf numFmtId="3" fontId="23" fillId="0" borderId="15" xfId="11" applyNumberFormat="1" applyFont="1" applyFill="1" applyBorder="1" applyAlignment="1"/>
    <xf numFmtId="167" fontId="23" fillId="0" borderId="15" xfId="11" applyNumberFormat="1" applyFont="1" applyFill="1" applyBorder="1"/>
    <xf numFmtId="3" fontId="11" fillId="0" borderId="1" xfId="11" applyNumberFormat="1" applyFont="1" applyFill="1" applyBorder="1" applyAlignment="1"/>
    <xf numFmtId="3" fontId="23" fillId="0" borderId="15" xfId="11" applyNumberFormat="1" applyFont="1" applyFill="1" applyBorder="1"/>
    <xf numFmtId="37" fontId="21" fillId="4" borderId="0" xfId="17" applyNumberFormat="1" applyFont="1" applyFill="1" applyAlignment="1" applyProtection="1">
      <alignment horizontal="left"/>
    </xf>
    <xf numFmtId="4" fontId="26" fillId="4" borderId="0" xfId="17" applyNumberFormat="1" applyFont="1" applyFill="1" applyProtection="1"/>
    <xf numFmtId="0" fontId="11" fillId="4" borderId="0" xfId="33" applyFont="1" applyFill="1"/>
    <xf numFmtId="37" fontId="6" fillId="4" borderId="0" xfId="17" applyNumberFormat="1" applyFont="1" applyFill="1" applyAlignment="1" applyProtection="1">
      <alignment horizontal="left"/>
    </xf>
    <xf numFmtId="37" fontId="83" fillId="4" borderId="0" xfId="17" applyNumberFormat="1" applyFont="1" applyFill="1" applyAlignment="1" applyProtection="1">
      <alignment horizontal="left"/>
    </xf>
    <xf numFmtId="167" fontId="11" fillId="4" borderId="0" xfId="33" applyNumberFormat="1" applyFont="1" applyFill="1" applyBorder="1" applyAlignment="1"/>
    <xf numFmtId="10" fontId="11" fillId="4" borderId="0" xfId="38" applyNumberFormat="1" applyFont="1" applyFill="1"/>
    <xf numFmtId="0" fontId="73" fillId="4" borderId="0" xfId="33" applyFont="1" applyFill="1" applyBorder="1"/>
    <xf numFmtId="5" fontId="23" fillId="4" borderId="8" xfId="17" applyNumberFormat="1" applyFont="1" applyFill="1" applyBorder="1" applyProtection="1"/>
    <xf numFmtId="167" fontId="23" fillId="4" borderId="8" xfId="17" applyNumberFormat="1" applyFont="1" applyFill="1" applyBorder="1" applyProtection="1"/>
    <xf numFmtId="5" fontId="23" fillId="4" borderId="0" xfId="17" applyNumberFormat="1" applyFont="1" applyFill="1" applyBorder="1" applyProtection="1"/>
    <xf numFmtId="3" fontId="11" fillId="4" borderId="0" xfId="33" applyNumberFormat="1" applyFont="1" applyFill="1" applyBorder="1"/>
    <xf numFmtId="0" fontId="11" fillId="4" borderId="13" xfId="33" applyFont="1" applyFill="1" applyBorder="1"/>
    <xf numFmtId="3" fontId="11" fillId="4" borderId="0" xfId="33" applyNumberFormat="1" applyFont="1" applyFill="1"/>
    <xf numFmtId="10" fontId="42" fillId="4" borderId="0" xfId="38" applyNumberFormat="1" applyFont="1" applyFill="1"/>
    <xf numFmtId="3" fontId="52" fillId="4" borderId="0" xfId="0" applyNumberFormat="1" applyFont="1" applyFill="1" applyBorder="1" applyAlignment="1">
      <alignment horizontal="right" vertical="center"/>
    </xf>
    <xf numFmtId="0" fontId="47" fillId="0" borderId="0" xfId="28" applyFont="1" applyFill="1"/>
    <xf numFmtId="0" fontId="19" fillId="0" borderId="0" xfId="28" applyFont="1" applyFill="1"/>
    <xf numFmtId="0" fontId="48" fillId="0" borderId="19" xfId="28" applyFont="1" applyFill="1" applyBorder="1"/>
    <xf numFmtId="0" fontId="48" fillId="0" borderId="19" xfId="28" applyFont="1" applyFill="1" applyBorder="1" applyAlignment="1">
      <alignment horizontal="center"/>
    </xf>
    <xf numFmtId="0" fontId="18" fillId="0" borderId="0" xfId="28" applyFill="1"/>
    <xf numFmtId="167" fontId="19" fillId="0" borderId="0" xfId="28" applyNumberFormat="1" applyFont="1" applyFill="1"/>
    <xf numFmtId="167" fontId="19" fillId="0" borderId="0" xfId="36" applyNumberFormat="1" applyFont="1" applyFill="1"/>
    <xf numFmtId="0" fontId="18" fillId="0" borderId="0" xfId="28" applyFill="1" applyAlignment="1">
      <alignment horizontal="left" indent="1"/>
    </xf>
    <xf numFmtId="0" fontId="48" fillId="0" borderId="15" xfId="28" applyFont="1" applyFill="1" applyBorder="1"/>
    <xf numFmtId="167" fontId="48" fillId="0" borderId="15" xfId="28" applyNumberFormat="1" applyFont="1" applyFill="1" applyBorder="1"/>
    <xf numFmtId="0" fontId="21" fillId="4" borderId="0" xfId="32" applyNumberFormat="1" applyFont="1" applyFill="1" applyAlignment="1"/>
    <xf numFmtId="0" fontId="13" fillId="4" borderId="0" xfId="32" applyNumberFormat="1" applyFont="1" applyFill="1" applyAlignment="1"/>
    <xf numFmtId="167" fontId="13" fillId="4" borderId="0" xfId="38" applyNumberFormat="1" applyFont="1" applyFill="1" applyAlignment="1"/>
    <xf numFmtId="170" fontId="6" fillId="4" borderId="0" xfId="32" applyNumberFormat="1" applyFont="1" applyFill="1" applyAlignment="1"/>
    <xf numFmtId="0" fontId="22" fillId="4" borderId="0" xfId="31" applyNumberFormat="1" applyFont="1" applyFill="1" applyAlignment="1">
      <alignment horizontal="left" wrapText="1"/>
    </xf>
    <xf numFmtId="167" fontId="11" fillId="4" borderId="0" xfId="38" applyNumberFormat="1" applyFont="1" applyFill="1" applyBorder="1"/>
    <xf numFmtId="0" fontId="11" fillId="4" borderId="0" xfId="32" applyFont="1" applyFill="1" applyBorder="1"/>
    <xf numFmtId="167" fontId="11" fillId="4" borderId="0" xfId="32" applyNumberFormat="1" applyFont="1" applyFill="1" applyBorder="1"/>
    <xf numFmtId="167" fontId="11" fillId="4" borderId="0" xfId="32" applyNumberFormat="1" applyFont="1" applyFill="1"/>
    <xf numFmtId="3" fontId="73" fillId="4" borderId="0" xfId="32" applyNumberFormat="1" applyFont="1" applyFill="1" applyBorder="1"/>
    <xf numFmtId="170" fontId="23" fillId="4" borderId="0" xfId="32" applyNumberFormat="1" applyFont="1" applyFill="1" applyAlignment="1">
      <alignment horizontal="left"/>
    </xf>
    <xf numFmtId="0" fontId="11" fillId="4" borderId="0" xfId="32" applyNumberFormat="1" applyFont="1" applyFill="1" applyAlignment="1"/>
    <xf numFmtId="177" fontId="43" fillId="4" borderId="0" xfId="31" applyFill="1"/>
    <xf numFmtId="3" fontId="11" fillId="4" borderId="1" xfId="32" applyNumberFormat="1" applyFont="1" applyFill="1" applyBorder="1"/>
    <xf numFmtId="3" fontId="23" fillId="4" borderId="15" xfId="32" applyNumberFormat="1" applyFont="1" applyFill="1" applyBorder="1" applyAlignment="1"/>
    <xf numFmtId="167" fontId="23" fillId="4" borderId="15" xfId="38" applyNumberFormat="1" applyFont="1" applyFill="1" applyBorder="1"/>
    <xf numFmtId="167" fontId="23" fillId="4" borderId="0" xfId="32" applyNumberFormat="1" applyFont="1" applyFill="1"/>
    <xf numFmtId="0" fontId="11" fillId="4" borderId="15" xfId="32" applyFont="1" applyFill="1" applyBorder="1"/>
    <xf numFmtId="167" fontId="23" fillId="4" borderId="0" xfId="38" applyNumberFormat="1" applyFont="1" applyFill="1"/>
    <xf numFmtId="3" fontId="3" fillId="0" borderId="0" xfId="25" applyNumberFormat="1" applyFont="1" applyFill="1" applyAlignment="1">
      <alignment horizontal="right"/>
    </xf>
    <xf numFmtId="3" fontId="3" fillId="0" borderId="0" xfId="25" applyNumberFormat="1" applyFont="1" applyFill="1"/>
    <xf numFmtId="0" fontId="16" fillId="0" borderId="41" xfId="0" applyFont="1" applyBorder="1" applyAlignment="1">
      <alignment horizontal="center" wrapText="1"/>
    </xf>
    <xf numFmtId="167" fontId="3" fillId="0" borderId="0" xfId="0" applyNumberFormat="1" applyFont="1" applyAlignment="1">
      <alignment horizontal="right"/>
    </xf>
    <xf numFmtId="0" fontId="3" fillId="0" borderId="0" xfId="16" applyNumberFormat="1" applyFont="1" applyAlignment="1" applyProtection="1">
      <alignment horizontal="center"/>
    </xf>
    <xf numFmtId="169" fontId="96" fillId="0" borderId="0" xfId="36" applyNumberFormat="1" applyFont="1"/>
    <xf numFmtId="3" fontId="75" fillId="0" borderId="0" xfId="26" applyNumberFormat="1" applyFont="1"/>
    <xf numFmtId="3" fontId="73" fillId="0" borderId="0" xfId="0" applyNumberFormat="1" applyFont="1" applyFill="1" applyBorder="1" applyAlignment="1"/>
    <xf numFmtId="0" fontId="83" fillId="0" borderId="0" xfId="0" applyNumberFormat="1" applyFont="1" applyAlignment="1"/>
    <xf numFmtId="0" fontId="97" fillId="0" borderId="0" xfId="22" applyFont="1" applyFill="1"/>
    <xf numFmtId="0" fontId="98" fillId="0" borderId="0" xfId="0" applyFont="1"/>
    <xf numFmtId="0" fontId="21" fillId="0" borderId="0" xfId="0" applyFont="1" applyAlignment="1">
      <alignment vertical="center"/>
    </xf>
    <xf numFmtId="0" fontId="21" fillId="0" borderId="0" xfId="15" applyFont="1" applyFill="1" applyProtection="1"/>
    <xf numFmtId="0" fontId="21" fillId="0" borderId="0" xfId="14" applyFont="1" applyFill="1" applyProtection="1"/>
    <xf numFmtId="3" fontId="21" fillId="0" borderId="0" xfId="0" applyNumberFormat="1" applyFont="1" applyFill="1" applyAlignment="1"/>
    <xf numFmtId="0" fontId="21" fillId="0" borderId="0" xfId="0" applyNumberFormat="1" applyFont="1" applyFill="1" applyAlignment="1"/>
    <xf numFmtId="0" fontId="21" fillId="0" borderId="0" xfId="25" applyFont="1" applyFill="1" applyAlignment="1"/>
    <xf numFmtId="0" fontId="21" fillId="0" borderId="0" xfId="21" applyFont="1" applyFill="1" applyAlignment="1">
      <alignment horizontal="left"/>
    </xf>
    <xf numFmtId="0" fontId="21" fillId="0" borderId="0" xfId="16" applyFont="1" applyFill="1"/>
    <xf numFmtId="0" fontId="94" fillId="0" borderId="0" xfId="0" applyNumberFormat="1" applyFont="1" applyAlignment="1"/>
    <xf numFmtId="169" fontId="101" fillId="0" borderId="0" xfId="36" applyNumberFormat="1" applyFont="1"/>
    <xf numFmtId="0" fontId="16" fillId="0" borderId="0" xfId="0" applyFont="1"/>
    <xf numFmtId="0" fontId="39" fillId="0" borderId="0" xfId="29" applyFill="1"/>
    <xf numFmtId="0" fontId="53" fillId="0" borderId="0" xfId="29" applyFont="1" applyFill="1"/>
    <xf numFmtId="0" fontId="21" fillId="0" borderId="0" xfId="30" applyFont="1" applyFill="1" applyAlignment="1">
      <alignment horizontal="left"/>
    </xf>
    <xf numFmtId="0" fontId="6" fillId="0" borderId="0" xfId="30" applyFont="1" applyFill="1" applyAlignment="1">
      <alignment horizontal="left"/>
    </xf>
    <xf numFmtId="0" fontId="39" fillId="0" borderId="0" xfId="30" applyFill="1" applyAlignment="1">
      <alignment horizontal="left"/>
    </xf>
    <xf numFmtId="0" fontId="39" fillId="0" borderId="0" xfId="30" applyFill="1" applyAlignment="1">
      <alignment horizontal="center"/>
    </xf>
    <xf numFmtId="170" fontId="6" fillId="4" borderId="0" xfId="32" applyNumberFormat="1" applyFont="1" applyFill="1" applyAlignment="1">
      <alignment horizontal="left"/>
    </xf>
    <xf numFmtId="10" fontId="4" fillId="0" borderId="0" xfId="0" applyNumberFormat="1" applyFont="1" applyFill="1" applyAlignment="1">
      <alignment horizontal="right"/>
    </xf>
    <xf numFmtId="10" fontId="4" fillId="0" borderId="1" xfId="0" applyNumberFormat="1" applyFont="1" applyFill="1" applyBorder="1" applyAlignment="1">
      <alignment horizontal="right"/>
    </xf>
    <xf numFmtId="10" fontId="6"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10" fontId="4" fillId="0" borderId="3" xfId="0" applyNumberFormat="1" applyFont="1" applyFill="1" applyBorder="1" applyAlignment="1">
      <alignment horizontal="right"/>
    </xf>
    <xf numFmtId="10" fontId="4" fillId="0" borderId="4" xfId="0" applyNumberFormat="1" applyFont="1" applyFill="1" applyBorder="1" applyAlignment="1">
      <alignment horizontal="right"/>
    </xf>
    <xf numFmtId="0" fontId="3" fillId="0" borderId="0" xfId="29" applyFont="1" applyFill="1" applyBorder="1" applyAlignment="1">
      <alignment horizontal="left"/>
    </xf>
    <xf numFmtId="0" fontId="3" fillId="0" borderId="0" xfId="29" applyFont="1" applyFill="1" applyBorder="1" applyAlignment="1"/>
    <xf numFmtId="0" fontId="3" fillId="0" borderId="0" xfId="29" applyFont="1" applyFill="1"/>
    <xf numFmtId="0" fontId="3" fillId="0" borderId="0" xfId="0" applyNumberFormat="1" applyFont="1" applyFill="1" applyAlignment="1"/>
    <xf numFmtId="3" fontId="4" fillId="0" borderId="0" xfId="8" quotePrefix="1" applyNumberFormat="1" applyFont="1" applyFill="1" applyAlignment="1"/>
    <xf numFmtId="0" fontId="11" fillId="4" borderId="0" xfId="32" applyFont="1" applyFill="1" applyAlignment="1"/>
    <xf numFmtId="167" fontId="11" fillId="4" borderId="0" xfId="38" applyNumberFormat="1" applyFont="1" applyFill="1" applyAlignment="1"/>
    <xf numFmtId="0" fontId="4" fillId="0" borderId="0" xfId="0" applyFont="1"/>
    <xf numFmtId="0" fontId="73" fillId="0" borderId="0" xfId="29" applyFont="1" applyFill="1" applyBorder="1" applyAlignment="1"/>
    <xf numFmtId="0" fontId="3" fillId="0" borderId="0" xfId="25" applyFont="1"/>
    <xf numFmtId="3" fontId="19" fillId="0" borderId="0" xfId="22" applyNumberFormat="1" applyFont="1" applyFill="1"/>
    <xf numFmtId="0" fontId="17" fillId="0" borderId="0" xfId="21" applyNumberFormat="1" applyFont="1" applyFill="1" applyBorder="1" applyAlignment="1">
      <alignment horizontal="left"/>
    </xf>
    <xf numFmtId="0" fontId="87" fillId="0" borderId="15" xfId="21" applyFont="1" applyBorder="1"/>
    <xf numFmtId="0" fontId="17" fillId="0" borderId="44" xfId="21" applyNumberFormat="1" applyFont="1" applyFill="1" applyBorder="1" applyAlignment="1">
      <alignment horizontal="left"/>
    </xf>
    <xf numFmtId="169" fontId="106" fillId="0" borderId="0" xfId="36" applyNumberFormat="1" applyFont="1"/>
    <xf numFmtId="0" fontId="107" fillId="0" borderId="0" xfId="0" applyFont="1"/>
    <xf numFmtId="169" fontId="102" fillId="0" borderId="0" xfId="36" applyNumberFormat="1" applyFont="1" applyFill="1" applyBorder="1" applyAlignment="1"/>
    <xf numFmtId="10" fontId="107" fillId="0" borderId="0" xfId="36" applyNumberFormat="1" applyFont="1"/>
    <xf numFmtId="0" fontId="107" fillId="0" borderId="0" xfId="16" applyNumberFormat="1" applyFont="1" applyAlignment="1" applyProtection="1">
      <alignment horizontal="center"/>
    </xf>
    <xf numFmtId="167" fontId="107" fillId="0" borderId="0" xfId="16" applyNumberFormat="1" applyFont="1" applyAlignment="1" applyProtection="1">
      <alignment horizontal="right"/>
    </xf>
    <xf numFmtId="3" fontId="107" fillId="0" borderId="0" xfId="0" applyNumberFormat="1" applyFont="1" applyBorder="1" applyAlignment="1"/>
    <xf numFmtId="169" fontId="108" fillId="0" borderId="0" xfId="36" applyNumberFormat="1" applyFont="1" applyFill="1"/>
    <xf numFmtId="0" fontId="107" fillId="0" borderId="0" xfId="0" applyNumberFormat="1" applyFont="1" applyAlignment="1"/>
    <xf numFmtId="0" fontId="109" fillId="0" borderId="0" xfId="0" applyNumberFormat="1" applyFont="1" applyAlignment="1"/>
    <xf numFmtId="164" fontId="103" fillId="0" borderId="0" xfId="0" applyNumberFormat="1" applyFont="1" applyAlignment="1">
      <alignment horizontal="right"/>
    </xf>
    <xf numFmtId="168" fontId="107" fillId="0" borderId="0" xfId="0" applyNumberFormat="1" applyFont="1" applyAlignment="1">
      <alignment horizontal="right"/>
    </xf>
    <xf numFmtId="3" fontId="103" fillId="0" borderId="0" xfId="0" applyNumberFormat="1" applyFont="1" applyAlignment="1">
      <alignment horizontal="right"/>
    </xf>
    <xf numFmtId="0" fontId="107" fillId="0" borderId="0" xfId="0" applyFont="1" applyBorder="1"/>
    <xf numFmtId="168" fontId="109" fillId="0" borderId="0" xfId="0" applyNumberFormat="1" applyFont="1" applyAlignment="1"/>
    <xf numFmtId="168" fontId="107" fillId="0" borderId="0" xfId="0" applyNumberFormat="1" applyFont="1" applyAlignment="1"/>
    <xf numFmtId="10" fontId="107" fillId="0" borderId="0" xfId="36" applyNumberFormat="1" applyFont="1" applyAlignment="1"/>
    <xf numFmtId="164" fontId="109" fillId="0" borderId="0" xfId="0" applyNumberFormat="1" applyFont="1" applyAlignment="1"/>
    <xf numFmtId="3" fontId="109" fillId="0" borderId="0" xfId="0" applyNumberFormat="1" applyFont="1" applyAlignment="1"/>
    <xf numFmtId="0" fontId="110" fillId="2" borderId="0" xfId="0" applyNumberFormat="1" applyFont="1" applyFill="1" applyAlignment="1">
      <alignment horizontal="center"/>
    </xf>
    <xf numFmtId="0" fontId="110" fillId="0" borderId="0" xfId="0" applyNumberFormat="1" applyFont="1" applyAlignment="1">
      <alignment horizontal="center"/>
    </xf>
    <xf numFmtId="0" fontId="107" fillId="3" borderId="0" xfId="0" applyNumberFormat="1" applyFont="1" applyFill="1" applyAlignment="1">
      <alignment horizontal="left"/>
    </xf>
    <xf numFmtId="164" fontId="107" fillId="0" borderId="0" xfId="0" applyNumberFormat="1" applyFont="1" applyAlignment="1">
      <alignment horizontal="right"/>
    </xf>
    <xf numFmtId="0" fontId="111" fillId="0" borderId="0" xfId="0" applyNumberFormat="1" applyFont="1" applyAlignment="1"/>
    <xf numFmtId="172" fontId="111" fillId="0" borderId="0" xfId="0" applyNumberFormat="1" applyFont="1" applyAlignment="1"/>
    <xf numFmtId="169" fontId="50" fillId="0" borderId="0" xfId="36" applyNumberFormat="1" applyFont="1" applyAlignment="1"/>
    <xf numFmtId="0" fontId="10" fillId="0" borderId="0" xfId="21" applyNumberFormat="1" applyFont="1" applyFill="1" applyBorder="1" applyAlignment="1">
      <alignment horizontal="left"/>
    </xf>
    <xf numFmtId="0" fontId="3" fillId="0" borderId="0" xfId="21" applyFont="1" applyFill="1" applyAlignment="1">
      <alignment horizontal="left"/>
    </xf>
    <xf numFmtId="167" fontId="4" fillId="0" borderId="0" xfId="12" applyNumberFormat="1" applyFont="1" applyFill="1" applyAlignment="1"/>
    <xf numFmtId="0" fontId="74" fillId="0" borderId="0" xfId="8" applyNumberFormat="1" applyFont="1" applyAlignment="1"/>
    <xf numFmtId="4" fontId="73" fillId="0" borderId="0" xfId="0" applyNumberFormat="1" applyFont="1" applyAlignment="1"/>
    <xf numFmtId="0" fontId="79" fillId="0" borderId="0" xfId="0" applyNumberFormat="1" applyFont="1" applyFill="1" applyAlignment="1"/>
    <xf numFmtId="0" fontId="93" fillId="0" borderId="0" xfId="0" applyNumberFormat="1" applyFont="1" applyAlignment="1"/>
    <xf numFmtId="0" fontId="0" fillId="0" borderId="0" xfId="0" applyAlignment="1"/>
    <xf numFmtId="0" fontId="29" fillId="0" borderId="0" xfId="10" applyFont="1" applyFill="1"/>
    <xf numFmtId="0" fontId="22" fillId="0" borderId="0" xfId="10" applyFont="1" applyFill="1"/>
    <xf numFmtId="167" fontId="22" fillId="0" borderId="0" xfId="10" applyNumberFormat="1" applyFont="1" applyFill="1"/>
    <xf numFmtId="167" fontId="22" fillId="0" borderId="0" xfId="3" applyNumberFormat="1" applyFont="1" applyFill="1"/>
    <xf numFmtId="10" fontId="22" fillId="0" borderId="0" xfId="38" applyNumberFormat="1" applyFont="1" applyFill="1"/>
    <xf numFmtId="0" fontId="22" fillId="0" borderId="0" xfId="10" applyFont="1" applyFill="1" applyBorder="1"/>
    <xf numFmtId="167" fontId="22" fillId="0" borderId="0" xfId="6" applyNumberFormat="1" applyFont="1" applyFill="1" applyBorder="1"/>
    <xf numFmtId="0" fontId="22" fillId="0" borderId="0" xfId="10" applyFont="1" applyFill="1" applyBorder="1" applyAlignment="1">
      <alignment horizontal="center"/>
    </xf>
    <xf numFmtId="169" fontId="22" fillId="0" borderId="0" xfId="10" applyNumberFormat="1" applyFont="1" applyFill="1" applyBorder="1"/>
    <xf numFmtId="3" fontId="22" fillId="0" borderId="0" xfId="10" applyNumberFormat="1" applyFont="1" applyFill="1"/>
    <xf numFmtId="3" fontId="22" fillId="0" borderId="0" xfId="3" applyNumberFormat="1" applyFont="1" applyFill="1"/>
    <xf numFmtId="3" fontId="22" fillId="0" borderId="0" xfId="6" applyNumberFormat="1" applyFont="1" applyFill="1" applyBorder="1"/>
    <xf numFmtId="5" fontId="22" fillId="0" borderId="0" xfId="6" applyNumberFormat="1" applyFont="1" applyFill="1" applyBorder="1"/>
    <xf numFmtId="3" fontId="22" fillId="0" borderId="0" xfId="6" applyNumberFormat="1" applyFont="1" applyFill="1"/>
    <xf numFmtId="0" fontId="24" fillId="0" borderId="0" xfId="10" applyFont="1" applyFill="1" applyBorder="1"/>
    <xf numFmtId="167" fontId="22" fillId="0" borderId="0" xfId="6" applyNumberFormat="1" applyFont="1" applyFill="1"/>
    <xf numFmtId="42" fontId="24" fillId="0" borderId="0" xfId="10" applyNumberFormat="1" applyFont="1" applyFill="1"/>
    <xf numFmtId="0" fontId="24" fillId="0" borderId="0" xfId="10" applyFont="1" applyFill="1"/>
    <xf numFmtId="0" fontId="24" fillId="0" borderId="18" xfId="10" applyFont="1" applyFill="1" applyBorder="1" applyAlignment="1">
      <alignment horizontal="left"/>
    </xf>
    <xf numFmtId="167" fontId="24" fillId="0" borderId="0" xfId="10" applyNumberFormat="1" applyFont="1" applyFill="1" applyBorder="1"/>
    <xf numFmtId="0" fontId="76" fillId="0" borderId="0" xfId="10" applyFont="1" applyFill="1"/>
    <xf numFmtId="0" fontId="113" fillId="0" borderId="18" xfId="10" applyFont="1" applyFill="1" applyBorder="1" applyAlignment="1">
      <alignment horizontal="left"/>
    </xf>
    <xf numFmtId="0" fontId="24" fillId="0" borderId="0" xfId="10" applyFont="1" applyFill="1" applyBorder="1" applyAlignment="1">
      <alignment horizontal="center"/>
    </xf>
    <xf numFmtId="0" fontId="24" fillId="0" borderId="41" xfId="10" applyFont="1" applyFill="1" applyBorder="1" applyAlignment="1">
      <alignment horizontal="center"/>
    </xf>
    <xf numFmtId="3" fontId="22" fillId="0" borderId="0" xfId="9" applyNumberFormat="1" applyFont="1" applyFill="1"/>
    <xf numFmtId="167" fontId="24" fillId="0" borderId="15" xfId="10" applyNumberFormat="1" applyFont="1" applyFill="1" applyBorder="1"/>
    <xf numFmtId="179" fontId="22" fillId="0" borderId="0" xfId="41" applyNumberFormat="1" applyFont="1" applyFill="1"/>
    <xf numFmtId="179" fontId="22" fillId="0" borderId="0" xfId="10" applyNumberFormat="1" applyFont="1" applyFill="1"/>
    <xf numFmtId="0" fontId="87" fillId="0" borderId="0" xfId="10" applyFont="1" applyFill="1" applyAlignment="1"/>
    <xf numFmtId="0" fontId="11" fillId="0" borderId="0" xfId="10" applyFill="1" applyAlignment="1"/>
    <xf numFmtId="0" fontId="16" fillId="0" borderId="0" xfId="10" applyFont="1" applyFill="1" applyAlignment="1">
      <alignment horizontal="center"/>
    </xf>
    <xf numFmtId="0" fontId="16" fillId="0" borderId="0" xfId="10" applyFont="1" applyFill="1" applyBorder="1" applyAlignment="1">
      <alignment horizontal="center"/>
    </xf>
    <xf numFmtId="0" fontId="11" fillId="0" borderId="0" xfId="10" applyFill="1" applyAlignment="1">
      <alignment horizontal="center"/>
    </xf>
    <xf numFmtId="0" fontId="16" fillId="0" borderId="41" xfId="10" applyFont="1" applyFill="1" applyBorder="1" applyAlignment="1">
      <alignment horizontal="center"/>
    </xf>
    <xf numFmtId="0" fontId="16" fillId="0" borderId="13" xfId="10" applyFont="1" applyFill="1" applyBorder="1" applyAlignment="1">
      <alignment horizontal="center"/>
    </xf>
    <xf numFmtId="0" fontId="3" fillId="0" borderId="0" xfId="10" applyFont="1" applyFill="1" applyAlignment="1"/>
    <xf numFmtId="0" fontId="16" fillId="0" borderId="0" xfId="10" applyFont="1" applyFill="1" applyAlignment="1"/>
    <xf numFmtId="0" fontId="11" fillId="0" borderId="0" xfId="10" applyFill="1" applyBorder="1" applyAlignment="1">
      <alignment horizontal="left"/>
    </xf>
    <xf numFmtId="167" fontId="11" fillId="0" borderId="0" xfId="10" applyNumberFormat="1" applyFill="1" applyBorder="1" applyAlignment="1"/>
    <xf numFmtId="168" fontId="11" fillId="0" borderId="0" xfId="10" applyNumberFormat="1" applyFill="1" applyAlignment="1"/>
    <xf numFmtId="3" fontId="3" fillId="0" borderId="0" xfId="10" applyNumberFormat="1" applyFont="1" applyFill="1" applyBorder="1" applyAlignment="1"/>
    <xf numFmtId="3" fontId="11" fillId="0" borderId="0" xfId="10" applyNumberFormat="1" applyFill="1" applyBorder="1" applyAlignment="1"/>
    <xf numFmtId="0" fontId="11" fillId="0" borderId="0" xfId="10" applyFill="1" applyBorder="1" applyAlignment="1"/>
    <xf numFmtId="0" fontId="11" fillId="0" borderId="41" xfId="10" applyFill="1" applyBorder="1" applyAlignment="1">
      <alignment horizontal="left"/>
    </xf>
    <xf numFmtId="169" fontId="102" fillId="0" borderId="0" xfId="36" applyNumberFormat="1" applyFont="1" applyFill="1" applyAlignment="1"/>
    <xf numFmtId="169" fontId="107" fillId="0" borderId="0" xfId="36" applyNumberFormat="1" applyFont="1" applyFill="1" applyAlignment="1"/>
    <xf numFmtId="0" fontId="107" fillId="0" borderId="0" xfId="10" applyFont="1" applyFill="1" applyAlignment="1"/>
    <xf numFmtId="0" fontId="104" fillId="0" borderId="0" xfId="10" applyFont="1" applyFill="1" applyAlignment="1"/>
    <xf numFmtId="0" fontId="117" fillId="0" borderId="0" xfId="0" applyNumberFormat="1" applyFont="1" applyAlignment="1"/>
    <xf numFmtId="169" fontId="50" fillId="0" borderId="0" xfId="36" applyNumberFormat="1" applyFont="1" applyFill="1" applyAlignment="1"/>
    <xf numFmtId="3" fontId="3" fillId="0" borderId="0" xfId="0" applyNumberFormat="1" applyFont="1" applyAlignment="1">
      <alignment horizontal="right"/>
    </xf>
    <xf numFmtId="10" fontId="96" fillId="0" borderId="0" xfId="0" applyNumberFormat="1" applyFont="1" applyAlignment="1"/>
    <xf numFmtId="169" fontId="96" fillId="0" borderId="0" xfId="0" applyNumberFormat="1" applyFont="1" applyAlignment="1">
      <alignment horizontal="right"/>
    </xf>
    <xf numFmtId="169" fontId="96" fillId="0" borderId="0" xfId="0" applyNumberFormat="1" applyFont="1" applyBorder="1" applyAlignment="1">
      <alignment horizontal="right"/>
    </xf>
    <xf numFmtId="0" fontId="94" fillId="0" borderId="0" xfId="0" applyNumberFormat="1" applyFont="1" applyFill="1" applyBorder="1" applyAlignment="1">
      <alignment vertical="center"/>
    </xf>
    <xf numFmtId="0" fontId="16" fillId="0" borderId="41" xfId="11" applyNumberFormat="1" applyFont="1" applyFill="1" applyBorder="1" applyAlignment="1">
      <alignment horizontal="center"/>
    </xf>
    <xf numFmtId="169" fontId="118" fillId="0" borderId="0" xfId="36" applyNumberFormat="1" applyFont="1"/>
    <xf numFmtId="179" fontId="119" fillId="0" borderId="0" xfId="41" applyNumberFormat="1" applyFont="1" applyFill="1"/>
    <xf numFmtId="9" fontId="50" fillId="0" borderId="0" xfId="36" applyFont="1" applyAlignment="1"/>
    <xf numFmtId="0" fontId="50" fillId="0" borderId="0" xfId="0" applyNumberFormat="1" applyFont="1" applyFill="1" applyAlignment="1"/>
    <xf numFmtId="10" fontId="6" fillId="0" borderId="5" xfId="0" applyNumberFormat="1" applyFont="1" applyFill="1" applyBorder="1" applyAlignment="1">
      <alignment horizontal="right"/>
    </xf>
    <xf numFmtId="3" fontId="6" fillId="0" borderId="0" xfId="35" applyNumberFormat="1" applyFont="1" applyFill="1" applyAlignment="1"/>
    <xf numFmtId="0" fontId="24" fillId="0" borderId="0" xfId="10" applyFont="1" applyFill="1" applyBorder="1" applyAlignment="1">
      <alignment horizontal="left"/>
    </xf>
    <xf numFmtId="0" fontId="3" fillId="0" borderId="0" xfId="0" applyFont="1" applyAlignment="1">
      <alignment wrapText="1"/>
    </xf>
    <xf numFmtId="0" fontId="22" fillId="0" borderId="0" xfId="10" applyNumberFormat="1" applyFont="1" applyFill="1" applyAlignment="1">
      <alignment horizontal="center"/>
    </xf>
    <xf numFmtId="0" fontId="24" fillId="0" borderId="41" xfId="10" applyNumberFormat="1" applyFont="1" applyFill="1" applyBorder="1" applyAlignment="1">
      <alignment horizontal="center"/>
    </xf>
    <xf numFmtId="0" fontId="22" fillId="0" borderId="0" xfId="0" applyNumberFormat="1" applyFont="1" applyFill="1" applyAlignment="1">
      <alignment horizontal="center"/>
    </xf>
    <xf numFmtId="0" fontId="22" fillId="0" borderId="0" xfId="9" applyNumberFormat="1" applyFont="1" applyFill="1" applyAlignment="1">
      <alignment horizontal="center"/>
    </xf>
    <xf numFmtId="0" fontId="24" fillId="0" borderId="15" xfId="10" applyNumberFormat="1" applyFont="1" applyFill="1" applyBorder="1" applyAlignment="1">
      <alignment horizontal="center"/>
    </xf>
    <xf numFmtId="0" fontId="22" fillId="0" borderId="43" xfId="10" applyNumberFormat="1" applyFont="1" applyFill="1" applyBorder="1" applyAlignment="1">
      <alignment horizontal="center"/>
    </xf>
    <xf numFmtId="0" fontId="24" fillId="0" borderId="0" xfId="10" applyNumberFormat="1" applyFont="1" applyFill="1" applyBorder="1" applyAlignment="1">
      <alignment horizontal="center"/>
    </xf>
    <xf numFmtId="0" fontId="22" fillId="0" borderId="15" xfId="10" applyNumberFormat="1" applyFont="1" applyFill="1" applyBorder="1" applyAlignment="1">
      <alignment horizontal="center"/>
    </xf>
    <xf numFmtId="0" fontId="114" fillId="0" borderId="0" xfId="10" applyNumberFormat="1" applyFont="1" applyFill="1" applyAlignment="1">
      <alignment horizontal="center"/>
    </xf>
    <xf numFmtId="0" fontId="24" fillId="0" borderId="0" xfId="10" applyFont="1" applyFill="1" applyAlignment="1">
      <alignment horizontal="center"/>
    </xf>
    <xf numFmtId="3" fontId="22" fillId="0" borderId="0" xfId="0" applyNumberFormat="1" applyFont="1" applyFill="1"/>
    <xf numFmtId="5" fontId="22" fillId="0" borderId="0" xfId="6" applyNumberFormat="1" applyFont="1" applyFill="1"/>
    <xf numFmtId="42" fontId="24" fillId="0" borderId="15" xfId="10" applyNumberFormat="1" applyFont="1" applyFill="1" applyBorder="1" applyAlignment="1">
      <alignment horizontal="center"/>
    </xf>
    <xf numFmtId="42" fontId="24" fillId="0" borderId="0" xfId="10" applyNumberFormat="1" applyFont="1" applyFill="1" applyBorder="1"/>
    <xf numFmtId="42" fontId="24" fillId="0" borderId="0" xfId="10" applyNumberFormat="1" applyFont="1" applyFill="1" applyBorder="1" applyAlignment="1">
      <alignment horizontal="center"/>
    </xf>
    <xf numFmtId="167" fontId="22" fillId="0" borderId="0" xfId="10" applyNumberFormat="1" applyFont="1" applyFill="1" applyBorder="1"/>
    <xf numFmtId="0" fontId="22" fillId="0" borderId="43" xfId="10" applyFont="1" applyFill="1" applyBorder="1"/>
    <xf numFmtId="42" fontId="24" fillId="0" borderId="15" xfId="10" applyNumberFormat="1" applyFont="1" applyFill="1" applyBorder="1"/>
    <xf numFmtId="0" fontId="22" fillId="0" borderId="15" xfId="10" applyFont="1" applyFill="1" applyBorder="1"/>
    <xf numFmtId="167" fontId="22" fillId="0" borderId="15" xfId="10" applyNumberFormat="1" applyFont="1" applyFill="1" applyBorder="1"/>
    <xf numFmtId="167" fontId="90" fillId="0" borderId="0" xfId="10" applyNumberFormat="1" applyFont="1" applyFill="1"/>
    <xf numFmtId="9" fontId="76" fillId="0" borderId="0" xfId="36" applyFont="1" applyFill="1"/>
    <xf numFmtId="167" fontId="119" fillId="0" borderId="0" xfId="10" applyNumberFormat="1" applyFont="1" applyFill="1"/>
    <xf numFmtId="179" fontId="76" fillId="0" borderId="0" xfId="41" applyNumberFormat="1" applyFont="1" applyFill="1"/>
    <xf numFmtId="179" fontId="73" fillId="0" borderId="0" xfId="41" applyNumberFormat="1" applyFont="1" applyFill="1" applyAlignment="1"/>
    <xf numFmtId="2" fontId="73" fillId="0" borderId="0" xfId="10" applyNumberFormat="1" applyFont="1" applyFill="1" applyAlignment="1"/>
    <xf numFmtId="3" fontId="73" fillId="0" borderId="0" xfId="10" applyNumberFormat="1" applyFont="1" applyFill="1" applyAlignment="1"/>
    <xf numFmtId="170" fontId="73" fillId="0" borderId="0" xfId="10" applyNumberFormat="1" applyFont="1" applyFill="1" applyAlignment="1"/>
    <xf numFmtId="4" fontId="73" fillId="0" borderId="0" xfId="10" applyNumberFormat="1" applyFont="1" applyFill="1" applyAlignment="1"/>
    <xf numFmtId="0" fontId="73" fillId="0" borderId="0" xfId="10" applyFont="1" applyFill="1" applyAlignment="1"/>
    <xf numFmtId="0" fontId="3" fillId="4" borderId="0" xfId="33" applyFont="1" applyFill="1" applyBorder="1"/>
    <xf numFmtId="0" fontId="71" fillId="0" borderId="0" xfId="8" applyNumberFormat="1" applyFont="1" applyFill="1" applyAlignment="1">
      <alignment horizontal="left"/>
    </xf>
    <xf numFmtId="169" fontId="50" fillId="0" borderId="0" xfId="36" applyNumberFormat="1" applyFont="1" applyFill="1" applyBorder="1" applyAlignment="1">
      <alignment vertical="center"/>
    </xf>
    <xf numFmtId="10" fontId="85" fillId="0" borderId="0" xfId="38" applyNumberFormat="1" applyFont="1" applyFill="1"/>
    <xf numFmtId="10" fontId="85" fillId="0" borderId="0" xfId="22" applyNumberFormat="1" applyFont="1" applyFill="1"/>
    <xf numFmtId="169" fontId="121" fillId="0" borderId="0" xfId="36" applyNumberFormat="1" applyFont="1"/>
    <xf numFmtId="0" fontId="51" fillId="0" borderId="0" xfId="16" applyFont="1" applyAlignment="1" applyProtection="1">
      <alignment horizontal="center"/>
    </xf>
    <xf numFmtId="169" fontId="122" fillId="0" borderId="0" xfId="36" applyNumberFormat="1" applyFont="1" applyProtection="1"/>
    <xf numFmtId="0" fontId="51" fillId="0" borderId="0" xfId="16" applyFont="1"/>
    <xf numFmtId="10" fontId="51" fillId="0" borderId="0" xfId="36" applyNumberFormat="1" applyFont="1"/>
    <xf numFmtId="3" fontId="0" fillId="0" borderId="0" xfId="0" applyNumberFormat="1"/>
    <xf numFmtId="3" fontId="6" fillId="0" borderId="0" xfId="35" applyNumberFormat="1" applyFont="1" applyFill="1" applyAlignment="1"/>
    <xf numFmtId="4" fontId="3" fillId="0" borderId="0" xfId="0" applyNumberFormat="1" applyFont="1" applyAlignment="1"/>
    <xf numFmtId="0" fontId="123" fillId="0" borderId="0" xfId="0" applyNumberFormat="1" applyFont="1" applyAlignment="1"/>
    <xf numFmtId="0" fontId="94" fillId="0" borderId="0" xfId="0" applyNumberFormat="1" applyFont="1" applyAlignment="1">
      <alignment horizontal="center"/>
    </xf>
    <xf numFmtId="0" fontId="123" fillId="0" borderId="0" xfId="0" applyFont="1" applyBorder="1" applyAlignment="1">
      <alignment horizontal="center"/>
    </xf>
    <xf numFmtId="3" fontId="3" fillId="0" borderId="0" xfId="22" applyNumberFormat="1" applyFont="1" applyFill="1" applyBorder="1" applyAlignment="1">
      <alignment horizontal="right" vertical="center"/>
    </xf>
    <xf numFmtId="0" fontId="6" fillId="0" borderId="15" xfId="35" applyNumberFormat="1" applyFont="1" applyFill="1" applyBorder="1" applyAlignment="1">
      <alignment horizontal="centerContinuous" wrapText="1"/>
    </xf>
    <xf numFmtId="0" fontId="6" fillId="0" borderId="15" xfId="35" applyNumberFormat="1" applyFont="1" applyFill="1" applyBorder="1" applyAlignment="1">
      <alignment horizontal="centerContinuous"/>
    </xf>
    <xf numFmtId="0" fontId="6" fillId="0" borderId="15" xfId="35" applyNumberFormat="1" applyFont="1" applyFill="1" applyBorder="1" applyAlignment="1">
      <alignment horizontal="right" wrapText="1"/>
    </xf>
    <xf numFmtId="3" fontId="11" fillId="0" borderId="0" xfId="22" applyNumberFormat="1" applyFont="1" applyFill="1" applyBorder="1" applyAlignment="1">
      <alignment horizontal="right"/>
    </xf>
    <xf numFmtId="0" fontId="11" fillId="0" borderId="0" xfId="35" applyNumberFormat="1" applyFont="1" applyFill="1" applyAlignment="1">
      <alignment horizontal="center" vertical="top"/>
    </xf>
    <xf numFmtId="3" fontId="73" fillId="0" borderId="0" xfId="22" applyNumberFormat="1" applyFont="1" applyFill="1" applyBorder="1" applyAlignment="1">
      <alignment horizontal="right" vertical="top"/>
    </xf>
    <xf numFmtId="0" fontId="76" fillId="0" borderId="0" xfId="11" applyFont="1" applyFill="1" applyBorder="1"/>
    <xf numFmtId="3" fontId="87" fillId="0" borderId="0" xfId="11" applyNumberFormat="1" applyFont="1" applyFill="1"/>
    <xf numFmtId="0" fontId="88" fillId="0" borderId="0" xfId="11" applyNumberFormat="1" applyFont="1" applyFill="1" applyBorder="1" applyAlignment="1"/>
    <xf numFmtId="0" fontId="88" fillId="0" borderId="0" xfId="11" applyNumberFormat="1" applyFont="1" applyFill="1" applyAlignment="1"/>
    <xf numFmtId="164" fontId="124" fillId="0" borderId="0" xfId="11" applyNumberFormat="1" applyFont="1" applyFill="1" applyAlignment="1"/>
    <xf numFmtId="3" fontId="3" fillId="0" borderId="15" xfId="11" applyNumberFormat="1" applyFont="1" applyFill="1" applyBorder="1"/>
    <xf numFmtId="167" fontId="3" fillId="0" borderId="13" xfId="11" applyNumberFormat="1" applyFont="1" applyFill="1" applyBorder="1"/>
    <xf numFmtId="167" fontId="3" fillId="0" borderId="27" xfId="11" applyNumberFormat="1" applyFont="1" applyFill="1" applyBorder="1"/>
    <xf numFmtId="3" fontId="3" fillId="0" borderId="28" xfId="11" applyNumberFormat="1" applyFont="1" applyFill="1" applyBorder="1"/>
    <xf numFmtId="167" fontId="3" fillId="0" borderId="15" xfId="11" applyNumberFormat="1" applyFont="1" applyFill="1" applyBorder="1"/>
    <xf numFmtId="3" fontId="3" fillId="0" borderId="27" xfId="11" applyNumberFormat="1" applyFont="1" applyFill="1" applyBorder="1"/>
    <xf numFmtId="3" fontId="73" fillId="0" borderId="15" xfId="11" applyNumberFormat="1" applyFont="1" applyFill="1" applyBorder="1"/>
    <xf numFmtId="3" fontId="73" fillId="0" borderId="15" xfId="11" applyNumberFormat="1" applyFont="1" applyFill="1" applyBorder="1" applyAlignment="1"/>
    <xf numFmtId="0" fontId="71" fillId="0" borderId="0" xfId="11" applyFont="1" applyFill="1"/>
    <xf numFmtId="3" fontId="71" fillId="0" borderId="0" xfId="11" applyNumberFormat="1" applyFont="1" applyFill="1"/>
    <xf numFmtId="0" fontId="4" fillId="0" borderId="0" xfId="11" applyFont="1" applyFill="1"/>
    <xf numFmtId="3" fontId="24" fillId="0" borderId="0" xfId="11" applyNumberFormat="1" applyFont="1" applyFill="1" applyBorder="1" applyAlignment="1"/>
    <xf numFmtId="167" fontId="24" fillId="0" borderId="0" xfId="11" applyNumberFormat="1" applyFont="1" applyFill="1" applyBorder="1"/>
    <xf numFmtId="3" fontId="39" fillId="0" borderId="0" xfId="23" applyNumberFormat="1" applyFont="1" applyFill="1" applyBorder="1" applyAlignment="1"/>
    <xf numFmtId="3" fontId="73" fillId="0" borderId="0" xfId="23" applyNumberFormat="1" applyFont="1" applyFill="1" applyBorder="1" applyAlignment="1"/>
    <xf numFmtId="167" fontId="73" fillId="0" borderId="0" xfId="11" applyNumberFormat="1" applyFont="1" applyFill="1" applyAlignment="1"/>
    <xf numFmtId="0" fontId="4" fillId="0" borderId="0" xfId="11" applyFont="1" applyFill="1" applyBorder="1"/>
    <xf numFmtId="0" fontId="16" fillId="0" borderId="0" xfId="20" applyFont="1" applyBorder="1" applyAlignment="1">
      <alignment horizontal="center"/>
    </xf>
    <xf numFmtId="0" fontId="3" fillId="0" borderId="0" xfId="20" applyFont="1" applyBorder="1" applyAlignment="1">
      <alignment horizontal="right"/>
    </xf>
    <xf numFmtId="0" fontId="126" fillId="0" borderId="0" xfId="25" applyFont="1" applyAlignment="1"/>
    <xf numFmtId="0" fontId="127" fillId="0" borderId="0" xfId="25" applyFont="1" applyAlignment="1"/>
    <xf numFmtId="169" fontId="94" fillId="0" borderId="0" xfId="36" applyNumberFormat="1" applyFont="1"/>
    <xf numFmtId="0" fontId="6" fillId="0" borderId="0" xfId="14" applyFont="1" applyFill="1" applyProtection="1"/>
    <xf numFmtId="0" fontId="3" fillId="0" borderId="0" xfId="14" applyFont="1" applyFill="1" applyProtection="1"/>
    <xf numFmtId="0" fontId="11" fillId="0" borderId="0" xfId="14" applyFont="1" applyFill="1" applyProtection="1"/>
    <xf numFmtId="0" fontId="27" fillId="0" borderId="0" xfId="14" applyFont="1" applyFill="1" applyAlignment="1" applyProtection="1">
      <alignment horizontal="left"/>
    </xf>
    <xf numFmtId="0" fontId="3" fillId="0" borderId="0" xfId="13" applyFont="1"/>
    <xf numFmtId="0" fontId="126" fillId="0" borderId="0" xfId="13" applyFont="1"/>
    <xf numFmtId="167" fontId="23" fillId="4" borderId="0" xfId="17" applyNumberFormat="1" applyFont="1" applyFill="1" applyBorder="1" applyProtection="1"/>
    <xf numFmtId="0" fontId="3" fillId="4" borderId="0" xfId="33" applyFont="1" applyFill="1"/>
    <xf numFmtId="0" fontId="126" fillId="4" borderId="0" xfId="33" applyFont="1" applyFill="1"/>
    <xf numFmtId="44" fontId="126" fillId="4" borderId="0" xfId="4" applyFont="1" applyFill="1"/>
    <xf numFmtId="3" fontId="133" fillId="4" borderId="0" xfId="32" applyNumberFormat="1" applyFont="1" applyFill="1" applyBorder="1" applyAlignment="1"/>
    <xf numFmtId="164" fontId="133" fillId="4" borderId="0" xfId="32" applyNumberFormat="1" applyFont="1" applyFill="1" applyBorder="1" applyAlignment="1">
      <alignment horizontal="right"/>
    </xf>
    <xf numFmtId="0" fontId="128" fillId="4" borderId="0" xfId="32" applyFont="1" applyFill="1"/>
    <xf numFmtId="167" fontId="128" fillId="4" borderId="0" xfId="38" applyNumberFormat="1" applyFont="1" applyFill="1"/>
    <xf numFmtId="3" fontId="23" fillId="4" borderId="14" xfId="32" applyNumberFormat="1" applyFont="1" applyFill="1" applyBorder="1" applyAlignment="1">
      <alignment horizontal="left"/>
    </xf>
    <xf numFmtId="0" fontId="16" fillId="4" borderId="14" xfId="32" applyFont="1" applyFill="1" applyBorder="1" applyAlignment="1">
      <alignment horizontal="right" wrapText="1"/>
    </xf>
    <xf numFmtId="167" fontId="3" fillId="4" borderId="0" xfId="32" applyNumberFormat="1" applyFont="1" applyFill="1" applyBorder="1"/>
    <xf numFmtId="3" fontId="3" fillId="4" borderId="0" xfId="32" applyNumberFormat="1" applyFont="1" applyFill="1" applyBorder="1"/>
    <xf numFmtId="180" fontId="3" fillId="0" borderId="0" xfId="0" applyNumberFormat="1" applyFont="1"/>
    <xf numFmtId="0" fontId="72" fillId="0" borderId="19" xfId="84" applyFont="1" applyFill="1" applyBorder="1" applyAlignment="1">
      <alignment horizontal="centerContinuous" vertical="center" wrapText="1"/>
    </xf>
    <xf numFmtId="0" fontId="96" fillId="0" borderId="0" xfId="8" applyNumberFormat="1" applyFont="1" applyFill="1" applyAlignment="1"/>
    <xf numFmtId="0" fontId="96" fillId="0" borderId="0" xfId="8" applyFont="1" applyFill="1"/>
    <xf numFmtId="0" fontId="96" fillId="0" borderId="0" xfId="8" applyNumberFormat="1" applyFont="1" applyFill="1" applyAlignment="1">
      <alignment horizontal="left"/>
    </xf>
    <xf numFmtId="0" fontId="96" fillId="0" borderId="0" xfId="8" applyNumberFormat="1" applyFont="1" applyAlignment="1"/>
    <xf numFmtId="0" fontId="123" fillId="0" borderId="0" xfId="8" applyNumberFormat="1" applyFont="1" applyFill="1" applyAlignment="1"/>
    <xf numFmtId="0" fontId="123" fillId="0" borderId="0" xfId="8" applyNumberFormat="1" applyFont="1" applyAlignment="1">
      <alignment horizontal="center"/>
    </xf>
    <xf numFmtId="0" fontId="138" fillId="0" borderId="0" xfId="8" applyNumberFormat="1" applyFont="1" applyAlignment="1"/>
    <xf numFmtId="2" fontId="96" fillId="0" borderId="0" xfId="8" applyNumberFormat="1" applyFont="1" applyAlignment="1"/>
    <xf numFmtId="172" fontId="96" fillId="0" borderId="0" xfId="8" applyNumberFormat="1" applyFont="1" applyAlignment="1"/>
    <xf numFmtId="0" fontId="96" fillId="0" borderId="0" xfId="8" applyNumberFormat="1" applyFont="1" applyFill="1" applyAlignment="1">
      <alignment horizontal="center"/>
    </xf>
    <xf numFmtId="3" fontId="96" fillId="0" borderId="0" xfId="8" applyNumberFormat="1" applyFont="1" applyAlignment="1"/>
    <xf numFmtId="10" fontId="96" fillId="0" borderId="0" xfId="38" applyNumberFormat="1" applyFont="1" applyFill="1"/>
    <xf numFmtId="166" fontId="96" fillId="0" borderId="0" xfId="8" applyNumberFormat="1" applyFont="1" applyFill="1" applyAlignment="1">
      <alignment horizontal="left"/>
    </xf>
    <xf numFmtId="0" fontId="96" fillId="0" borderId="0" xfId="8" applyNumberFormat="1" applyFont="1" applyAlignment="1">
      <alignment horizontal="left"/>
    </xf>
    <xf numFmtId="10" fontId="125" fillId="0" borderId="0" xfId="38" applyNumberFormat="1" applyFont="1" applyFill="1"/>
    <xf numFmtId="10" fontId="96" fillId="0" borderId="0" xfId="36" applyNumberFormat="1" applyFont="1" applyAlignment="1"/>
    <xf numFmtId="0" fontId="96" fillId="0" borderId="0" xfId="8" applyFont="1"/>
    <xf numFmtId="0" fontId="6" fillId="0" borderId="0" xfId="0" applyFont="1" applyFill="1" applyAlignment="1">
      <alignment horizontal="center"/>
    </xf>
    <xf numFmtId="0" fontId="120" fillId="0" borderId="0" xfId="0" applyFont="1" applyAlignment="1">
      <alignment horizontal="center"/>
    </xf>
    <xf numFmtId="0" fontId="118" fillId="0" borderId="0" xfId="16" applyFont="1"/>
    <xf numFmtId="7" fontId="118" fillId="0" borderId="0" xfId="16" applyNumberFormat="1" applyFont="1" applyFill="1"/>
    <xf numFmtId="0" fontId="118" fillId="0" borderId="0" xfId="16" applyFont="1" applyFill="1"/>
    <xf numFmtId="10" fontId="142" fillId="0" borderId="0" xfId="36" applyNumberFormat="1" applyFont="1"/>
    <xf numFmtId="10" fontId="123" fillId="0" borderId="0" xfId="0" applyNumberFormat="1" applyFont="1" applyAlignment="1">
      <alignment horizontal="center"/>
    </xf>
    <xf numFmtId="10" fontId="96" fillId="0" borderId="0" xfId="0" applyNumberFormat="1" applyFont="1" applyAlignment="1">
      <alignment horizontal="center"/>
    </xf>
    <xf numFmtId="2" fontId="94" fillId="0" borderId="0" xfId="0" applyNumberFormat="1" applyFont="1" applyAlignment="1">
      <alignment horizontal="center"/>
    </xf>
    <xf numFmtId="10" fontId="94" fillId="0" borderId="0" xfId="0" applyNumberFormat="1" applyFont="1" applyAlignment="1">
      <alignment horizontal="center"/>
    </xf>
    <xf numFmtId="169" fontId="94" fillId="0" borderId="0" xfId="0" applyNumberFormat="1" applyFont="1" applyAlignment="1">
      <alignment horizontal="right"/>
    </xf>
    <xf numFmtId="169" fontId="94" fillId="0" borderId="0" xfId="0" applyNumberFormat="1" applyFont="1" applyBorder="1" applyAlignment="1">
      <alignment horizontal="right"/>
    </xf>
    <xf numFmtId="169" fontId="94" fillId="0" borderId="0" xfId="36" applyNumberFormat="1" applyFont="1" applyAlignment="1">
      <alignment horizontal="right"/>
    </xf>
    <xf numFmtId="2" fontId="94" fillId="0" borderId="0" xfId="0" applyNumberFormat="1" applyFont="1" applyBorder="1" applyAlignment="1">
      <alignment horizontal="center"/>
    </xf>
    <xf numFmtId="10" fontId="96" fillId="0" borderId="0" xfId="0" applyNumberFormat="1" applyFont="1" applyBorder="1" applyAlignment="1">
      <alignment horizontal="center"/>
    </xf>
    <xf numFmtId="0" fontId="143" fillId="0" borderId="0" xfId="0" applyNumberFormat="1" applyFont="1" applyAlignment="1"/>
    <xf numFmtId="2" fontId="143" fillId="0" borderId="0" xfId="0" applyNumberFormat="1" applyFont="1" applyAlignment="1"/>
    <xf numFmtId="2" fontId="143" fillId="0" borderId="0" xfId="0" applyNumberFormat="1" applyFont="1" applyFill="1" applyAlignment="1"/>
    <xf numFmtId="2" fontId="94" fillId="0" borderId="0" xfId="0" applyNumberFormat="1" applyFont="1" applyAlignment="1"/>
    <xf numFmtId="2" fontId="94" fillId="0" borderId="0" xfId="0" applyNumberFormat="1" applyFont="1" applyFill="1" applyAlignment="1"/>
    <xf numFmtId="10" fontId="94" fillId="0" borderId="0" xfId="0" applyNumberFormat="1" applyFont="1" applyAlignment="1"/>
    <xf numFmtId="0" fontId="94" fillId="0" borderId="0" xfId="21" applyFont="1" applyFill="1" applyAlignment="1">
      <alignment horizontal="left"/>
    </xf>
    <xf numFmtId="0" fontId="50" fillId="0" borderId="0" xfId="0" applyFont="1"/>
    <xf numFmtId="3" fontId="144" fillId="0" borderId="0" xfId="16" quotePrefix="1" applyNumberFormat="1" applyFont="1" applyAlignment="1" applyProtection="1">
      <alignment horizontal="center"/>
    </xf>
    <xf numFmtId="37" fontId="144" fillId="0" borderId="0" xfId="16" quotePrefix="1" applyNumberFormat="1" applyFont="1" applyProtection="1"/>
    <xf numFmtId="3" fontId="144" fillId="0" borderId="0" xfId="16" quotePrefix="1" applyNumberFormat="1" applyFont="1" applyFill="1" applyAlignment="1" applyProtection="1">
      <alignment horizontal="center"/>
    </xf>
    <xf numFmtId="5" fontId="94" fillId="0" borderId="0" xfId="16" applyNumberFormat="1" applyFont="1" applyProtection="1"/>
    <xf numFmtId="37" fontId="94" fillId="0" borderId="0" xfId="16" applyNumberFormat="1" applyFont="1" applyProtection="1"/>
    <xf numFmtId="37" fontId="144" fillId="0" borderId="0" xfId="16" quotePrefix="1" applyNumberFormat="1" applyFont="1" applyFill="1" applyProtection="1"/>
    <xf numFmtId="37" fontId="144" fillId="0" borderId="0" xfId="16" applyNumberFormat="1" applyFont="1" applyProtection="1"/>
    <xf numFmtId="0" fontId="84" fillId="3" borderId="9" xfId="16" applyFont="1" applyFill="1" applyBorder="1" applyAlignment="1">
      <alignment horizontal="center" wrapText="1"/>
    </xf>
    <xf numFmtId="0" fontId="84" fillId="3" borderId="9" xfId="16" applyFont="1" applyFill="1" applyBorder="1" applyAlignment="1" applyProtection="1">
      <alignment horizontal="center" wrapText="1"/>
    </xf>
    <xf numFmtId="0" fontId="24" fillId="0" borderId="9" xfId="16" applyFont="1" applyBorder="1" applyAlignment="1">
      <alignment horizontal="center" wrapText="1"/>
    </xf>
    <xf numFmtId="3" fontId="3" fillId="0" borderId="0" xfId="36" applyNumberFormat="1" applyFont="1" applyFill="1" applyBorder="1" applyAlignment="1"/>
    <xf numFmtId="3" fontId="94" fillId="0" borderId="0" xfId="36" applyNumberFormat="1" applyFont="1" applyFill="1"/>
    <xf numFmtId="5" fontId="3" fillId="0" borderId="0" xfId="16" applyNumberFormat="1" applyFont="1" applyProtection="1"/>
    <xf numFmtId="0" fontId="146" fillId="0" borderId="0" xfId="16" applyFont="1" applyAlignment="1">
      <alignment wrapText="1"/>
    </xf>
    <xf numFmtId="3" fontId="140" fillId="0" borderId="0" xfId="16" applyNumberFormat="1" applyFont="1"/>
    <xf numFmtId="0" fontId="140" fillId="0" borderId="0" xfId="16" applyFont="1"/>
    <xf numFmtId="3" fontId="140" fillId="0" borderId="0" xfId="16" applyNumberFormat="1" applyFont="1" applyFill="1"/>
    <xf numFmtId="7" fontId="140" fillId="0" borderId="0" xfId="16" applyNumberFormat="1" applyFont="1" applyFill="1"/>
    <xf numFmtId="169" fontId="140" fillId="0" borderId="0" xfId="36" applyNumberFormat="1" applyFont="1" applyFill="1" applyAlignment="1">
      <alignment horizontal="center"/>
    </xf>
    <xf numFmtId="0" fontId="140" fillId="0" borderId="0" xfId="16" applyFont="1" applyFill="1"/>
    <xf numFmtId="0" fontId="148" fillId="0" borderId="0" xfId="16" applyFont="1" applyAlignment="1">
      <alignment horizontal="center" wrapText="1"/>
    </xf>
    <xf numFmtId="3" fontId="148" fillId="0" borderId="0" xfId="16" applyNumberFormat="1" applyFont="1" applyAlignment="1">
      <alignment horizontal="center" wrapText="1"/>
    </xf>
    <xf numFmtId="1" fontId="140" fillId="0" borderId="0" xfId="16" applyNumberFormat="1" applyFont="1" applyFill="1"/>
    <xf numFmtId="3" fontId="140" fillId="0" borderId="0" xfId="16" applyNumberFormat="1" applyFont="1" applyBorder="1" applyAlignment="1">
      <alignment horizontal="centerContinuous"/>
    </xf>
    <xf numFmtId="3" fontId="149" fillId="0" borderId="0" xfId="16" applyNumberFormat="1" applyFont="1" applyBorder="1" applyAlignment="1">
      <alignment horizontal="centerContinuous"/>
    </xf>
    <xf numFmtId="3" fontId="126" fillId="0" borderId="0" xfId="16" applyNumberFormat="1" applyFont="1" applyBorder="1"/>
    <xf numFmtId="3" fontId="130" fillId="0" borderId="45" xfId="16" applyNumberFormat="1" applyFont="1" applyBorder="1" applyAlignment="1">
      <alignment horizontal="centerContinuous"/>
    </xf>
    <xf numFmtId="3" fontId="126" fillId="0" borderId="45" xfId="16" applyNumberFormat="1" applyFont="1" applyBorder="1" applyAlignment="1">
      <alignment horizontal="centerContinuous"/>
    </xf>
    <xf numFmtId="0" fontId="126" fillId="0" borderId="0" xfId="16" applyFont="1" applyBorder="1"/>
    <xf numFmtId="3" fontId="150" fillId="0" borderId="0" xfId="16" applyNumberFormat="1" applyFont="1" applyBorder="1" applyAlignment="1">
      <alignment horizontal="center" wrapText="1"/>
    </xf>
    <xf numFmtId="0" fontId="150" fillId="0" borderId="0" xfId="16" applyFont="1" applyBorder="1" applyAlignment="1">
      <alignment horizontal="center" wrapText="1"/>
    </xf>
    <xf numFmtId="1" fontId="126" fillId="0" borderId="0" xfId="16" applyNumberFormat="1" applyFont="1" applyFill="1" applyBorder="1"/>
    <xf numFmtId="3" fontId="126" fillId="0" borderId="0" xfId="16" applyNumberFormat="1" applyFont="1" applyFill="1" applyBorder="1"/>
    <xf numFmtId="169" fontId="126" fillId="0" borderId="0" xfId="36" applyNumberFormat="1" applyFont="1" applyFill="1" applyBorder="1" applyAlignment="1">
      <alignment horizontal="center"/>
    </xf>
    <xf numFmtId="0" fontId="6" fillId="0" borderId="0" xfId="14" applyFont="1" applyBorder="1" applyAlignment="1" applyProtection="1">
      <alignment horizontal="left"/>
    </xf>
    <xf numFmtId="0" fontId="16" fillId="0" borderId="0" xfId="14" applyFont="1" applyBorder="1" applyAlignment="1" applyProtection="1">
      <alignment horizontal="left"/>
    </xf>
    <xf numFmtId="3" fontId="94" fillId="0" borderId="41" xfId="10" applyNumberFormat="1" applyFont="1" applyFill="1" applyBorder="1" applyAlignment="1"/>
    <xf numFmtId="3" fontId="144" fillId="0" borderId="41" xfId="10" applyNumberFormat="1" applyFont="1" applyFill="1" applyBorder="1" applyAlignment="1"/>
    <xf numFmtId="168" fontId="94" fillId="0" borderId="0" xfId="10" applyNumberFormat="1" applyFont="1" applyFill="1" applyBorder="1" applyAlignment="1"/>
    <xf numFmtId="4" fontId="94" fillId="0" borderId="0" xfId="10" applyNumberFormat="1" applyFont="1" applyFill="1" applyBorder="1" applyAlignment="1"/>
    <xf numFmtId="4" fontId="94" fillId="0" borderId="41" xfId="10" applyNumberFormat="1" applyFont="1" applyFill="1" applyBorder="1" applyAlignment="1"/>
    <xf numFmtId="0" fontId="3" fillId="0" borderId="0" xfId="87" applyFill="1" applyAlignment="1"/>
    <xf numFmtId="0" fontId="3" fillId="0" borderId="0" xfId="87" applyFill="1" applyAlignment="1">
      <alignment horizontal="center"/>
    </xf>
    <xf numFmtId="0" fontId="3" fillId="0" borderId="0" xfId="87" applyFill="1" applyBorder="1" applyAlignment="1">
      <alignment horizontal="left"/>
    </xf>
    <xf numFmtId="168" fontId="3" fillId="0" borderId="0" xfId="87" applyNumberFormat="1" applyFill="1" applyAlignment="1"/>
    <xf numFmtId="0" fontId="3" fillId="0" borderId="0" xfId="87" applyFill="1" applyBorder="1" applyAlignment="1"/>
    <xf numFmtId="0" fontId="104" fillId="0" borderId="0" xfId="87" applyFont="1" applyFill="1" applyAlignment="1"/>
    <xf numFmtId="0" fontId="22" fillId="0" borderId="0" xfId="87" applyFont="1" applyFill="1"/>
    <xf numFmtId="0" fontId="22" fillId="0" borderId="0" xfId="87" applyNumberFormat="1" applyFont="1" applyFill="1" applyAlignment="1">
      <alignment horizontal="center"/>
    </xf>
    <xf numFmtId="0" fontId="22" fillId="0" borderId="0" xfId="87" applyFont="1" applyFill="1" applyBorder="1"/>
    <xf numFmtId="0" fontId="24" fillId="0" borderId="18" xfId="87" applyFont="1" applyFill="1" applyBorder="1" applyAlignment="1">
      <alignment horizontal="left"/>
    </xf>
    <xf numFmtId="0" fontId="113" fillId="0" borderId="18" xfId="87" applyFont="1" applyFill="1" applyBorder="1" applyAlignment="1">
      <alignment horizontal="left"/>
    </xf>
    <xf numFmtId="0" fontId="24" fillId="0" borderId="0" xfId="87" applyFont="1" applyFill="1" applyAlignment="1">
      <alignment horizontal="center"/>
    </xf>
    <xf numFmtId="0" fontId="24" fillId="0" borderId="0" xfId="87" applyFont="1" applyFill="1" applyBorder="1" applyAlignment="1">
      <alignment horizontal="center"/>
    </xf>
    <xf numFmtId="167" fontId="22" fillId="0" borderId="0" xfId="87" applyNumberFormat="1" applyFont="1" applyFill="1"/>
    <xf numFmtId="3" fontId="22" fillId="0" borderId="0" xfId="87" applyNumberFormat="1" applyFont="1" applyFill="1"/>
    <xf numFmtId="3" fontId="151" fillId="0" borderId="0" xfId="87" applyNumberFormat="1" applyFont="1" applyFill="1"/>
    <xf numFmtId="3" fontId="22" fillId="0" borderId="0" xfId="90" applyNumberFormat="1" applyFont="1" applyFill="1"/>
    <xf numFmtId="3" fontId="22" fillId="0" borderId="0" xfId="91" applyNumberFormat="1" applyFont="1" applyFill="1"/>
    <xf numFmtId="0" fontId="22" fillId="0" borderId="0" xfId="91" applyNumberFormat="1" applyFont="1" applyFill="1" applyAlignment="1">
      <alignment horizontal="center"/>
    </xf>
    <xf numFmtId="42" fontId="24" fillId="0" borderId="0" xfId="87" applyNumberFormat="1" applyFont="1" applyFill="1"/>
    <xf numFmtId="42" fontId="24" fillId="0" borderId="0" xfId="87" applyNumberFormat="1" applyFont="1" applyFill="1" applyBorder="1"/>
    <xf numFmtId="0" fontId="24" fillId="0" borderId="0" xfId="87" applyFont="1" applyFill="1"/>
    <xf numFmtId="0" fontId="24" fillId="0" borderId="0" xfId="87" applyFont="1" applyFill="1" applyBorder="1"/>
    <xf numFmtId="0" fontId="151" fillId="0" borderId="0" xfId="87" applyNumberFormat="1" applyFont="1" applyFill="1" applyAlignment="1">
      <alignment horizontal="center"/>
    </xf>
    <xf numFmtId="0" fontId="76" fillId="0" borderId="0" xfId="87" applyFont="1" applyFill="1"/>
    <xf numFmtId="167" fontId="22" fillId="0" borderId="15" xfId="87" applyNumberFormat="1" applyFont="1" applyFill="1" applyBorder="1"/>
    <xf numFmtId="179" fontId="22" fillId="0" borderId="0" xfId="88" applyNumberFormat="1" applyFont="1" applyFill="1"/>
    <xf numFmtId="0" fontId="16" fillId="0" borderId="0" xfId="87" applyFont="1" applyFill="1"/>
    <xf numFmtId="0" fontId="3" fillId="0" borderId="0" xfId="87" applyFont="1" applyFill="1"/>
    <xf numFmtId="167" fontId="24" fillId="0" borderId="0" xfId="87" applyNumberFormat="1" applyFont="1" applyFill="1"/>
    <xf numFmtId="167" fontId="24" fillId="0" borderId="0" xfId="87" applyNumberFormat="1" applyFont="1" applyFill="1" applyBorder="1"/>
    <xf numFmtId="10" fontId="24" fillId="0" borderId="0" xfId="89" applyNumberFormat="1" applyFont="1" applyFill="1" applyAlignment="1">
      <alignment horizontal="left"/>
    </xf>
    <xf numFmtId="0" fontId="24" fillId="0" borderId="0" xfId="87" applyFont="1" applyFill="1" applyBorder="1" applyAlignment="1">
      <alignment horizontal="left"/>
    </xf>
    <xf numFmtId="10" fontId="24" fillId="0" borderId="0" xfId="89" applyNumberFormat="1" applyFont="1" applyFill="1" applyBorder="1" applyAlignment="1">
      <alignment horizontal="left"/>
    </xf>
    <xf numFmtId="0" fontId="22" fillId="0" borderId="0" xfId="87" applyFont="1" applyFill="1" applyAlignment="1">
      <alignment horizontal="right"/>
    </xf>
    <xf numFmtId="0" fontId="22" fillId="0" borderId="0" xfId="91" applyNumberFormat="1" applyFont="1" applyFill="1"/>
    <xf numFmtId="0" fontId="22" fillId="0" borderId="0" xfId="91" applyFont="1" applyFill="1"/>
    <xf numFmtId="0" fontId="22" fillId="0" borderId="0" xfId="91" applyNumberFormat="1" applyFont="1" applyFill="1" applyAlignment="1">
      <alignment horizontal="left"/>
    </xf>
    <xf numFmtId="0" fontId="76" fillId="0" borderId="0" xfId="87" applyFont="1" applyFill="1" applyBorder="1"/>
    <xf numFmtId="167" fontId="116" fillId="0" borderId="0" xfId="87" applyNumberFormat="1" applyFont="1" applyFill="1" applyBorder="1"/>
    <xf numFmtId="10" fontId="22" fillId="0" borderId="0" xfId="89" applyNumberFormat="1" applyFont="1" applyFill="1" applyAlignment="1">
      <alignment horizontal="left"/>
    </xf>
    <xf numFmtId="0" fontId="114" fillId="0" borderId="0" xfId="87" applyFont="1" applyFill="1"/>
    <xf numFmtId="0" fontId="3" fillId="0" borderId="0" xfId="87" applyFill="1" applyBorder="1" applyAlignment="1">
      <alignment horizontal="center"/>
    </xf>
    <xf numFmtId="0" fontId="3" fillId="0" borderId="0" xfId="87" applyFont="1" applyFill="1" applyBorder="1" applyAlignment="1">
      <alignment horizontal="center"/>
    </xf>
    <xf numFmtId="0" fontId="4" fillId="0" borderId="0" xfId="0" applyNumberFormat="1" applyFont="1" applyFill="1" applyAlignment="1"/>
    <xf numFmtId="0" fontId="14" fillId="0" borderId="0" xfId="0" applyNumberFormat="1" applyFont="1" applyFill="1" applyAlignment="1"/>
    <xf numFmtId="0" fontId="120" fillId="0" borderId="0" xfId="0" applyFont="1" applyFill="1" applyAlignment="1">
      <alignment horizontal="center"/>
    </xf>
    <xf numFmtId="0" fontId="7" fillId="0" borderId="0" xfId="0" applyNumberFormat="1" applyFont="1" applyFill="1" applyAlignment="1"/>
    <xf numFmtId="164" fontId="4" fillId="0" borderId="0" xfId="0" applyNumberFormat="1" applyFont="1" applyFill="1" applyAlignment="1"/>
    <xf numFmtId="3" fontId="4" fillId="0" borderId="0" xfId="0" applyNumberFormat="1" applyFont="1" applyFill="1" applyAlignment="1"/>
    <xf numFmtId="3" fontId="75" fillId="0" borderId="0" xfId="0" applyNumberFormat="1" applyFont="1" applyFill="1" applyAlignment="1"/>
    <xf numFmtId="0" fontId="7" fillId="0" borderId="2" xfId="0" applyNumberFormat="1" applyFont="1" applyFill="1" applyBorder="1" applyAlignment="1"/>
    <xf numFmtId="0" fontId="4" fillId="0" borderId="0" xfId="0" applyNumberFormat="1" applyFont="1" applyFill="1" applyBorder="1" applyAlignment="1"/>
    <xf numFmtId="0" fontId="126" fillId="0" borderId="0" xfId="0" applyFont="1"/>
    <xf numFmtId="0" fontId="126" fillId="0" borderId="0" xfId="0" applyFont="1" applyAlignment="1"/>
    <xf numFmtId="0" fontId="126" fillId="0" borderId="0" xfId="84" applyFont="1" applyFill="1"/>
    <xf numFmtId="0" fontId="127" fillId="0" borderId="0" xfId="0" applyFont="1" applyAlignment="1">
      <alignment vertical="top" wrapText="1"/>
    </xf>
    <xf numFmtId="0" fontId="126" fillId="0" borderId="0" xfId="0" applyFont="1" applyAlignment="1">
      <alignment vertical="top" wrapText="1"/>
    </xf>
    <xf numFmtId="0" fontId="23" fillId="0" borderId="19" xfId="30" applyFont="1" applyFill="1" applyBorder="1" applyAlignment="1">
      <alignment horizontal="center"/>
    </xf>
    <xf numFmtId="0" fontId="152" fillId="0" borderId="0" xfId="87" applyFont="1" applyFill="1"/>
    <xf numFmtId="0" fontId="116" fillId="0" borderId="0" xfId="87" applyFont="1" applyFill="1"/>
    <xf numFmtId="0" fontId="99" fillId="0" borderId="18" xfId="87" applyFont="1" applyFill="1" applyBorder="1" applyAlignment="1">
      <alignment horizontal="left"/>
    </xf>
    <xf numFmtId="0" fontId="99" fillId="0" borderId="41" xfId="87" applyFont="1" applyFill="1" applyBorder="1" applyAlignment="1">
      <alignment horizontal="center"/>
    </xf>
    <xf numFmtId="167" fontId="116" fillId="0" borderId="0" xfId="87" applyNumberFormat="1" applyFont="1" applyFill="1"/>
    <xf numFmtId="3" fontId="116" fillId="0" borderId="0" xfId="87" applyNumberFormat="1" applyFont="1" applyFill="1"/>
    <xf numFmtId="0" fontId="116" fillId="0" borderId="0" xfId="87" applyFont="1" applyFill="1" applyBorder="1"/>
    <xf numFmtId="3" fontId="116" fillId="0" borderId="0" xfId="91" applyNumberFormat="1" applyFont="1" applyFill="1"/>
    <xf numFmtId="3" fontId="116" fillId="0" borderId="0" xfId="87" applyNumberFormat="1" applyFont="1" applyFill="1" applyBorder="1"/>
    <xf numFmtId="167" fontId="99" fillId="0" borderId="15" xfId="87" applyNumberFormat="1" applyFont="1" applyFill="1" applyBorder="1"/>
    <xf numFmtId="0" fontId="99" fillId="0" borderId="0" xfId="87" applyFont="1" applyFill="1" applyBorder="1" applyAlignment="1">
      <alignment horizontal="center"/>
    </xf>
    <xf numFmtId="0" fontId="116" fillId="0" borderId="15" xfId="87" applyFont="1" applyFill="1" applyBorder="1"/>
    <xf numFmtId="167" fontId="116" fillId="0" borderId="15" xfId="87" applyNumberFormat="1" applyFont="1" applyFill="1" applyBorder="1"/>
    <xf numFmtId="179" fontId="116" fillId="0" borderId="0" xfId="88" applyNumberFormat="1" applyFont="1" applyFill="1"/>
    <xf numFmtId="179" fontId="116" fillId="0" borderId="0" xfId="87" applyNumberFormat="1" applyFont="1" applyFill="1"/>
    <xf numFmtId="0" fontId="99" fillId="0" borderId="0" xfId="87" applyFont="1" applyFill="1"/>
    <xf numFmtId="0" fontId="99" fillId="0" borderId="43" xfId="87" applyFont="1" applyFill="1" applyBorder="1" applyAlignment="1">
      <alignment horizontal="center"/>
    </xf>
    <xf numFmtId="167" fontId="116" fillId="0" borderId="0" xfId="91" applyNumberFormat="1" applyFont="1" applyFill="1"/>
    <xf numFmtId="10" fontId="116" fillId="0" borderId="0" xfId="91" applyNumberFormat="1" applyFont="1" applyFill="1"/>
    <xf numFmtId="3" fontId="116" fillId="0" borderId="0" xfId="91" applyNumberFormat="1" applyFont="1" applyFill="1" applyBorder="1"/>
    <xf numFmtId="10" fontId="116" fillId="0" borderId="0" xfId="91" applyNumberFormat="1" applyFont="1" applyFill="1" applyBorder="1"/>
    <xf numFmtId="10" fontId="116" fillId="0" borderId="0" xfId="87" applyNumberFormat="1" applyFont="1" applyFill="1" applyBorder="1"/>
    <xf numFmtId="0" fontId="99" fillId="0" borderId="15" xfId="87" applyFont="1" applyFill="1" applyBorder="1"/>
    <xf numFmtId="10" fontId="99" fillId="0" borderId="15" xfId="89" applyNumberFormat="1" applyFont="1" applyFill="1" applyBorder="1"/>
    <xf numFmtId="0" fontId="99" fillId="0" borderId="13" xfId="87" applyFont="1" applyFill="1" applyBorder="1"/>
    <xf numFmtId="167" fontId="99" fillId="0" borderId="13" xfId="87" applyNumberFormat="1" applyFont="1" applyFill="1" applyBorder="1"/>
    <xf numFmtId="10" fontId="99" fillId="0" borderId="13" xfId="89" applyNumberFormat="1" applyFont="1" applyFill="1" applyBorder="1"/>
    <xf numFmtId="0" fontId="116" fillId="0" borderId="18" xfId="87" applyFont="1" applyFill="1" applyBorder="1"/>
    <xf numFmtId="10" fontId="116" fillId="0" borderId="0" xfId="87" applyNumberFormat="1" applyFont="1" applyFill="1"/>
    <xf numFmtId="167" fontId="99" fillId="0" borderId="0" xfId="87" applyNumberFormat="1" applyFont="1" applyFill="1"/>
    <xf numFmtId="167" fontId="99" fillId="0" borderId="0" xfId="87" applyNumberFormat="1" applyFont="1" applyFill="1" applyBorder="1"/>
    <xf numFmtId="10" fontId="99" fillId="0" borderId="0" xfId="36" applyNumberFormat="1" applyFont="1" applyFill="1" applyBorder="1"/>
    <xf numFmtId="10" fontId="116" fillId="0" borderId="0" xfId="36" applyNumberFormat="1" applyFont="1" applyFill="1"/>
    <xf numFmtId="0" fontId="152" fillId="0" borderId="0" xfId="87" applyFont="1" applyFill="1" applyBorder="1"/>
    <xf numFmtId="3" fontId="99" fillId="0" borderId="0" xfId="87" applyNumberFormat="1" applyFont="1" applyFill="1"/>
    <xf numFmtId="0" fontId="100" fillId="0" borderId="0" xfId="87" applyFont="1" applyFill="1" applyAlignment="1">
      <alignment horizontal="left"/>
    </xf>
    <xf numFmtId="0" fontId="99" fillId="0" borderId="0" xfId="87" applyFont="1" applyFill="1" applyAlignment="1">
      <alignment horizontal="left"/>
    </xf>
    <xf numFmtId="0" fontId="100" fillId="0" borderId="0" xfId="87" applyFont="1" applyFill="1" applyBorder="1" applyAlignment="1">
      <alignment horizontal="left"/>
    </xf>
    <xf numFmtId="0" fontId="99" fillId="0" borderId="0" xfId="87" applyFont="1" applyFill="1" applyBorder="1" applyAlignment="1">
      <alignment horizontal="left"/>
    </xf>
    <xf numFmtId="0" fontId="99" fillId="0" borderId="41" xfId="87" applyFont="1" applyFill="1" applyBorder="1"/>
    <xf numFmtId="3" fontId="99" fillId="0" borderId="41" xfId="87" applyNumberFormat="1" applyFont="1" applyFill="1" applyBorder="1" applyAlignment="1">
      <alignment horizontal="center"/>
    </xf>
    <xf numFmtId="167" fontId="116" fillId="0" borderId="0" xfId="91" quotePrefix="1" applyNumberFormat="1" applyFont="1" applyFill="1" applyAlignment="1">
      <alignment horizontal="right"/>
    </xf>
    <xf numFmtId="167" fontId="116" fillId="0" borderId="0" xfId="87" applyNumberFormat="1" applyFont="1" applyFill="1" applyAlignment="1">
      <alignment horizontal="right"/>
    </xf>
    <xf numFmtId="167" fontId="116" fillId="0" borderId="0" xfId="91" quotePrefix="1" applyNumberFormat="1" applyFont="1" applyFill="1" applyBorder="1" applyAlignment="1">
      <alignment horizontal="right"/>
    </xf>
    <xf numFmtId="3" fontId="116" fillId="0" borderId="0" xfId="91" quotePrefix="1" applyNumberFormat="1" applyFont="1" applyFill="1" applyAlignment="1">
      <alignment horizontal="right"/>
    </xf>
    <xf numFmtId="3" fontId="116" fillId="0" borderId="0" xfId="87" applyNumberFormat="1" applyFont="1" applyFill="1" applyAlignment="1">
      <alignment horizontal="right"/>
    </xf>
    <xf numFmtId="3" fontId="116" fillId="0" borderId="0" xfId="91" quotePrefix="1" applyNumberFormat="1" applyFont="1" applyFill="1" applyBorder="1" applyAlignment="1">
      <alignment horizontal="right"/>
    </xf>
    <xf numFmtId="0" fontId="116" fillId="0" borderId="0" xfId="87" applyFont="1" applyFill="1" applyAlignment="1">
      <alignment horizontal="right"/>
    </xf>
    <xf numFmtId="3" fontId="116" fillId="0" borderId="0" xfId="91" applyNumberFormat="1" applyFont="1" applyFill="1" applyAlignment="1">
      <alignment horizontal="right"/>
    </xf>
    <xf numFmtId="0" fontId="116" fillId="0" borderId="0" xfId="91" applyNumberFormat="1" applyFont="1" applyFill="1"/>
    <xf numFmtId="0" fontId="116" fillId="0" borderId="0" xfId="91" quotePrefix="1" applyNumberFormat="1" applyFont="1" applyFill="1" applyAlignment="1">
      <alignment horizontal="right"/>
    </xf>
    <xf numFmtId="0" fontId="116" fillId="0" borderId="0" xfId="91" applyNumberFormat="1" applyFont="1" applyFill="1" applyAlignment="1">
      <alignment horizontal="left"/>
    </xf>
    <xf numFmtId="0" fontId="116" fillId="0" borderId="0" xfId="91" applyFont="1" applyFill="1" applyAlignment="1">
      <alignment horizontal="right"/>
    </xf>
    <xf numFmtId="0" fontId="116" fillId="0" borderId="0" xfId="91" quotePrefix="1" applyNumberFormat="1" applyFont="1" applyFill="1" applyBorder="1" applyAlignment="1">
      <alignment horizontal="right"/>
    </xf>
    <xf numFmtId="3" fontId="116" fillId="0" borderId="0" xfId="91" applyNumberFormat="1" applyFont="1" applyFill="1" applyBorder="1" applyAlignment="1">
      <alignment horizontal="right"/>
    </xf>
    <xf numFmtId="3" fontId="116" fillId="0" borderId="18" xfId="87" applyNumberFormat="1" applyFont="1" applyFill="1" applyBorder="1"/>
    <xf numFmtId="167" fontId="116" fillId="0" borderId="0" xfId="91" applyNumberFormat="1" applyFont="1" applyFill="1" applyAlignment="1">
      <alignment horizontal="right"/>
    </xf>
    <xf numFmtId="0" fontId="116" fillId="0" borderId="0" xfId="87" applyFont="1" applyFill="1" applyAlignment="1">
      <alignment horizontal="left"/>
    </xf>
    <xf numFmtId="0" fontId="99" fillId="0" borderId="0" xfId="87" applyFont="1" applyFill="1" applyAlignment="1">
      <alignment horizontal="center"/>
    </xf>
    <xf numFmtId="10" fontId="116" fillId="0" borderId="0" xfId="89" applyNumberFormat="1" applyFont="1" applyFill="1"/>
    <xf numFmtId="42" fontId="99" fillId="0" borderId="0" xfId="87" applyNumberFormat="1" applyFont="1" applyFill="1"/>
    <xf numFmtId="0" fontId="151" fillId="0" borderId="0" xfId="87" applyFont="1" applyFill="1"/>
    <xf numFmtId="0" fontId="22" fillId="0" borderId="0" xfId="87" applyFont="1" applyFill="1" applyAlignment="1"/>
    <xf numFmtId="10" fontId="76" fillId="0" borderId="0" xfId="89" applyNumberFormat="1" applyFont="1" applyFill="1" applyAlignment="1">
      <alignment horizontal="left"/>
    </xf>
    <xf numFmtId="10" fontId="88" fillId="0" borderId="0" xfId="89" applyNumberFormat="1" applyFont="1" applyFill="1" applyBorder="1" applyAlignment="1">
      <alignment horizontal="left"/>
    </xf>
    <xf numFmtId="10" fontId="76" fillId="0" borderId="0" xfId="89" applyNumberFormat="1" applyFont="1" applyFill="1" applyBorder="1" applyAlignment="1">
      <alignment horizontal="left"/>
    </xf>
    <xf numFmtId="3" fontId="22" fillId="0" borderId="0" xfId="87" applyNumberFormat="1" applyFont="1" applyFill="1" applyBorder="1" applyAlignment="1">
      <alignment horizontal="left"/>
    </xf>
    <xf numFmtId="0" fontId="151" fillId="0" borderId="0" xfId="87" applyFont="1" applyFill="1" applyAlignment="1">
      <alignment horizontal="right"/>
    </xf>
    <xf numFmtId="0" fontId="154" fillId="0" borderId="0" xfId="87" applyNumberFormat="1" applyFont="1" applyFill="1" applyAlignment="1">
      <alignment horizontal="center"/>
    </xf>
    <xf numFmtId="167" fontId="22" fillId="0" borderId="0" xfId="90" applyNumberFormat="1" applyFont="1" applyFill="1"/>
    <xf numFmtId="3" fontId="22" fillId="0" borderId="0" xfId="87" applyNumberFormat="1" applyFont="1" applyFill="1" applyBorder="1"/>
    <xf numFmtId="3" fontId="22" fillId="0" borderId="0" xfId="90" applyNumberFormat="1" applyFont="1" applyFill="1" applyBorder="1"/>
    <xf numFmtId="167" fontId="154" fillId="0" borderId="0" xfId="87" applyNumberFormat="1" applyFont="1" applyFill="1"/>
    <xf numFmtId="167" fontId="154" fillId="0" borderId="0" xfId="90" applyNumberFormat="1" applyFont="1" applyFill="1"/>
    <xf numFmtId="0" fontId="99" fillId="0" borderId="0" xfId="87" applyFont="1" applyFill="1" applyAlignment="1">
      <alignment horizontal="right"/>
    </xf>
    <xf numFmtId="0" fontId="100" fillId="0" borderId="0" xfId="87" applyFont="1" applyFill="1" applyAlignment="1">
      <alignment horizontal="right"/>
    </xf>
    <xf numFmtId="10" fontId="116" fillId="0" borderId="0" xfId="89" applyNumberFormat="1" applyFont="1" applyFill="1" applyAlignment="1">
      <alignment horizontal="right"/>
    </xf>
    <xf numFmtId="0" fontId="94" fillId="0" borderId="0" xfId="87" applyFont="1" applyFill="1" applyAlignment="1">
      <alignment horizontal="right"/>
    </xf>
    <xf numFmtId="0" fontId="16" fillId="0" borderId="43" xfId="87" applyFont="1" applyFill="1" applyBorder="1" applyAlignment="1">
      <alignment horizontal="center"/>
    </xf>
    <xf numFmtId="0" fontId="16" fillId="0" borderId="0" xfId="87" applyFont="1" applyFill="1" applyBorder="1" applyAlignment="1">
      <alignment horizontal="center"/>
    </xf>
    <xf numFmtId="167" fontId="76" fillId="0" borderId="15" xfId="87" applyNumberFormat="1" applyFont="1" applyFill="1" applyBorder="1"/>
    <xf numFmtId="0" fontId="76" fillId="0" borderId="15" xfId="87" applyFont="1" applyFill="1" applyBorder="1"/>
    <xf numFmtId="0" fontId="126" fillId="4" borderId="0" xfId="33" applyFont="1" applyFill="1" applyBorder="1"/>
    <xf numFmtId="0" fontId="126" fillId="0" borderId="0" xfId="28" applyFont="1" applyFill="1"/>
    <xf numFmtId="0" fontId="126" fillId="0" borderId="0" xfId="28" applyFont="1" applyFill="1" applyAlignment="1">
      <alignment horizontal="left"/>
    </xf>
    <xf numFmtId="0" fontId="141" fillId="4" borderId="0" xfId="33" applyFont="1" applyFill="1" applyBorder="1" applyAlignment="1">
      <alignment horizontal="left"/>
    </xf>
    <xf numFmtId="0" fontId="141" fillId="0" borderId="0" xfId="33" applyFont="1" applyFill="1" applyBorder="1" applyAlignment="1">
      <alignment horizontal="left"/>
    </xf>
    <xf numFmtId="0" fontId="140" fillId="0" borderId="0" xfId="8" applyNumberFormat="1" applyFont="1" applyFill="1" applyAlignment="1">
      <alignment horizontal="left" vertical="center"/>
    </xf>
    <xf numFmtId="3" fontId="126" fillId="0" borderId="0" xfId="0" applyNumberFormat="1" applyFont="1" applyFill="1" applyAlignment="1"/>
    <xf numFmtId="3" fontId="126" fillId="0" borderId="0" xfId="0" applyNumberFormat="1" applyFont="1" applyAlignment="1"/>
    <xf numFmtId="0" fontId="140" fillId="0" borderId="0" xfId="0" applyNumberFormat="1" applyFont="1" applyFill="1" applyAlignment="1"/>
    <xf numFmtId="0" fontId="156" fillId="0" borderId="0" xfId="0" applyNumberFormat="1" applyFont="1" applyFill="1" applyBorder="1" applyAlignment="1"/>
    <xf numFmtId="0" fontId="140" fillId="0" borderId="0" xfId="0" applyNumberFormat="1" applyFont="1" applyFill="1" applyBorder="1" applyAlignment="1"/>
    <xf numFmtId="176" fontId="3" fillId="0" borderId="0" xfId="22" applyNumberFormat="1" applyFont="1" applyFill="1" applyBorder="1" applyAlignment="1">
      <alignment horizontal="center" vertical="center"/>
    </xf>
    <xf numFmtId="176" fontId="16" fillId="0" borderId="15" xfId="22" applyNumberFormat="1" applyFont="1" applyFill="1" applyBorder="1" applyAlignment="1">
      <alignment horizontal="center" vertical="center"/>
    </xf>
    <xf numFmtId="0" fontId="19" fillId="0" borderId="0" xfId="22" applyFont="1" applyFill="1" applyAlignment="1">
      <alignment horizontal="center"/>
    </xf>
    <xf numFmtId="0" fontId="126" fillId="0" borderId="0" xfId="84" applyFont="1" applyFill="1" applyAlignment="1">
      <alignment horizontal="center"/>
    </xf>
    <xf numFmtId="0" fontId="126" fillId="0" borderId="0" xfId="11" applyFont="1" applyFill="1"/>
    <xf numFmtId="0" fontId="126" fillId="0" borderId="0" xfId="25" applyFont="1" applyAlignment="1">
      <alignment horizontal="right"/>
    </xf>
    <xf numFmtId="0" fontId="130" fillId="0" borderId="0" xfId="25" applyFont="1" applyAlignment="1"/>
    <xf numFmtId="0" fontId="126" fillId="0" borderId="0" xfId="25" applyFont="1"/>
    <xf numFmtId="0" fontId="16" fillId="0" borderId="41" xfId="0" applyFont="1" applyBorder="1" applyAlignment="1">
      <alignment horizontal="left" wrapText="1"/>
    </xf>
    <xf numFmtId="0" fontId="27" fillId="0" borderId="13" xfId="21" applyNumberFormat="1" applyFont="1" applyFill="1" applyBorder="1" applyAlignment="1">
      <alignment horizontal="left"/>
    </xf>
    <xf numFmtId="0" fontId="27" fillId="0" borderId="0" xfId="21" applyNumberFormat="1" applyFont="1" applyFill="1" applyBorder="1" applyAlignment="1">
      <alignment horizontal="left"/>
    </xf>
    <xf numFmtId="0" fontId="11" fillId="0" borderId="0" xfId="21" applyNumberFormat="1" applyFont="1" applyFill="1" applyBorder="1" applyAlignment="1"/>
    <xf numFmtId="0" fontId="126" fillId="0" borderId="0" xfId="16" applyFont="1" applyFill="1" applyAlignment="1" applyProtection="1">
      <alignment horizontal="left" vertical="center"/>
    </xf>
    <xf numFmtId="37" fontId="126" fillId="0" borderId="0" xfId="16" applyNumberFormat="1" applyFont="1" applyAlignment="1" applyProtection="1">
      <alignment vertical="center"/>
    </xf>
    <xf numFmtId="37" fontId="140" fillId="0" borderId="0" xfId="16" applyNumberFormat="1" applyFont="1" applyAlignment="1" applyProtection="1">
      <alignment vertical="center"/>
    </xf>
    <xf numFmtId="0" fontId="126" fillId="0" borderId="0" xfId="16" applyFont="1" applyAlignment="1">
      <alignment vertical="center"/>
    </xf>
    <xf numFmtId="3" fontId="140" fillId="0" borderId="0" xfId="16" applyNumberFormat="1" applyFont="1" applyAlignment="1">
      <alignment vertical="center"/>
    </xf>
    <xf numFmtId="0" fontId="140" fillId="0" borderId="0" xfId="16" applyFont="1" applyAlignment="1">
      <alignment vertical="center"/>
    </xf>
    <xf numFmtId="0" fontId="141" fillId="0" borderId="0" xfId="16" applyFont="1" applyAlignment="1">
      <alignment vertical="center"/>
    </xf>
    <xf numFmtId="10" fontId="126" fillId="0" borderId="0" xfId="36" applyNumberFormat="1" applyFont="1" applyAlignment="1">
      <alignment vertical="center"/>
    </xf>
    <xf numFmtId="2" fontId="126" fillId="0" borderId="0" xfId="16" applyNumberFormat="1" applyFont="1" applyAlignment="1">
      <alignment vertical="center"/>
    </xf>
    <xf numFmtId="0" fontId="127" fillId="0" borderId="0" xfId="16" applyFont="1" applyAlignment="1">
      <alignment vertical="center"/>
    </xf>
    <xf numFmtId="0" fontId="127" fillId="0" borderId="0" xfId="0" applyFont="1" applyAlignment="1">
      <alignment vertical="center"/>
    </xf>
    <xf numFmtId="0" fontId="127" fillId="0" borderId="0" xfId="16" applyFont="1" applyAlignment="1">
      <alignment horizontal="left" vertical="center"/>
    </xf>
    <xf numFmtId="0" fontId="127" fillId="0" borderId="0" xfId="16" applyFont="1" applyAlignment="1">
      <alignment horizontal="left" vertical="center" wrapText="1"/>
    </xf>
    <xf numFmtId="0" fontId="140" fillId="0" borderId="0" xfId="16" applyFont="1" applyFill="1" applyAlignment="1">
      <alignment vertical="center"/>
    </xf>
    <xf numFmtId="0" fontId="126" fillId="0" borderId="0" xfId="16" applyFont="1" applyFill="1" applyAlignment="1">
      <alignment vertical="center"/>
    </xf>
    <xf numFmtId="37" fontId="4" fillId="0" borderId="0" xfId="16" applyNumberFormat="1"/>
    <xf numFmtId="9" fontId="4" fillId="0" borderId="0" xfId="36" applyFont="1"/>
    <xf numFmtId="37" fontId="11" fillId="0" borderId="0" xfId="16" applyNumberFormat="1" applyFont="1" applyFill="1" applyProtection="1"/>
    <xf numFmtId="167" fontId="144" fillId="0" borderId="0" xfId="16" applyNumberFormat="1" applyFont="1" applyAlignment="1" applyProtection="1">
      <alignment horizontal="center"/>
    </xf>
    <xf numFmtId="3" fontId="144" fillId="0" borderId="0" xfId="16" applyNumberFormat="1" applyFont="1" applyAlignment="1" applyProtection="1">
      <alignment horizontal="center"/>
    </xf>
    <xf numFmtId="0" fontId="16" fillId="0" borderId="41" xfId="87" applyFont="1" applyFill="1" applyBorder="1" applyAlignment="1"/>
    <xf numFmtId="0" fontId="157" fillId="0" borderId="0" xfId="87" applyFont="1" applyFill="1" applyAlignment="1"/>
    <xf numFmtId="0" fontId="6" fillId="0" borderId="0" xfId="87" applyFont="1" applyFill="1" applyBorder="1" applyAlignment="1"/>
    <xf numFmtId="0" fontId="16" fillId="0" borderId="46" xfId="87" applyFont="1" applyFill="1" applyBorder="1" applyAlignment="1">
      <alignment horizontal="center" vertical="center" wrapText="1"/>
    </xf>
    <xf numFmtId="42" fontId="24" fillId="0" borderId="15" xfId="87" applyNumberFormat="1" applyFont="1" applyFill="1" applyBorder="1" applyAlignment="1"/>
    <xf numFmtId="0" fontId="24" fillId="0" borderId="15" xfId="87" applyFont="1" applyFill="1" applyBorder="1" applyAlignment="1"/>
    <xf numFmtId="42" fontId="24" fillId="0" borderId="15" xfId="87" applyNumberFormat="1" applyFont="1" applyFill="1" applyBorder="1" applyAlignment="1">
      <alignment horizontal="center"/>
    </xf>
    <xf numFmtId="0" fontId="6" fillId="0" borderId="0" xfId="87" applyFont="1" applyFill="1"/>
    <xf numFmtId="0" fontId="6" fillId="0" borderId="0" xfId="87" applyFont="1" applyFill="1" applyBorder="1"/>
    <xf numFmtId="167" fontId="0" fillId="0" borderId="0" xfId="0" applyNumberFormat="1" applyFont="1" applyAlignment="1"/>
    <xf numFmtId="0" fontId="0" fillId="0" borderId="16" xfId="0" applyNumberFormat="1" applyFont="1" applyFill="1" applyBorder="1" applyAlignment="1"/>
    <xf numFmtId="164" fontId="9" fillId="0" borderId="1" xfId="0" applyNumberFormat="1" applyFont="1" applyFill="1" applyBorder="1" applyAlignment="1">
      <alignment horizontal="center"/>
    </xf>
    <xf numFmtId="0" fontId="0" fillId="0" borderId="0" xfId="0" applyNumberFormat="1" applyFont="1" applyAlignment="1">
      <alignment horizontal="right" indent="3"/>
    </xf>
    <xf numFmtId="167" fontId="11" fillId="0" borderId="0" xfId="35" applyNumberFormat="1" applyFont="1" applyFill="1" applyAlignment="1">
      <alignment horizontal="right" vertical="top"/>
    </xf>
    <xf numFmtId="0" fontId="29" fillId="0" borderId="15" xfId="35" applyNumberFormat="1" applyFont="1" applyFill="1" applyBorder="1" applyAlignment="1">
      <alignment horizontal="centerContinuous" wrapText="1"/>
    </xf>
    <xf numFmtId="0" fontId="29" fillId="0" borderId="15" xfId="35" applyNumberFormat="1" applyFont="1" applyFill="1" applyBorder="1" applyAlignment="1">
      <alignment horizontal="right" wrapText="1"/>
    </xf>
    <xf numFmtId="0" fontId="29" fillId="0" borderId="15" xfId="35" applyNumberFormat="1" applyFont="1" applyFill="1" applyBorder="1" applyAlignment="1">
      <alignment horizontal="right"/>
    </xf>
    <xf numFmtId="0" fontId="29" fillId="0" borderId="15" xfId="35" applyNumberFormat="1" applyFont="1" applyFill="1" applyBorder="1" applyAlignment="1">
      <alignment horizontal="right" indent="1"/>
    </xf>
    <xf numFmtId="0" fontId="15" fillId="0" borderId="6" xfId="14" applyFont="1" applyFill="1" applyBorder="1" applyAlignment="1" applyProtection="1">
      <alignment horizontal="left"/>
    </xf>
    <xf numFmtId="0" fontId="15" fillId="0" borderId="0" xfId="14" applyFont="1" applyFill="1" applyBorder="1" applyAlignment="1" applyProtection="1">
      <alignment horizontal="left"/>
    </xf>
    <xf numFmtId="0" fontId="17" fillId="0" borderId="0" xfId="14" applyFont="1" applyFill="1" applyAlignment="1" applyProtection="1">
      <alignment horizontal="left"/>
    </xf>
    <xf numFmtId="0" fontId="16" fillId="0" borderId="43" xfId="14" applyFont="1" applyBorder="1" applyAlignment="1" applyProtection="1">
      <alignment horizontal="left"/>
    </xf>
    <xf numFmtId="0" fontId="91" fillId="0" borderId="0" xfId="86" applyFill="1" applyAlignment="1" applyProtection="1"/>
    <xf numFmtId="0" fontId="16" fillId="0" borderId="19" xfId="11" applyNumberFormat="1" applyFont="1" applyFill="1" applyBorder="1" applyAlignment="1">
      <alignment horizontal="center"/>
    </xf>
    <xf numFmtId="0" fontId="16" fillId="0" borderId="46" xfId="11" applyNumberFormat="1" applyFont="1" applyFill="1" applyBorder="1" applyAlignment="1"/>
    <xf numFmtId="3" fontId="16" fillId="0" borderId="41" xfId="11" applyNumberFormat="1" applyFont="1" applyFill="1" applyBorder="1" applyAlignment="1">
      <alignment horizontal="center"/>
    </xf>
    <xf numFmtId="3" fontId="87" fillId="0" borderId="41" xfId="11" applyNumberFormat="1" applyFont="1" applyFill="1" applyBorder="1" applyAlignment="1">
      <alignment horizontal="center"/>
    </xf>
    <xf numFmtId="0" fontId="87" fillId="0" borderId="41" xfId="11" applyNumberFormat="1" applyFont="1" applyFill="1" applyBorder="1" applyAlignment="1">
      <alignment horizontal="center"/>
    </xf>
    <xf numFmtId="3" fontId="3" fillId="0" borderId="41" xfId="11" applyNumberFormat="1" applyFont="1" applyFill="1" applyBorder="1"/>
    <xf numFmtId="3" fontId="73" fillId="0" borderId="41" xfId="11" applyNumberFormat="1" applyFont="1" applyFill="1" applyBorder="1"/>
    <xf numFmtId="164" fontId="3" fillId="0" borderId="41" xfId="11" applyNumberFormat="1" applyFont="1" applyFill="1" applyBorder="1" applyAlignment="1"/>
    <xf numFmtId="0" fontId="3" fillId="0" borderId="41" xfId="11" applyNumberFormat="1" applyFont="1" applyFill="1" applyBorder="1" applyAlignment="1"/>
    <xf numFmtId="0" fontId="73" fillId="0" borderId="41" xfId="11" applyNumberFormat="1" applyFont="1" applyFill="1" applyBorder="1" applyAlignment="1"/>
    <xf numFmtId="3" fontId="73" fillId="0" borderId="41" xfId="11" applyNumberFormat="1" applyFont="1" applyFill="1" applyBorder="1" applyAlignment="1"/>
    <xf numFmtId="3" fontId="87" fillId="0" borderId="15" xfId="11" applyNumberFormat="1" applyFont="1" applyFill="1" applyBorder="1" applyAlignment="1"/>
    <xf numFmtId="0" fontId="76" fillId="0" borderId="0" xfId="11" applyFont="1" applyFill="1"/>
    <xf numFmtId="3" fontId="16" fillId="0" borderId="29" xfId="11" applyNumberFormat="1" applyFont="1" applyFill="1" applyBorder="1" applyAlignment="1">
      <alignment horizontal="centerContinuous"/>
    </xf>
    <xf numFmtId="0" fontId="16" fillId="0" borderId="0" xfId="87" applyFont="1" applyFill="1" applyBorder="1" applyAlignment="1">
      <alignment horizontal="left"/>
    </xf>
    <xf numFmtId="0" fontId="91" fillId="0" borderId="0" xfId="86" applyAlignment="1" applyProtection="1">
      <alignment horizontal="right"/>
    </xf>
    <xf numFmtId="0" fontId="126" fillId="0" borderId="0" xfId="0" applyFont="1" applyAlignment="1">
      <alignment vertical="top" wrapText="1"/>
    </xf>
    <xf numFmtId="0" fontId="0" fillId="0" borderId="0" xfId="0" applyBorder="1" applyAlignment="1">
      <alignment wrapText="1"/>
    </xf>
    <xf numFmtId="0" fontId="21" fillId="0" borderId="0" xfId="8" applyNumberFormat="1" applyFont="1" applyFill="1" applyAlignment="1"/>
    <xf numFmtId="0" fontId="126" fillId="0" borderId="0" xfId="0" applyFont="1" applyAlignment="1">
      <alignment vertical="top" wrapText="1"/>
    </xf>
    <xf numFmtId="0" fontId="3" fillId="0" borderId="0" xfId="0" applyFont="1" applyBorder="1" applyAlignment="1">
      <alignment wrapText="1"/>
    </xf>
    <xf numFmtId="0" fontId="3" fillId="0" borderId="0" xfId="0" applyFont="1" applyBorder="1" applyAlignment="1">
      <alignment horizontal="left" wrapText="1"/>
    </xf>
    <xf numFmtId="3" fontId="3" fillId="0" borderId="0" xfId="40" applyNumberFormat="1" applyFont="1" applyFill="1" applyBorder="1" applyAlignment="1">
      <alignment horizontal="right"/>
    </xf>
    <xf numFmtId="37" fontId="3" fillId="0" borderId="0" xfId="88" applyNumberFormat="1" applyFont="1" applyBorder="1" applyAlignment="1">
      <alignment horizontal="right" wrapText="1"/>
    </xf>
    <xf numFmtId="0" fontId="3" fillId="0" borderId="0" xfId="91" applyFont="1" applyBorder="1" applyAlignment="1">
      <alignment wrapText="1"/>
    </xf>
    <xf numFmtId="3" fontId="3" fillId="0" borderId="41" xfId="40" applyNumberFormat="1" applyFont="1" applyFill="1" applyBorder="1" applyAlignment="1">
      <alignment horizontal="right"/>
    </xf>
    <xf numFmtId="0" fontId="158" fillId="0" borderId="0" xfId="16" applyFont="1" applyAlignment="1">
      <alignment vertical="center"/>
    </xf>
    <xf numFmtId="0" fontId="158" fillId="0" borderId="0" xfId="8" applyNumberFormat="1" applyFont="1" applyFill="1" applyAlignment="1">
      <alignment horizontal="left" vertical="center"/>
    </xf>
    <xf numFmtId="41" fontId="144" fillId="36" borderId="0" xfId="16" quotePrefix="1" applyNumberFormat="1" applyFont="1" applyFill="1" applyProtection="1"/>
    <xf numFmtId="41" fontId="11" fillId="0" borderId="0" xfId="16" applyNumberFormat="1" applyFont="1" applyProtection="1"/>
    <xf numFmtId="41" fontId="11" fillId="36" borderId="0" xfId="16" applyNumberFormat="1" applyFont="1" applyFill="1" applyProtection="1"/>
    <xf numFmtId="41" fontId="3" fillId="0" borderId="0" xfId="16" applyNumberFormat="1" applyFont="1" applyAlignment="1" applyProtection="1">
      <alignment horizontal="center"/>
    </xf>
    <xf numFmtId="41" fontId="94" fillId="0" borderId="0" xfId="16" applyNumberFormat="1" applyFont="1" applyProtection="1"/>
    <xf numFmtId="41" fontId="3" fillId="0" borderId="0" xfId="16" quotePrefix="1" applyNumberFormat="1" applyFont="1" applyProtection="1"/>
    <xf numFmtId="41" fontId="3" fillId="36" borderId="0" xfId="16" quotePrefix="1" applyNumberFormat="1" applyFont="1" applyFill="1" applyProtection="1"/>
    <xf numFmtId="41" fontId="159" fillId="36" borderId="0" xfId="16" quotePrefix="1" applyNumberFormat="1" applyFont="1" applyFill="1" applyProtection="1"/>
    <xf numFmtId="41" fontId="3" fillId="0" borderId="0" xfId="16" applyNumberFormat="1" applyFont="1" applyProtection="1"/>
    <xf numFmtId="41" fontId="3" fillId="0" borderId="0" xfId="16" applyNumberFormat="1" applyFont="1" applyFill="1" applyProtection="1"/>
    <xf numFmtId="41" fontId="3" fillId="0" borderId="0" xfId="16" quotePrefix="1" applyNumberFormat="1" applyFont="1" applyAlignment="1" applyProtection="1">
      <alignment horizontal="center"/>
    </xf>
    <xf numFmtId="41" fontId="3" fillId="0" borderId="0" xfId="16" quotePrefix="1" applyNumberFormat="1" applyFont="1" applyFill="1" applyProtection="1"/>
    <xf numFmtId="41" fontId="3" fillId="0" borderId="0" xfId="16" quotePrefix="1" applyNumberFormat="1" applyFont="1" applyFill="1" applyAlignment="1" applyProtection="1">
      <alignment horizontal="center"/>
    </xf>
    <xf numFmtId="42" fontId="11" fillId="0" borderId="0" xfId="16" applyNumberFormat="1" applyFont="1" applyProtection="1"/>
    <xf numFmtId="42" fontId="159" fillId="36" borderId="0" xfId="16" quotePrefix="1" applyNumberFormat="1" applyFont="1" applyFill="1" applyProtection="1"/>
    <xf numFmtId="42" fontId="3" fillId="0" borderId="0" xfId="16" applyNumberFormat="1" applyFont="1" applyAlignment="1" applyProtection="1">
      <alignment horizontal="center"/>
    </xf>
    <xf numFmtId="42" fontId="11" fillId="36" borderId="0" xfId="16" applyNumberFormat="1" applyFont="1" applyFill="1" applyProtection="1"/>
    <xf numFmtId="42" fontId="94" fillId="0" borderId="0" xfId="16" applyNumberFormat="1" applyFont="1" applyProtection="1"/>
    <xf numFmtId="0" fontId="22" fillId="0" borderId="0" xfId="16" applyFont="1" applyFill="1"/>
    <xf numFmtId="0" fontId="24" fillId="0" borderId="17" xfId="16" applyFont="1" applyFill="1" applyBorder="1" applyAlignment="1">
      <alignment horizontal="centerContinuous"/>
    </xf>
    <xf numFmtId="0" fontId="0" fillId="0" borderId="17" xfId="0" applyFill="1" applyBorder="1" applyAlignment="1">
      <alignment horizontal="centerContinuous"/>
    </xf>
    <xf numFmtId="0" fontId="8" fillId="0" borderId="0" xfId="16" applyFont="1" applyFill="1"/>
    <xf numFmtId="0" fontId="84" fillId="0" borderId="9" xfId="16" applyFont="1" applyFill="1" applyBorder="1" applyAlignment="1" applyProtection="1">
      <alignment horizontal="center" wrapText="1"/>
    </xf>
    <xf numFmtId="0" fontId="24" fillId="0" borderId="9" xfId="16" applyFont="1" applyFill="1" applyBorder="1" applyAlignment="1" applyProtection="1">
      <alignment horizontal="center" wrapText="1"/>
    </xf>
    <xf numFmtId="0" fontId="24" fillId="0" borderId="9" xfId="16" applyFont="1" applyFill="1" applyBorder="1" applyAlignment="1">
      <alignment horizontal="center" wrapText="1"/>
    </xf>
    <xf numFmtId="0" fontId="84" fillId="0" borderId="9" xfId="16" applyFont="1" applyFill="1" applyBorder="1" applyAlignment="1">
      <alignment horizontal="center" wrapText="1"/>
    </xf>
    <xf numFmtId="0" fontId="11" fillId="0" borderId="0" xfId="16" applyFont="1" applyAlignment="1" applyProtection="1">
      <alignment horizontal="right" indent="1"/>
    </xf>
    <xf numFmtId="0" fontId="51" fillId="0" borderId="0" xfId="16" applyFont="1" applyAlignment="1" applyProtection="1">
      <alignment horizontal="right" indent="1"/>
    </xf>
    <xf numFmtId="3" fontId="16" fillId="0" borderId="41" xfId="11" applyNumberFormat="1" applyFont="1" applyFill="1" applyBorder="1"/>
    <xf numFmtId="3" fontId="87" fillId="0" borderId="41" xfId="11" applyNumberFormat="1" applyFont="1" applyFill="1" applyBorder="1"/>
    <xf numFmtId="3" fontId="11" fillId="0" borderId="0" xfId="21" applyNumberFormat="1" applyFont="1" applyAlignment="1"/>
    <xf numFmtId="3" fontId="11" fillId="0" borderId="0" xfId="21" applyNumberFormat="1" applyFont="1" applyFill="1" applyBorder="1" applyAlignment="1"/>
    <xf numFmtId="0" fontId="46" fillId="0" borderId="0" xfId="21" applyFont="1" applyAlignment="1"/>
    <xf numFmtId="3" fontId="11" fillId="0" borderId="0" xfId="21" applyNumberFormat="1" applyFont="1" applyFill="1" applyAlignment="1"/>
    <xf numFmtId="0" fontId="22" fillId="0" borderId="0" xfId="21" applyFont="1" applyAlignment="1"/>
    <xf numFmtId="3" fontId="11" fillId="0" borderId="0" xfId="21" applyNumberFormat="1" applyFont="1" applyBorder="1" applyAlignment="1"/>
    <xf numFmtId="0" fontId="46" fillId="0" borderId="0" xfId="21" applyFont="1" applyBorder="1" applyAlignment="1"/>
    <xf numFmtId="0" fontId="46" fillId="0" borderId="0" xfId="21" applyFont="1" applyFill="1" applyAlignment="1"/>
    <xf numFmtId="167" fontId="11" fillId="0" borderId="0" xfId="21" applyNumberFormat="1" applyFont="1" applyFill="1" applyBorder="1" applyAlignment="1"/>
    <xf numFmtId="164" fontId="11" fillId="0" borderId="0" xfId="21" applyNumberFormat="1" applyFont="1" applyBorder="1" applyAlignment="1"/>
    <xf numFmtId="167" fontId="11" fillId="0" borderId="0" xfId="21" applyNumberFormat="1" applyFont="1" applyBorder="1" applyAlignment="1"/>
    <xf numFmtId="0" fontId="3" fillId="0" borderId="0" xfId="0" applyFont="1" applyBorder="1" applyAlignment="1"/>
    <xf numFmtId="0" fontId="3" fillId="0" borderId="0" xfId="91" applyFont="1" applyBorder="1" applyAlignment="1"/>
    <xf numFmtId="0" fontId="6" fillId="0" borderId="0" xfId="0" applyNumberFormat="1" applyFont="1" applyFill="1" applyAlignment="1"/>
    <xf numFmtId="37" fontId="21" fillId="0" borderId="0" xfId="17" applyNumberFormat="1" applyFont="1" applyFill="1" applyAlignment="1" applyProtection="1">
      <alignment horizontal="left"/>
    </xf>
    <xf numFmtId="37" fontId="26" fillId="0" borderId="0" xfId="17" applyNumberFormat="1" applyFont="1" applyFill="1" applyProtection="1"/>
    <xf numFmtId="0" fontId="26" fillId="0" borderId="0" xfId="17" applyFont="1" applyFill="1" applyProtection="1"/>
    <xf numFmtId="0" fontId="91" fillId="0" borderId="0" xfId="86" applyFill="1" applyAlignment="1" applyProtection="1">
      <alignment horizontal="right"/>
    </xf>
    <xf numFmtId="0" fontId="135" fillId="0" borderId="0" xfId="17" applyFont="1" applyFill="1" applyProtection="1"/>
    <xf numFmtId="3" fontId="135" fillId="0" borderId="0" xfId="17" applyNumberFormat="1" applyFont="1" applyFill="1" applyProtection="1"/>
    <xf numFmtId="0" fontId="134" fillId="0" borderId="0" xfId="17" applyFont="1" applyFill="1" applyProtection="1"/>
    <xf numFmtId="37" fontId="16" fillId="0" borderId="0" xfId="17" applyNumberFormat="1" applyFont="1" applyFill="1" applyAlignment="1" applyProtection="1">
      <alignment horizontal="left"/>
    </xf>
    <xf numFmtId="37" fontId="80" fillId="0" borderId="0" xfId="17" applyNumberFormat="1" applyFont="1" applyFill="1" applyAlignment="1" applyProtection="1">
      <alignment horizontal="left"/>
    </xf>
    <xf numFmtId="5" fontId="30" fillId="0" borderId="9" xfId="17" applyNumberFormat="1" applyFont="1" applyFill="1" applyBorder="1" applyAlignment="1" applyProtection="1">
      <alignment wrapText="1"/>
    </xf>
    <xf numFmtId="37" fontId="30" fillId="0" borderId="9" xfId="17" applyNumberFormat="1" applyFont="1" applyFill="1" applyBorder="1" applyAlignment="1" applyProtection="1">
      <alignment horizontal="center" wrapText="1"/>
    </xf>
    <xf numFmtId="0" fontId="30" fillId="0" borderId="0" xfId="17" applyFont="1" applyFill="1" applyBorder="1" applyProtection="1"/>
    <xf numFmtId="37" fontId="30" fillId="0" borderId="0" xfId="17" applyNumberFormat="1" applyFont="1" applyFill="1" applyBorder="1" applyAlignment="1" applyProtection="1">
      <alignment horizontal="center"/>
    </xf>
    <xf numFmtId="5" fontId="30" fillId="0" borderId="17" xfId="17" applyNumberFormat="1" applyFont="1" applyFill="1" applyBorder="1" applyAlignment="1" applyProtection="1">
      <alignment horizontal="center"/>
    </xf>
    <xf numFmtId="37" fontId="30" fillId="0" borderId="17" xfId="17" applyNumberFormat="1" applyFont="1" applyFill="1" applyBorder="1" applyAlignment="1" applyProtection="1">
      <alignment horizontal="center" vertical="center" wrapText="1"/>
    </xf>
    <xf numFmtId="5" fontId="31" fillId="0" borderId="0" xfId="17" applyNumberFormat="1" applyFont="1" applyFill="1" applyBorder="1" applyProtection="1"/>
    <xf numFmtId="10" fontId="32" fillId="0" borderId="0" xfId="38" applyNumberFormat="1" applyFont="1" applyFill="1" applyBorder="1" applyProtection="1"/>
    <xf numFmtId="0" fontId="31" fillId="0" borderId="0" xfId="17" applyFont="1" applyFill="1" applyBorder="1" applyProtection="1"/>
    <xf numFmtId="5" fontId="90" fillId="0" borderId="0" xfId="17" applyNumberFormat="1" applyFont="1" applyFill="1" applyBorder="1" applyProtection="1"/>
    <xf numFmtId="0" fontId="12" fillId="0" borderId="0" xfId="17" applyFont="1" applyFill="1" applyBorder="1" applyProtection="1"/>
    <xf numFmtId="5" fontId="30" fillId="0" borderId="8" xfId="17" applyNumberFormat="1" applyFont="1" applyFill="1" applyBorder="1" applyAlignment="1" applyProtection="1">
      <alignment vertical="center"/>
    </xf>
    <xf numFmtId="10" fontId="32" fillId="0" borderId="0" xfId="38" applyNumberFormat="1" applyFont="1" applyFill="1" applyProtection="1"/>
    <xf numFmtId="5" fontId="31" fillId="0" borderId="1" xfId="17" applyNumberFormat="1" applyFont="1" applyFill="1" applyBorder="1" applyProtection="1"/>
    <xf numFmtId="0" fontId="11" fillId="0" borderId="0" xfId="17" applyFont="1" applyFill="1" applyProtection="1"/>
    <xf numFmtId="37" fontId="12" fillId="0" borderId="0" xfId="27" applyNumberFormat="1" applyFont="1" applyFill="1" applyBorder="1"/>
    <xf numFmtId="0" fontId="30" fillId="0" borderId="8" xfId="17" applyFont="1" applyFill="1" applyBorder="1" applyProtection="1"/>
    <xf numFmtId="5" fontId="30" fillId="0" borderId="8" xfId="17" applyNumberFormat="1" applyFont="1" applyFill="1" applyBorder="1" applyProtection="1"/>
    <xf numFmtId="0" fontId="80" fillId="0" borderId="0" xfId="17" applyFont="1" applyFill="1" applyProtection="1"/>
    <xf numFmtId="0" fontId="126" fillId="0" borderId="0" xfId="0" applyFont="1" applyFill="1" applyAlignment="1">
      <alignment vertical="top" wrapText="1"/>
    </xf>
    <xf numFmtId="0" fontId="16" fillId="0" borderId="0" xfId="87" applyFont="1" applyFill="1" applyBorder="1" applyAlignment="1">
      <alignment horizontal="left" vertical="top"/>
    </xf>
    <xf numFmtId="0" fontId="22" fillId="0" borderId="13" xfId="87" applyFont="1" applyFill="1" applyBorder="1"/>
    <xf numFmtId="0" fontId="16" fillId="0" borderId="0" xfId="87" applyFont="1" applyFill="1" applyAlignment="1"/>
    <xf numFmtId="0" fontId="22" fillId="0" borderId="0" xfId="87" applyFont="1" applyFill="1" applyAlignment="1">
      <alignment vertical="top"/>
    </xf>
    <xf numFmtId="10" fontId="24" fillId="0" borderId="0" xfId="89" applyNumberFormat="1" applyFont="1" applyFill="1" applyBorder="1" applyAlignment="1">
      <alignment horizontal="left" vertical="top"/>
    </xf>
    <xf numFmtId="0" fontId="16" fillId="0" borderId="43" xfId="87" applyFont="1" applyFill="1" applyBorder="1" applyAlignment="1"/>
    <xf numFmtId="0" fontId="163" fillId="0" borderId="0" xfId="87" applyFont="1" applyFill="1" applyAlignment="1">
      <alignment horizontal="left" vertical="center"/>
    </xf>
    <xf numFmtId="169" fontId="3" fillId="0" borderId="0" xfId="36" applyNumberFormat="1" applyFont="1" applyAlignment="1">
      <alignment horizontal="center"/>
    </xf>
    <xf numFmtId="164" fontId="11" fillId="0" borderId="0" xfId="21" applyNumberFormat="1" applyFont="1" applyFill="1" applyBorder="1" applyAlignment="1"/>
    <xf numFmtId="41" fontId="12" fillId="4" borderId="0" xfId="33" applyNumberFormat="1" applyFont="1" applyFill="1"/>
    <xf numFmtId="0" fontId="16" fillId="4" borderId="46" xfId="33" applyFont="1" applyFill="1" applyBorder="1" applyAlignment="1">
      <alignment horizontal="left"/>
    </xf>
    <xf numFmtId="0" fontId="100" fillId="4" borderId="46" xfId="33" applyFont="1" applyFill="1" applyBorder="1" applyAlignment="1">
      <alignment horizontal="center"/>
    </xf>
    <xf numFmtId="4" fontId="16" fillId="4" borderId="46" xfId="33" applyNumberFormat="1" applyFont="1" applyFill="1" applyBorder="1" applyAlignment="1">
      <alignment horizontal="right"/>
    </xf>
    <xf numFmtId="3" fontId="107" fillId="0" borderId="0" xfId="0" applyNumberFormat="1" applyFont="1"/>
    <xf numFmtId="0" fontId="165" fillId="0" borderId="0" xfId="0" applyFont="1" applyAlignment="1">
      <alignment horizontal="right"/>
    </xf>
    <xf numFmtId="3" fontId="164" fillId="0" borderId="0" xfId="8" applyNumberFormat="1" applyFont="1" applyFill="1" applyAlignment="1"/>
    <xf numFmtId="3" fontId="166" fillId="0" borderId="0" xfId="8" applyNumberFormat="1" applyFont="1" applyFill="1" applyAlignment="1">
      <alignment horizontal="right"/>
    </xf>
    <xf numFmtId="164" fontId="164" fillId="0" borderId="0" xfId="8" applyNumberFormat="1" applyFont="1" applyFill="1" applyAlignment="1"/>
    <xf numFmtId="0" fontId="164" fillId="0" borderId="0" xfId="8" applyNumberFormat="1" applyFont="1" applyFill="1" applyAlignment="1"/>
    <xf numFmtId="167" fontId="164" fillId="0" borderId="0" xfId="12" applyNumberFormat="1" applyFont="1" applyAlignment="1"/>
    <xf numFmtId="3" fontId="164" fillId="0" borderId="0" xfId="12" applyNumberFormat="1" applyFont="1" applyAlignment="1"/>
    <xf numFmtId="3" fontId="164" fillId="0" borderId="0" xfId="8" applyNumberFormat="1" applyFont="1" applyAlignment="1"/>
    <xf numFmtId="0" fontId="164" fillId="0" borderId="0" xfId="8" applyNumberFormat="1" applyFont="1" applyAlignment="1"/>
    <xf numFmtId="0" fontId="21" fillId="4" borderId="0" xfId="32" applyNumberFormat="1" applyFont="1" applyFill="1" applyAlignment="1">
      <alignment horizontal="left"/>
    </xf>
    <xf numFmtId="0" fontId="15" fillId="0" borderId="7" xfId="14" applyFont="1" applyFill="1" applyBorder="1" applyAlignment="1" applyProtection="1">
      <alignment horizontal="left" wrapText="1"/>
    </xf>
    <xf numFmtId="37" fontId="16" fillId="0" borderId="7" xfId="14" applyNumberFormat="1" applyFont="1" applyBorder="1" applyAlignment="1" applyProtection="1">
      <alignment horizontal="right" wrapText="1"/>
    </xf>
    <xf numFmtId="37" fontId="16" fillId="0" borderId="7" xfId="14" applyNumberFormat="1" applyFont="1" applyBorder="1" applyAlignment="1" applyProtection="1">
      <alignment horizontal="center" wrapText="1"/>
    </xf>
    <xf numFmtId="39" fontId="16" fillId="0" borderId="7" xfId="14" applyNumberFormat="1" applyFont="1" applyBorder="1" applyAlignment="1" applyProtection="1">
      <alignment horizontal="center" wrapText="1"/>
    </xf>
    <xf numFmtId="0" fontId="3" fillId="0" borderId="0" xfId="14" applyFont="1" applyFill="1" applyAlignment="1" applyProtection="1">
      <alignment horizontal="left" vertical="center"/>
    </xf>
    <xf numFmtId="3" fontId="3" fillId="0" borderId="0" xfId="41" applyNumberFormat="1" applyFont="1" applyBorder="1" applyAlignment="1" applyProtection="1">
      <alignment vertical="center"/>
    </xf>
    <xf numFmtId="0" fontId="3" fillId="0" borderId="0" xfId="13" applyAlignment="1">
      <alignment vertical="center"/>
    </xf>
    <xf numFmtId="0" fontId="17" fillId="0" borderId="0" xfId="14" applyFont="1" applyFill="1" applyAlignment="1" applyProtection="1">
      <alignment horizontal="left" vertical="top"/>
    </xf>
    <xf numFmtId="0" fontId="3" fillId="0" borderId="8" xfId="14" applyFont="1" applyFill="1" applyBorder="1" applyAlignment="1" applyProtection="1">
      <alignment horizontal="left" vertical="center"/>
    </xf>
    <xf numFmtId="0" fontId="16" fillId="0" borderId="42" xfId="14" applyFont="1" applyFill="1" applyBorder="1" applyAlignment="1" applyProtection="1">
      <alignment horizontal="left" vertical="center"/>
    </xf>
    <xf numFmtId="167" fontId="3" fillId="4" borderId="0" xfId="32" applyNumberFormat="1" applyFont="1" applyFill="1"/>
    <xf numFmtId="167" fontId="3" fillId="4" borderId="0" xfId="38" applyNumberFormat="1" applyFont="1" applyFill="1"/>
    <xf numFmtId="3" fontId="3" fillId="4" borderId="0" xfId="32" applyNumberFormat="1" applyFont="1" applyFill="1"/>
    <xf numFmtId="3" fontId="3" fillId="4" borderId="0" xfId="38" applyNumberFormat="1" applyFont="1" applyFill="1"/>
    <xf numFmtId="3" fontId="3" fillId="0" borderId="0" xfId="38" applyNumberFormat="1" applyFont="1" applyFill="1"/>
    <xf numFmtId="3" fontId="3" fillId="4" borderId="40" xfId="38" applyNumberFormat="1" applyFont="1" applyFill="1" applyBorder="1"/>
    <xf numFmtId="0" fontId="128" fillId="0" borderId="0" xfId="17" applyFont="1" applyFill="1" applyProtection="1"/>
    <xf numFmtId="3" fontId="128" fillId="0" borderId="0" xfId="17" applyNumberFormat="1" applyFont="1" applyFill="1" applyProtection="1"/>
    <xf numFmtId="0" fontId="15" fillId="0" borderId="17" xfId="14" applyFont="1" applyFill="1" applyBorder="1" applyAlignment="1" applyProtection="1">
      <alignment horizontal="left" wrapText="1"/>
    </xf>
    <xf numFmtId="0" fontId="27" fillId="0" borderId="0" xfId="14" applyFont="1" applyFill="1" applyAlignment="1" applyProtection="1">
      <alignment horizontal="left" vertical="top"/>
    </xf>
    <xf numFmtId="169" fontId="94" fillId="0" borderId="0" xfId="36" applyNumberFormat="1" applyFont="1" applyAlignment="1">
      <alignment vertical="top"/>
    </xf>
    <xf numFmtId="0" fontId="11" fillId="0" borderId="0" xfId="14" applyFont="1" applyFill="1" applyAlignment="1" applyProtection="1">
      <alignment horizontal="left" vertical="center"/>
    </xf>
    <xf numFmtId="169" fontId="94" fillId="0" borderId="0" xfId="36" applyNumberFormat="1" applyFont="1" applyAlignment="1" applyProtection="1">
      <alignment vertical="center"/>
    </xf>
    <xf numFmtId="0" fontId="11" fillId="0" borderId="8" xfId="14" applyFont="1" applyFill="1" applyBorder="1" applyAlignment="1" applyProtection="1">
      <alignment horizontal="left" vertical="center"/>
    </xf>
    <xf numFmtId="0" fontId="3" fillId="0" borderId="0" xfId="25" applyFont="1" applyFill="1" applyAlignment="1">
      <alignment vertical="top"/>
    </xf>
    <xf numFmtId="0" fontId="39" fillId="0" borderId="0" xfId="25" applyFill="1" applyAlignment="1">
      <alignment vertical="top"/>
    </xf>
    <xf numFmtId="0" fontId="39" fillId="0" borderId="15" xfId="25" applyBorder="1" applyAlignment="1">
      <alignment vertical="center"/>
    </xf>
    <xf numFmtId="0" fontId="23" fillId="0" borderId="15" xfId="25" applyFont="1" applyBorder="1" applyAlignment="1">
      <alignment vertical="center"/>
    </xf>
    <xf numFmtId="0" fontId="16" fillId="0" borderId="1" xfId="25" applyFont="1" applyBorder="1" applyAlignment="1">
      <alignment horizontal="right" vertical="top" wrapText="1"/>
    </xf>
    <xf numFmtId="3" fontId="16" fillId="0" borderId="46" xfId="11" applyNumberFormat="1" applyFont="1" applyFill="1" applyBorder="1" applyAlignment="1">
      <alignment horizontal="left" vertical="center"/>
    </xf>
    <xf numFmtId="3" fontId="16" fillId="0" borderId="46" xfId="11" applyNumberFormat="1" applyFont="1" applyFill="1" applyBorder="1" applyAlignment="1">
      <alignment horizontal="center" vertical="center" wrapText="1"/>
    </xf>
    <xf numFmtId="3" fontId="131" fillId="0" borderId="46" xfId="11" applyNumberFormat="1" applyFont="1" applyFill="1" applyBorder="1" applyAlignment="1">
      <alignment horizontal="center" vertical="center"/>
    </xf>
    <xf numFmtId="3" fontId="131" fillId="0" borderId="0" xfId="11" applyNumberFormat="1" applyFont="1" applyFill="1" applyAlignment="1">
      <alignment horizontal="center"/>
    </xf>
    <xf numFmtId="3" fontId="126" fillId="0" borderId="0" xfId="11" applyNumberFormat="1" applyFont="1" applyFill="1" applyBorder="1"/>
    <xf numFmtId="3" fontId="130" fillId="0" borderId="15" xfId="11" applyNumberFormat="1" applyFont="1" applyFill="1" applyBorder="1" applyAlignment="1"/>
    <xf numFmtId="3" fontId="126" fillId="0" borderId="60" xfId="11" applyNumberFormat="1" applyFont="1" applyFill="1" applyBorder="1" applyAlignment="1"/>
    <xf numFmtId="0" fontId="167" fillId="0" borderId="0" xfId="11" applyFont="1" applyFill="1" applyBorder="1" applyAlignment="1">
      <alignment horizontal="center"/>
    </xf>
    <xf numFmtId="3" fontId="130" fillId="0" borderId="0" xfId="11" applyNumberFormat="1" applyFont="1" applyFill="1" applyBorder="1" applyAlignment="1"/>
    <xf numFmtId="0" fontId="126" fillId="0" borderId="0" xfId="11" applyFont="1" applyFill="1" applyBorder="1"/>
    <xf numFmtId="0" fontId="131" fillId="0" borderId="0" xfId="11" applyFont="1" applyFill="1" applyBorder="1" applyAlignment="1">
      <alignment horizontal="center"/>
    </xf>
    <xf numFmtId="0" fontId="16" fillId="0" borderId="46" xfId="11" applyNumberFormat="1" applyFont="1" applyFill="1" applyBorder="1" applyAlignment="1">
      <alignment horizontal="centerContinuous"/>
    </xf>
    <xf numFmtId="3" fontId="16" fillId="0" borderId="46" xfId="11" applyNumberFormat="1" applyFont="1" applyFill="1" applyBorder="1" applyAlignment="1">
      <alignment horizontal="centerContinuous"/>
    </xf>
    <xf numFmtId="0" fontId="87" fillId="0" borderId="46" xfId="11" applyNumberFormat="1" applyFont="1" applyFill="1" applyBorder="1" applyAlignment="1">
      <alignment horizontal="centerContinuous"/>
    </xf>
    <xf numFmtId="0" fontId="75" fillId="0" borderId="46" xfId="11" applyNumberFormat="1" applyFont="1" applyFill="1" applyBorder="1" applyAlignment="1">
      <alignment horizontal="centerContinuous"/>
    </xf>
    <xf numFmtId="0" fontId="87" fillId="0" borderId="60" xfId="11" applyNumberFormat="1" applyFont="1" applyFill="1" applyBorder="1" applyAlignment="1">
      <alignment horizontal="center" vertical="center" wrapText="1"/>
    </xf>
    <xf numFmtId="0" fontId="16" fillId="0" borderId="60" xfId="11" applyNumberFormat="1" applyFont="1" applyFill="1" applyBorder="1" applyAlignment="1">
      <alignment horizontal="center" vertical="center"/>
    </xf>
    <xf numFmtId="3" fontId="16" fillId="0" borderId="60" xfId="11" applyNumberFormat="1" applyFont="1" applyFill="1" applyBorder="1" applyAlignment="1">
      <alignment horizontal="center" vertical="center"/>
    </xf>
    <xf numFmtId="3" fontId="16" fillId="0" borderId="23" xfId="11" applyNumberFormat="1" applyFont="1" applyFill="1" applyBorder="1" applyAlignment="1">
      <alignment horizontal="center" vertical="center"/>
    </xf>
    <xf numFmtId="3" fontId="16" fillId="0" borderId="60" xfId="11" applyNumberFormat="1" applyFont="1" applyFill="1" applyBorder="1" applyAlignment="1">
      <alignment horizontal="center" vertical="center" wrapText="1"/>
    </xf>
    <xf numFmtId="3" fontId="16" fillId="0" borderId="24" xfId="11" applyNumberFormat="1" applyFont="1" applyFill="1" applyBorder="1" applyAlignment="1">
      <alignment horizontal="center" vertical="center"/>
    </xf>
    <xf numFmtId="3" fontId="87" fillId="0" borderId="60" xfId="11" applyNumberFormat="1" applyFont="1" applyFill="1" applyBorder="1" applyAlignment="1">
      <alignment horizontal="center" vertical="center"/>
    </xf>
    <xf numFmtId="3" fontId="87" fillId="0" borderId="60" xfId="11" applyNumberFormat="1" applyFont="1" applyFill="1" applyBorder="1" applyAlignment="1">
      <alignment horizontal="center" vertical="center" wrapText="1"/>
    </xf>
    <xf numFmtId="0" fontId="16" fillId="0" borderId="60" xfId="11" applyNumberFormat="1" applyFont="1" applyFill="1" applyBorder="1" applyAlignment="1">
      <alignment horizontal="left" vertical="center"/>
    </xf>
    <xf numFmtId="0" fontId="131" fillId="0" borderId="60" xfId="11" applyNumberFormat="1" applyFont="1" applyFill="1" applyBorder="1" applyAlignment="1">
      <alignment horizontal="center" vertical="center"/>
    </xf>
    <xf numFmtId="0" fontId="129" fillId="0" borderId="0" xfId="11" applyNumberFormat="1" applyFont="1" applyFill="1" applyAlignment="1">
      <alignment horizontal="center"/>
    </xf>
    <xf numFmtId="3" fontId="129" fillId="0" borderId="0" xfId="11" applyNumberFormat="1" applyFont="1" applyFill="1" applyBorder="1" applyAlignment="1">
      <alignment horizontal="center"/>
    </xf>
    <xf numFmtId="0" fontId="129" fillId="0" borderId="0" xfId="11" applyNumberFormat="1" applyFont="1" applyFill="1" applyBorder="1" applyAlignment="1">
      <alignment horizontal="center"/>
    </xf>
    <xf numFmtId="0" fontId="131" fillId="0" borderId="0" xfId="11" applyNumberFormat="1" applyFont="1" applyFill="1" applyBorder="1" applyAlignment="1">
      <alignment horizontal="center"/>
    </xf>
    <xf numFmtId="0" fontId="131" fillId="0" borderId="46" xfId="11" applyNumberFormat="1" applyFont="1" applyFill="1" applyBorder="1" applyAlignment="1">
      <alignment horizontal="center"/>
    </xf>
    <xf numFmtId="167" fontId="131" fillId="0" borderId="0" xfId="11" applyNumberFormat="1" applyFont="1" applyFill="1" applyAlignment="1">
      <alignment horizontal="center"/>
    </xf>
    <xf numFmtId="0" fontId="131" fillId="0" borderId="0" xfId="11" applyFont="1" applyFill="1" applyAlignment="1">
      <alignment horizontal="center"/>
    </xf>
    <xf numFmtId="0" fontId="129" fillId="0" borderId="15" xfId="11" applyNumberFormat="1" applyFont="1" applyFill="1" applyBorder="1" applyAlignment="1">
      <alignment horizontal="center"/>
    </xf>
    <xf numFmtId="164" fontId="131" fillId="0" borderId="60" xfId="11" applyNumberFormat="1" applyFont="1" applyFill="1" applyBorder="1" applyAlignment="1">
      <alignment horizontal="center"/>
    </xf>
    <xf numFmtId="0" fontId="131" fillId="0" borderId="0" xfId="33" applyFont="1" applyFill="1" applyBorder="1" applyAlignment="1">
      <alignment horizontal="center"/>
    </xf>
    <xf numFmtId="0" fontId="131" fillId="0" borderId="15" xfId="11" applyNumberFormat="1" applyFont="1" applyFill="1" applyBorder="1" applyAlignment="1">
      <alignment horizontal="center"/>
    </xf>
    <xf numFmtId="3" fontId="29" fillId="0" borderId="0" xfId="11" applyNumberFormat="1" applyFont="1" applyFill="1" applyBorder="1" applyAlignment="1"/>
    <xf numFmtId="3" fontId="23" fillId="0" borderId="19" xfId="11" applyNumberFormat="1" applyFont="1" applyFill="1" applyBorder="1" applyAlignment="1">
      <alignment horizontal="left" vertical="center"/>
    </xf>
    <xf numFmtId="0" fontId="116" fillId="0" borderId="0" xfId="11" applyNumberFormat="1" applyFont="1" applyFill="1" applyAlignment="1"/>
    <xf numFmtId="164" fontId="22" fillId="0" borderId="0" xfId="11" applyNumberFormat="1" applyFont="1" applyFill="1" applyAlignment="1">
      <alignment horizontal="center"/>
    </xf>
    <xf numFmtId="164" fontId="116" fillId="0" borderId="0" xfId="11" applyNumberFormat="1" applyFont="1" applyFill="1" applyAlignment="1">
      <alignment horizontal="center"/>
    </xf>
    <xf numFmtId="164" fontId="16" fillId="0" borderId="19" xfId="11" applyNumberFormat="1" applyFont="1" applyFill="1" applyBorder="1" applyAlignment="1">
      <alignment horizontal="center" wrapText="1"/>
    </xf>
    <xf numFmtId="0" fontId="16" fillId="0" borderId="19" xfId="11" applyNumberFormat="1" applyFont="1" applyFill="1" applyBorder="1" applyAlignment="1">
      <alignment horizontal="left" vertical="center"/>
    </xf>
    <xf numFmtId="164" fontId="16" fillId="0" borderId="19" xfId="11" applyNumberFormat="1" applyFont="1" applyFill="1" applyBorder="1" applyAlignment="1">
      <alignment horizontal="center" vertical="center"/>
    </xf>
    <xf numFmtId="0" fontId="131" fillId="0" borderId="19" xfId="11" applyNumberFormat="1" applyFont="1" applyFill="1" applyBorder="1" applyAlignment="1">
      <alignment horizontal="center" vertical="center"/>
    </xf>
    <xf numFmtId="0" fontId="168" fillId="0" borderId="0" xfId="11" applyNumberFormat="1" applyFont="1" applyFill="1" applyAlignment="1">
      <alignment horizontal="center"/>
    </xf>
    <xf numFmtId="0" fontId="169" fillId="0" borderId="0" xfId="11" applyNumberFormat="1" applyFont="1" applyFill="1" applyAlignment="1">
      <alignment horizontal="center"/>
    </xf>
    <xf numFmtId="3" fontId="169" fillId="0" borderId="0" xfId="11" applyNumberFormat="1" applyFont="1" applyFill="1" applyAlignment="1">
      <alignment horizontal="center"/>
    </xf>
    <xf numFmtId="0" fontId="168" fillId="0" borderId="0" xfId="11" applyNumberFormat="1" applyFont="1" applyFill="1" applyBorder="1" applyAlignment="1">
      <alignment horizontal="center"/>
    </xf>
    <xf numFmtId="0" fontId="167" fillId="0" borderId="0" xfId="11" applyNumberFormat="1" applyFont="1" applyFill="1" applyAlignment="1">
      <alignment horizontal="center"/>
    </xf>
    <xf numFmtId="0" fontId="129" fillId="0" borderId="60" xfId="11" applyNumberFormat="1" applyFont="1" applyFill="1" applyBorder="1" applyAlignment="1">
      <alignment horizontal="center"/>
    </xf>
    <xf numFmtId="3" fontId="21" fillId="0" borderId="0" xfId="11" applyNumberFormat="1" applyFont="1" applyFill="1" applyBorder="1" applyAlignment="1">
      <alignment vertical="top"/>
    </xf>
    <xf numFmtId="3" fontId="6" fillId="0" borderId="0" xfId="11" applyNumberFormat="1" applyFont="1" applyFill="1" applyBorder="1" applyAlignment="1">
      <alignment vertical="top"/>
    </xf>
    <xf numFmtId="3" fontId="29" fillId="0" borderId="0" xfId="11" applyNumberFormat="1" applyFont="1" applyFill="1" applyBorder="1" applyAlignment="1">
      <alignment vertical="top"/>
    </xf>
    <xf numFmtId="3" fontId="3" fillId="0" borderId="0" xfId="11" applyNumberFormat="1" applyFont="1" applyFill="1" applyAlignment="1">
      <alignment vertical="center"/>
    </xf>
    <xf numFmtId="3" fontId="131" fillId="0" borderId="0" xfId="11" applyNumberFormat="1" applyFont="1" applyFill="1" applyAlignment="1">
      <alignment horizontal="center" vertical="center"/>
    </xf>
    <xf numFmtId="3" fontId="11" fillId="0" borderId="0" xfId="11" applyNumberFormat="1" applyFont="1" applyFill="1" applyAlignment="1">
      <alignment vertical="center"/>
    </xf>
    <xf numFmtId="0" fontId="4" fillId="0" borderId="0" xfId="11" applyFont="1" applyFill="1" applyAlignment="1">
      <alignment vertical="center"/>
    </xf>
    <xf numFmtId="0" fontId="4" fillId="0" borderId="0" xfId="11" applyFill="1" applyAlignment="1">
      <alignment vertical="center"/>
    </xf>
    <xf numFmtId="3" fontId="3" fillId="0" borderId="0" xfId="11" applyNumberFormat="1" applyFont="1" applyFill="1" applyBorder="1" applyAlignment="1">
      <alignment vertical="center"/>
    </xf>
    <xf numFmtId="3" fontId="73" fillId="0" borderId="0" xfId="11" applyNumberFormat="1" applyFont="1" applyFill="1" applyBorder="1" applyAlignment="1">
      <alignment vertical="center"/>
    </xf>
    <xf numFmtId="167" fontId="3" fillId="0" borderId="0" xfId="11" applyNumberFormat="1" applyFont="1" applyFill="1" applyBorder="1" applyAlignment="1">
      <alignment vertical="center"/>
    </xf>
    <xf numFmtId="3" fontId="11" fillId="0" borderId="0" xfId="11" applyNumberFormat="1" applyFont="1" applyFill="1" applyBorder="1" applyAlignment="1">
      <alignment vertical="center"/>
    </xf>
    <xf numFmtId="0" fontId="4" fillId="0" borderId="0" xfId="11" applyFont="1" applyFill="1" applyBorder="1" applyAlignment="1">
      <alignment vertical="center"/>
    </xf>
    <xf numFmtId="167" fontId="3" fillId="0" borderId="0" xfId="11" applyNumberFormat="1" applyFont="1" applyFill="1" applyAlignment="1">
      <alignment vertical="center"/>
    </xf>
    <xf numFmtId="3" fontId="73" fillId="0" borderId="0" xfId="11" applyNumberFormat="1" applyFont="1" applyFill="1" applyAlignment="1">
      <alignment vertical="center"/>
    </xf>
    <xf numFmtId="3" fontId="23" fillId="0" borderId="15" xfId="11" applyNumberFormat="1" applyFont="1" applyFill="1" applyBorder="1" applyAlignment="1">
      <alignment vertical="center"/>
    </xf>
    <xf numFmtId="3" fontId="130" fillId="0" borderId="15" xfId="11" applyNumberFormat="1" applyFont="1" applyFill="1" applyBorder="1" applyAlignment="1">
      <alignment vertical="center"/>
    </xf>
    <xf numFmtId="167" fontId="23" fillId="0" borderId="15" xfId="11" applyNumberFormat="1" applyFont="1" applyFill="1" applyBorder="1" applyAlignment="1">
      <alignment vertical="center"/>
    </xf>
    <xf numFmtId="3" fontId="131" fillId="0" borderId="0" xfId="11" applyNumberFormat="1" applyFont="1" applyFill="1" applyBorder="1" applyAlignment="1">
      <alignment vertical="center"/>
    </xf>
    <xf numFmtId="0" fontId="6" fillId="0" borderId="46" xfId="35" applyNumberFormat="1" applyFont="1" applyFill="1" applyBorder="1" applyAlignment="1">
      <alignment horizontal="centerContinuous" wrapText="1"/>
    </xf>
    <xf numFmtId="3" fontId="6" fillId="0" borderId="46" xfId="35" applyNumberFormat="1" applyFont="1" applyFill="1" applyBorder="1" applyAlignment="1">
      <alignment horizontal="centerContinuous" wrapText="1"/>
    </xf>
    <xf numFmtId="0" fontId="6" fillId="0" borderId="46" xfId="35" applyNumberFormat="1" applyFont="1" applyFill="1" applyBorder="1" applyAlignment="1">
      <alignment horizontal="center" wrapText="1"/>
    </xf>
    <xf numFmtId="167" fontId="11" fillId="0" borderId="0" xfId="35" applyNumberFormat="1" applyFill="1" applyAlignment="1">
      <alignment vertical="top"/>
    </xf>
    <xf numFmtId="3" fontId="11" fillId="0" borderId="0" xfId="35" applyNumberFormat="1" applyFont="1" applyFill="1" applyAlignment="1">
      <alignment horizontal="center" vertical="top"/>
    </xf>
    <xf numFmtId="3" fontId="3" fillId="0" borderId="0" xfId="22" applyNumberFormat="1" applyFont="1" applyFill="1" applyBorder="1" applyAlignment="1">
      <alignment horizontal="right" vertical="top"/>
    </xf>
    <xf numFmtId="176" fontId="3" fillId="0" borderId="0" xfId="22" applyNumberFormat="1" applyFont="1" applyFill="1" applyBorder="1" applyAlignment="1">
      <alignment horizontal="center" vertical="top"/>
    </xf>
    <xf numFmtId="167" fontId="11" fillId="0" borderId="0" xfId="35" applyNumberFormat="1" applyFill="1" applyAlignment="1"/>
    <xf numFmtId="167" fontId="3" fillId="0" borderId="0" xfId="22" applyNumberFormat="1" applyFont="1" applyFill="1" applyBorder="1" applyAlignment="1">
      <alignment horizontal="right"/>
    </xf>
    <xf numFmtId="176" fontId="3" fillId="0" borderId="0" xfId="22" applyNumberFormat="1" applyFont="1" applyFill="1" applyBorder="1" applyAlignment="1">
      <alignment horizontal="center"/>
    </xf>
    <xf numFmtId="0" fontId="19" fillId="0" borderId="0" xfId="22" applyFont="1" applyFill="1" applyAlignment="1"/>
    <xf numFmtId="167" fontId="123" fillId="0" borderId="2" xfId="0" applyNumberFormat="1" applyFont="1" applyBorder="1"/>
    <xf numFmtId="164" fontId="96" fillId="0" borderId="0" xfId="0" applyNumberFormat="1" applyFont="1" applyBorder="1" applyAlignment="1">
      <alignment horizontal="right"/>
    </xf>
    <xf numFmtId="164" fontId="96" fillId="0" borderId="0" xfId="0" applyNumberFormat="1" applyFont="1" applyAlignment="1">
      <alignment horizontal="right"/>
    </xf>
    <xf numFmtId="164" fontId="96" fillId="0" borderId="0" xfId="0" applyNumberFormat="1" applyFont="1" applyFill="1" applyAlignment="1">
      <alignment horizontal="right"/>
    </xf>
    <xf numFmtId="3" fontId="96" fillId="0" borderId="0" xfId="0" applyNumberFormat="1" applyFont="1" applyFill="1" applyAlignment="1">
      <alignment horizontal="right"/>
    </xf>
    <xf numFmtId="164" fontId="123" fillId="0" borderId="2" xfId="0" applyNumberFormat="1" applyFont="1" applyFill="1" applyBorder="1" applyAlignment="1"/>
    <xf numFmtId="164" fontId="96" fillId="0" borderId="0" xfId="0" applyNumberFormat="1" applyFont="1" applyFill="1" applyBorder="1" applyAlignment="1"/>
    <xf numFmtId="165" fontId="123" fillId="0" borderId="0" xfId="0" applyNumberFormat="1" applyFont="1" applyFill="1" applyAlignment="1"/>
    <xf numFmtId="10" fontId="96" fillId="0" borderId="0" xfId="8" applyNumberFormat="1" applyFont="1" applyFill="1" applyAlignment="1"/>
    <xf numFmtId="3" fontId="96" fillId="0" borderId="0" xfId="8" applyNumberFormat="1" applyFont="1" applyFill="1" applyBorder="1" applyAlignment="1"/>
    <xf numFmtId="0" fontId="131" fillId="0" borderId="0" xfId="84" applyFont="1" applyFill="1"/>
    <xf numFmtId="10" fontId="96" fillId="0" borderId="0" xfId="8" applyNumberFormat="1" applyFont="1" applyAlignment="1"/>
    <xf numFmtId="164" fontId="169" fillId="0" borderId="0" xfId="8" applyNumberFormat="1" applyFont="1" applyFill="1" applyAlignment="1"/>
    <xf numFmtId="164" fontId="170" fillId="0" borderId="0" xfId="8" applyNumberFormat="1" applyFont="1" applyFill="1" applyBorder="1" applyAlignment="1">
      <alignment horizontal="right"/>
    </xf>
    <xf numFmtId="164" fontId="169" fillId="0" borderId="15" xfId="8" applyNumberFormat="1" applyFont="1" applyFill="1" applyBorder="1" applyAlignment="1"/>
    <xf numFmtId="0" fontId="6" fillId="0" borderId="0" xfId="0" applyFont="1" applyAlignment="1">
      <alignment horizontal="center"/>
    </xf>
    <xf numFmtId="0" fontId="123" fillId="0" borderId="0" xfId="0" applyFont="1" applyAlignment="1">
      <alignment horizontal="right"/>
    </xf>
    <xf numFmtId="0" fontId="123" fillId="0" borderId="0" xfId="0" applyFont="1" applyFill="1" applyAlignment="1">
      <alignment horizontal="right"/>
    </xf>
    <xf numFmtId="0" fontId="4" fillId="0" borderId="0" xfId="0" applyNumberFormat="1" applyFont="1" applyFill="1" applyAlignment="1">
      <alignment vertical="top"/>
    </xf>
    <xf numFmtId="3" fontId="4" fillId="0" borderId="0" xfId="0" applyNumberFormat="1" applyFont="1" applyFill="1" applyAlignment="1">
      <alignment vertical="top"/>
    </xf>
    <xf numFmtId="0" fontId="72" fillId="0" borderId="0" xfId="84" applyFont="1" applyFill="1" applyAlignment="1">
      <alignment horizontal="right" indent="1"/>
    </xf>
    <xf numFmtId="3" fontId="114" fillId="0" borderId="0" xfId="0" applyNumberFormat="1" applyFont="1"/>
    <xf numFmtId="0" fontId="128" fillId="0" borderId="0" xfId="87" applyFont="1" applyFill="1" applyAlignment="1">
      <alignment vertical="center"/>
    </xf>
    <xf numFmtId="0" fontId="167" fillId="0" borderId="0" xfId="87" applyFont="1" applyFill="1" applyAlignment="1">
      <alignment vertical="center"/>
    </xf>
    <xf numFmtId="0" fontId="128" fillId="0" borderId="0" xfId="87" applyFont="1" applyFill="1" applyBorder="1" applyAlignment="1">
      <alignment vertical="center"/>
    </xf>
    <xf numFmtId="0" fontId="174" fillId="0" borderId="0" xfId="33" applyFont="1" applyFill="1" applyBorder="1" applyAlignment="1">
      <alignment horizontal="left"/>
    </xf>
    <xf numFmtId="0" fontId="116" fillId="0" borderId="0" xfId="87" applyFont="1" applyFill="1" applyBorder="1" applyAlignment="1">
      <alignment horizontal="right"/>
    </xf>
    <xf numFmtId="0" fontId="128" fillId="0" borderId="0" xfId="87" applyFont="1" applyFill="1"/>
    <xf numFmtId="0" fontId="167" fillId="0" borderId="0" xfId="87" applyFont="1" applyFill="1" applyAlignment="1">
      <alignment horizontal="right"/>
    </xf>
    <xf numFmtId="0" fontId="175" fillId="0" borderId="0" xfId="87" applyFont="1" applyFill="1" applyAlignment="1">
      <alignment horizontal="right"/>
    </xf>
    <xf numFmtId="3" fontId="6" fillId="0" borderId="0" xfId="35" applyNumberFormat="1" applyFont="1" applyFill="1" applyAlignment="1"/>
    <xf numFmtId="10" fontId="128" fillId="0" borderId="0" xfId="89" applyNumberFormat="1" applyFont="1" applyFill="1" applyBorder="1" applyAlignment="1">
      <alignment horizontal="left"/>
    </xf>
    <xf numFmtId="10" fontId="128" fillId="0" borderId="0" xfId="89" applyNumberFormat="1" applyFont="1" applyFill="1" applyBorder="1" applyAlignment="1">
      <alignment horizontal="left" vertical="center"/>
    </xf>
    <xf numFmtId="10" fontId="128" fillId="0" borderId="0" xfId="89" applyNumberFormat="1" applyFont="1" applyFill="1" applyAlignment="1">
      <alignment horizontal="left" vertical="center"/>
    </xf>
    <xf numFmtId="10" fontId="172" fillId="0" borderId="0" xfId="89" applyNumberFormat="1" applyFont="1" applyFill="1" applyAlignment="1">
      <alignment horizontal="left" vertical="center"/>
    </xf>
    <xf numFmtId="10" fontId="128" fillId="0" borderId="0" xfId="89" applyNumberFormat="1" applyFont="1" applyFill="1" applyAlignment="1">
      <alignment horizontal="left"/>
    </xf>
    <xf numFmtId="0" fontId="172" fillId="0" borderId="0" xfId="0" applyFont="1" applyAlignment="1">
      <alignment vertical="top" wrapText="1"/>
    </xf>
    <xf numFmtId="0" fontId="128" fillId="0" borderId="0" xfId="0" applyFont="1" applyAlignment="1">
      <alignment vertical="top" wrapText="1"/>
    </xf>
    <xf numFmtId="0" fontId="128" fillId="0" borderId="0" xfId="84" applyFont="1" applyFill="1"/>
    <xf numFmtId="0" fontId="16" fillId="4" borderId="14" xfId="32" applyFont="1" applyFill="1" applyBorder="1" applyAlignment="1">
      <alignment horizontal="right" vertical="center" wrapText="1"/>
    </xf>
    <xf numFmtId="170" fontId="23" fillId="4" borderId="0" xfId="32" applyNumberFormat="1" applyFont="1" applyFill="1" applyAlignment="1">
      <alignment horizontal="left" vertical="center"/>
    </xf>
    <xf numFmtId="0" fontId="11" fillId="4" borderId="0" xfId="32" applyFont="1" applyFill="1" applyAlignment="1">
      <alignment vertical="center"/>
    </xf>
    <xf numFmtId="167" fontId="11" fillId="4" borderId="0" xfId="38" applyNumberFormat="1" applyFont="1" applyFill="1" applyAlignment="1">
      <alignment vertical="center"/>
    </xf>
    <xf numFmtId="0" fontId="176" fillId="0" borderId="0" xfId="11" applyNumberFormat="1" applyFont="1" applyFill="1" applyBorder="1" applyAlignment="1"/>
    <xf numFmtId="0" fontId="128" fillId="0" borderId="0" xfId="11" applyNumberFormat="1" applyFont="1" applyFill="1" applyBorder="1" applyAlignment="1"/>
    <xf numFmtId="3" fontId="128" fillId="0" borderId="0" xfId="11" applyNumberFormat="1" applyFont="1" applyFill="1" applyBorder="1" applyAlignment="1"/>
    <xf numFmtId="167" fontId="128" fillId="0" borderId="0" xfId="11" applyNumberFormat="1" applyFont="1" applyFill="1" applyBorder="1" applyAlignment="1"/>
    <xf numFmtId="0" fontId="128" fillId="0" borderId="0" xfId="11" applyFont="1" applyFill="1"/>
    <xf numFmtId="0" fontId="176" fillId="0" borderId="0" xfId="11" applyFont="1" applyFill="1" applyAlignment="1">
      <alignment vertical="center"/>
    </xf>
    <xf numFmtId="0" fontId="128" fillId="0" borderId="0" xfId="11" applyFont="1" applyFill="1" applyAlignment="1">
      <alignment vertical="center"/>
    </xf>
    <xf numFmtId="3" fontId="128" fillId="0" borderId="0" xfId="11" applyNumberFormat="1" applyFont="1" applyFill="1" applyBorder="1" applyAlignment="1">
      <alignment vertical="center"/>
    </xf>
    <xf numFmtId="0" fontId="128" fillId="0" borderId="0" xfId="11" applyNumberFormat="1" applyFont="1" applyFill="1" applyBorder="1" applyAlignment="1">
      <alignment vertical="center"/>
    </xf>
    <xf numFmtId="3" fontId="128" fillId="0" borderId="0" xfId="11" applyNumberFormat="1" applyFont="1" applyFill="1" applyAlignment="1">
      <alignment vertical="center"/>
    </xf>
    <xf numFmtId="0" fontId="176" fillId="0" borderId="0" xfId="11" applyNumberFormat="1" applyFont="1" applyFill="1" applyAlignment="1">
      <alignment vertical="center"/>
    </xf>
    <xf numFmtId="0" fontId="128" fillId="0" borderId="0" xfId="11" applyNumberFormat="1" applyFont="1" applyFill="1" applyAlignment="1">
      <alignment vertical="center"/>
    </xf>
    <xf numFmtId="0" fontId="176" fillId="0" borderId="0" xfId="11" applyNumberFormat="1" applyFont="1" applyFill="1" applyAlignment="1"/>
    <xf numFmtId="3" fontId="128" fillId="0" borderId="0" xfId="11" applyNumberFormat="1" applyFont="1" applyFill="1" applyAlignment="1"/>
    <xf numFmtId="0" fontId="128" fillId="0" borderId="0" xfId="11" applyNumberFormat="1" applyFont="1" applyFill="1" applyAlignment="1"/>
    <xf numFmtId="0" fontId="172" fillId="0" borderId="0" xfId="11" applyNumberFormat="1" applyFont="1" applyFill="1" applyAlignment="1"/>
    <xf numFmtId="0" fontId="172" fillId="0" borderId="0" xfId="11" applyFont="1" applyFill="1"/>
    <xf numFmtId="179" fontId="172" fillId="0" borderId="0" xfId="41" applyNumberFormat="1" applyFont="1" applyFill="1" applyAlignment="1"/>
    <xf numFmtId="0" fontId="176" fillId="0" borderId="0" xfId="0" applyNumberFormat="1" applyFont="1" applyAlignment="1"/>
    <xf numFmtId="167" fontId="178" fillId="0" borderId="0" xfId="36" applyNumberFormat="1" applyFont="1" applyAlignment="1"/>
    <xf numFmtId="0" fontId="178" fillId="0" borderId="0" xfId="0" applyFont="1" applyAlignment="1"/>
    <xf numFmtId="10" fontId="178" fillId="0" borderId="0" xfId="0" applyNumberFormat="1" applyFont="1" applyAlignment="1">
      <alignment horizontal="center"/>
    </xf>
    <xf numFmtId="2" fontId="178" fillId="0" borderId="0" xfId="0" applyNumberFormat="1" applyFont="1" applyAlignment="1">
      <alignment horizontal="center"/>
    </xf>
    <xf numFmtId="0" fontId="178" fillId="0" borderId="0" xfId="0" applyNumberFormat="1" applyFont="1" applyAlignment="1"/>
    <xf numFmtId="0" fontId="178" fillId="0" borderId="0" xfId="0" applyFont="1"/>
    <xf numFmtId="10" fontId="178" fillId="0" borderId="0" xfId="0" applyNumberFormat="1" applyFont="1" applyAlignment="1"/>
    <xf numFmtId="10" fontId="178" fillId="0" borderId="0" xfId="36" applyNumberFormat="1" applyFont="1" applyAlignment="1"/>
    <xf numFmtId="0" fontId="179" fillId="0" borderId="0" xfId="21" applyFont="1" applyFill="1" applyAlignment="1">
      <alignment horizontal="left"/>
    </xf>
    <xf numFmtId="0" fontId="180" fillId="0" borderId="0" xfId="8" applyNumberFormat="1" applyFont="1" applyFill="1" applyAlignment="1"/>
    <xf numFmtId="0" fontId="128" fillId="0" borderId="0" xfId="8" applyNumberFormat="1" applyFont="1" applyFill="1" applyAlignment="1"/>
    <xf numFmtId="179" fontId="128" fillId="0" borderId="0" xfId="41" applyNumberFormat="1" applyFont="1" applyFill="1" applyAlignment="1"/>
    <xf numFmtId="0" fontId="128" fillId="0" borderId="0" xfId="8" applyFont="1" applyFill="1"/>
    <xf numFmtId="3" fontId="167" fillId="0" borderId="0" xfId="8" applyNumberFormat="1" applyFont="1" applyFill="1" applyAlignment="1"/>
    <xf numFmtId="0" fontId="167" fillId="0" borderId="0" xfId="8" applyFont="1" applyFill="1"/>
    <xf numFmtId="166" fontId="167" fillId="0" borderId="0" xfId="8" applyNumberFormat="1" applyFont="1" applyFill="1" applyAlignment="1">
      <alignment horizontal="left"/>
    </xf>
    <xf numFmtId="0" fontId="167" fillId="0" borderId="0" xfId="8" applyNumberFormat="1" applyFont="1" applyAlignment="1"/>
    <xf numFmtId="0" fontId="181" fillId="0" borderId="0" xfId="8" applyNumberFormat="1" applyFont="1" applyAlignment="1"/>
    <xf numFmtId="0" fontId="181" fillId="0" borderId="0" xfId="8" applyNumberFormat="1" applyFont="1" applyAlignment="1">
      <alignment horizontal="center"/>
    </xf>
    <xf numFmtId="0" fontId="128" fillId="0" borderId="0" xfId="8" applyNumberFormat="1" applyFont="1" applyAlignment="1"/>
    <xf numFmtId="0" fontId="176" fillId="0" borderId="0" xfId="8" applyNumberFormat="1" applyFont="1" applyFill="1" applyAlignment="1"/>
    <xf numFmtId="3" fontId="128" fillId="0" borderId="0" xfId="8" applyNumberFormat="1" applyFont="1" applyFill="1" applyAlignment="1"/>
    <xf numFmtId="10" fontId="167" fillId="0" borderId="0" xfId="8" applyNumberFormat="1" applyFont="1" applyFill="1" applyAlignment="1"/>
    <xf numFmtId="0" fontId="167" fillId="0" borderId="0" xfId="8" applyNumberFormat="1" applyFont="1" applyFill="1" applyAlignment="1"/>
    <xf numFmtId="0" fontId="167" fillId="0" borderId="0" xfId="8" applyNumberFormat="1" applyFont="1" applyFill="1" applyAlignment="1">
      <alignment horizontal="left"/>
    </xf>
    <xf numFmtId="3" fontId="167" fillId="0" borderId="0" xfId="8" applyNumberFormat="1" applyFont="1" applyAlignment="1"/>
    <xf numFmtId="1" fontId="167" fillId="0" borderId="0" xfId="8" applyNumberFormat="1" applyFont="1" applyAlignment="1"/>
    <xf numFmtId="0" fontId="176" fillId="0" borderId="0" xfId="8" applyNumberFormat="1" applyFont="1" applyFill="1" applyAlignment="1">
      <alignment horizontal="left" vertical="center"/>
    </xf>
    <xf numFmtId="0" fontId="128" fillId="0" borderId="0" xfId="8" applyNumberFormat="1" applyFont="1" applyFill="1" applyAlignment="1">
      <alignment horizontal="left" vertical="center"/>
    </xf>
    <xf numFmtId="0" fontId="167" fillId="0" borderId="0" xfId="8" applyNumberFormat="1" applyFont="1" applyFill="1" applyAlignment="1">
      <alignment horizontal="left" vertical="center"/>
    </xf>
    <xf numFmtId="4" fontId="167" fillId="0" borderId="0" xfId="8" applyNumberFormat="1" applyFont="1" applyAlignment="1"/>
    <xf numFmtId="0" fontId="128" fillId="0" borderId="0" xfId="0" applyFont="1" applyAlignment="1"/>
    <xf numFmtId="0" fontId="128" fillId="0" borderId="0" xfId="0" applyFont="1" applyFill="1" applyAlignment="1"/>
    <xf numFmtId="0" fontId="167" fillId="0" borderId="0" xfId="0" applyFont="1" applyAlignment="1"/>
    <xf numFmtId="0" fontId="128" fillId="0" borderId="0" xfId="8" applyNumberFormat="1" applyFont="1" applyFill="1" applyAlignment="1">
      <alignment vertical="center" wrapText="1"/>
    </xf>
    <xf numFmtId="0" fontId="167" fillId="0" borderId="0" xfId="8" applyNumberFormat="1" applyFont="1" applyFill="1" applyAlignment="1">
      <alignment vertical="center" wrapText="1"/>
    </xf>
    <xf numFmtId="0" fontId="176" fillId="0" borderId="0" xfId="0" applyNumberFormat="1" applyFont="1" applyFill="1" applyAlignment="1"/>
    <xf numFmtId="42" fontId="128" fillId="0" borderId="0" xfId="0" applyNumberFormat="1" applyFont="1" applyAlignment="1"/>
    <xf numFmtId="0" fontId="128" fillId="0" borderId="0" xfId="0" applyNumberFormat="1" applyFont="1" applyAlignment="1"/>
    <xf numFmtId="0" fontId="128" fillId="0" borderId="0" xfId="0" applyNumberFormat="1" applyFont="1" applyAlignment="1">
      <alignment horizontal="center"/>
    </xf>
    <xf numFmtId="0" fontId="182" fillId="0" borderId="0" xfId="0" applyNumberFormat="1" applyFont="1" applyAlignment="1"/>
    <xf numFmtId="0" fontId="172" fillId="0" borderId="0" xfId="0" applyNumberFormat="1" applyFont="1" applyAlignment="1"/>
    <xf numFmtId="4" fontId="172" fillId="0" borderId="0" xfId="0" applyNumberFormat="1" applyFont="1" applyAlignment="1"/>
    <xf numFmtId="2" fontId="172" fillId="0" borderId="0" xfId="0" applyNumberFormat="1" applyFont="1" applyAlignment="1"/>
    <xf numFmtId="4" fontId="128" fillId="0" borderId="0" xfId="0" applyNumberFormat="1" applyFont="1" applyAlignment="1"/>
    <xf numFmtId="3" fontId="176" fillId="0" borderId="0" xfId="35" applyNumberFormat="1" applyFont="1" applyFill="1" applyBorder="1" applyAlignment="1"/>
    <xf numFmtId="0" fontId="133" fillId="0" borderId="0" xfId="35" applyNumberFormat="1" applyFont="1" applyFill="1" applyBorder="1" applyAlignment="1"/>
    <xf numFmtId="3" fontId="133" fillId="0" borderId="0" xfId="35" applyNumberFormat="1" applyFont="1" applyFill="1" applyBorder="1" applyAlignment="1">
      <alignment horizontal="right"/>
    </xf>
    <xf numFmtId="164" fontId="133" fillId="0" borderId="0" xfId="35" applyNumberFormat="1" applyFont="1" applyFill="1" applyBorder="1" applyAlignment="1">
      <alignment horizontal="right"/>
    </xf>
    <xf numFmtId="10" fontId="133" fillId="0" borderId="0" xfId="35" applyNumberFormat="1" applyFont="1" applyFill="1" applyBorder="1" applyAlignment="1">
      <alignment horizontal="right"/>
    </xf>
    <xf numFmtId="10" fontId="133" fillId="0" borderId="0" xfId="36" applyNumberFormat="1" applyFont="1" applyFill="1" applyBorder="1" applyAlignment="1">
      <alignment horizontal="right"/>
    </xf>
    <xf numFmtId="178" fontId="133" fillId="0" borderId="0" xfId="36" applyNumberFormat="1" applyFont="1" applyFill="1" applyBorder="1" applyAlignment="1">
      <alignment horizontal="center"/>
    </xf>
    <xf numFmtId="0" fontId="128" fillId="0" borderId="0" xfId="35" applyNumberFormat="1" applyFont="1" applyFill="1" applyAlignment="1"/>
    <xf numFmtId="3" fontId="133" fillId="0" borderId="0" xfId="35" applyNumberFormat="1" applyFont="1" applyFill="1" applyAlignment="1"/>
    <xf numFmtId="0" fontId="133" fillId="0" borderId="0" xfId="35" applyNumberFormat="1" applyFont="1" applyFill="1" applyAlignment="1"/>
    <xf numFmtId="3" fontId="133" fillId="0" borderId="0" xfId="35" applyNumberFormat="1" applyFont="1" applyFill="1" applyAlignment="1">
      <alignment horizontal="right"/>
    </xf>
    <xf numFmtId="164" fontId="133" fillId="0" borderId="0" xfId="35" applyNumberFormat="1" applyFont="1" applyFill="1" applyAlignment="1">
      <alignment horizontal="right"/>
    </xf>
    <xf numFmtId="10" fontId="133" fillId="0" borderId="0" xfId="35" applyNumberFormat="1" applyFont="1" applyFill="1" applyAlignment="1">
      <alignment horizontal="right"/>
    </xf>
    <xf numFmtId="169" fontId="128" fillId="0" borderId="0" xfId="35" applyNumberFormat="1" applyFont="1" applyFill="1" applyAlignment="1"/>
    <xf numFmtId="3" fontId="176" fillId="0" borderId="0" xfId="35" applyNumberFormat="1" applyFont="1" applyFill="1" applyAlignment="1"/>
    <xf numFmtId="0" fontId="128" fillId="0" borderId="0" xfId="35" applyNumberFormat="1" applyFont="1" applyFill="1"/>
    <xf numFmtId="3" fontId="128" fillId="0" borderId="0" xfId="35" applyNumberFormat="1" applyFont="1" applyFill="1" applyAlignment="1">
      <alignment horizontal="right"/>
    </xf>
    <xf numFmtId="0" fontId="128" fillId="0" borderId="0" xfId="35" applyNumberFormat="1" applyFont="1" applyFill="1" applyAlignment="1">
      <alignment horizontal="center"/>
    </xf>
    <xf numFmtId="0" fontId="176" fillId="0" borderId="0" xfId="35" applyNumberFormat="1" applyFont="1" applyFill="1" applyAlignment="1"/>
    <xf numFmtId="0" fontId="133" fillId="0" borderId="0" xfId="35" applyNumberFormat="1" applyFont="1" applyFill="1" applyAlignment="1">
      <alignment horizontal="center"/>
    </xf>
    <xf numFmtId="0" fontId="128" fillId="0" borderId="0" xfId="22" applyFont="1" applyFill="1"/>
    <xf numFmtId="0" fontId="128" fillId="0" borderId="0" xfId="22" applyFont="1" applyFill="1" applyAlignment="1">
      <alignment horizontal="center"/>
    </xf>
    <xf numFmtId="164" fontId="16" fillId="0" borderId="19" xfId="11" applyNumberFormat="1" applyFont="1" applyFill="1" applyBorder="1" applyAlignment="1">
      <alignment horizontal="center" vertical="center" wrapText="1"/>
    </xf>
    <xf numFmtId="0" fontId="128" fillId="0" borderId="0" xfId="25" applyFont="1"/>
    <xf numFmtId="0" fontId="128" fillId="0" borderId="0" xfId="0" applyFont="1" applyBorder="1" applyAlignment="1">
      <alignment horizontal="left" wrapText="1"/>
    </xf>
    <xf numFmtId="0" fontId="128" fillId="0" borderId="0" xfId="25" applyFont="1" applyAlignment="1">
      <alignment horizontal="right"/>
    </xf>
    <xf numFmtId="0" fontId="133" fillId="0" borderId="0" xfId="25" applyFont="1" applyAlignment="1">
      <alignment horizontal="center"/>
    </xf>
    <xf numFmtId="0" fontId="128" fillId="0" borderId="0" xfId="20" applyFont="1" applyAlignment="1">
      <alignment horizontal="left" wrapText="1"/>
    </xf>
    <xf numFmtId="0" fontId="128" fillId="0" borderId="0" xfId="20" applyFont="1" applyBorder="1" applyAlignment="1">
      <alignment horizontal="left"/>
    </xf>
    <xf numFmtId="0" fontId="133" fillId="0" borderId="0" xfId="25" applyFont="1"/>
    <xf numFmtId="0" fontId="128" fillId="0" borderId="0" xfId="20" applyFont="1" applyAlignment="1">
      <alignment horizontal="left"/>
    </xf>
    <xf numFmtId="0" fontId="128" fillId="0" borderId="0" xfId="0" applyFont="1" applyAlignment="1">
      <alignment horizontal="left"/>
    </xf>
    <xf numFmtId="0" fontId="128" fillId="0" borderId="0" xfId="21" applyFont="1"/>
    <xf numFmtId="0" fontId="11" fillId="0" borderId="16" xfId="21" applyFont="1" applyBorder="1" applyAlignment="1">
      <alignment vertical="center"/>
    </xf>
    <xf numFmtId="0" fontId="16" fillId="0" borderId="17" xfId="21" quotePrefix="1" applyFont="1" applyBorder="1" applyAlignment="1">
      <alignment horizontal="center" vertical="center"/>
    </xf>
    <xf numFmtId="0" fontId="3" fillId="0" borderId="17" xfId="40" applyBorder="1" applyAlignment="1">
      <alignment horizontal="center" vertical="center"/>
    </xf>
    <xf numFmtId="0" fontId="23" fillId="0" borderId="6" xfId="21" applyFont="1" applyBorder="1" applyAlignment="1">
      <alignment horizontal="center" vertical="center" wrapText="1"/>
    </xf>
    <xf numFmtId="0" fontId="23" fillId="0" borderId="1" xfId="21" applyFont="1" applyBorder="1" applyAlignment="1">
      <alignment vertical="center"/>
    </xf>
    <xf numFmtId="0" fontId="23" fillId="0" borderId="1" xfId="21" applyFont="1" applyBorder="1" applyAlignment="1">
      <alignment horizontal="right" vertical="center"/>
    </xf>
    <xf numFmtId="0" fontId="16" fillId="0" borderId="17" xfId="21" quotePrefix="1" applyFont="1" applyBorder="1" applyAlignment="1">
      <alignment horizontal="centerContinuous" vertical="center"/>
    </xf>
    <xf numFmtId="0" fontId="3" fillId="0" borderId="17" xfId="40" applyBorder="1" applyAlignment="1">
      <alignment horizontal="centerContinuous" vertical="center"/>
    </xf>
    <xf numFmtId="0" fontId="176" fillId="0" borderId="0" xfId="21" applyFont="1" applyBorder="1" applyAlignment="1">
      <alignment vertical="center"/>
    </xf>
    <xf numFmtId="3" fontId="185" fillId="0" borderId="0" xfId="21" applyNumberFormat="1" applyFont="1" applyBorder="1" applyAlignment="1">
      <alignment vertical="center"/>
    </xf>
    <xf numFmtId="164" fontId="185" fillId="0" borderId="0" xfId="21" applyNumberFormat="1" applyFont="1" applyBorder="1" applyAlignment="1">
      <alignment vertical="center"/>
    </xf>
    <xf numFmtId="167" fontId="185" fillId="0" borderId="0" xfId="21" applyNumberFormat="1" applyFont="1" applyBorder="1" applyAlignment="1">
      <alignment vertical="center"/>
    </xf>
    <xf numFmtId="0" fontId="176" fillId="0" borderId="0" xfId="21" applyFont="1" applyAlignment="1">
      <alignment vertical="center"/>
    </xf>
    <xf numFmtId="0" fontId="128" fillId="0" borderId="0" xfId="26" applyFont="1"/>
    <xf numFmtId="0" fontId="176" fillId="0" borderId="0" xfId="26" applyFont="1"/>
    <xf numFmtId="39" fontId="16" fillId="0" borderId="0" xfId="14" applyNumberFormat="1" applyFont="1" applyBorder="1" applyAlignment="1" applyProtection="1">
      <alignment horizontal="right" wrapText="1"/>
    </xf>
    <xf numFmtId="169" fontId="94" fillId="0" borderId="0" xfId="14" applyNumberFormat="1" applyFont="1" applyFill="1" applyBorder="1" applyAlignment="1" applyProtection="1">
      <alignment vertical="center"/>
    </xf>
    <xf numFmtId="169" fontId="100" fillId="0" borderId="0" xfId="14" applyNumberFormat="1" applyFont="1" applyBorder="1" applyProtection="1"/>
    <xf numFmtId="0" fontId="176" fillId="0" borderId="0" xfId="14" applyFont="1" applyBorder="1" applyAlignment="1" applyProtection="1">
      <alignment horizontal="left" vertical="center"/>
    </xf>
    <xf numFmtId="9" fontId="185" fillId="0" borderId="0" xfId="14" applyNumberFormat="1" applyFont="1" applyBorder="1" applyAlignment="1" applyProtection="1">
      <alignment vertical="center"/>
    </xf>
    <xf numFmtId="0" fontId="176" fillId="0" borderId="0" xfId="13" applyFont="1" applyAlignment="1">
      <alignment vertical="center"/>
    </xf>
    <xf numFmtId="0" fontId="176" fillId="0" borderId="0" xfId="14" applyFont="1" applyAlignment="1" applyProtection="1">
      <alignment horizontal="left" vertical="center"/>
    </xf>
    <xf numFmtId="39" fontId="176" fillId="0" borderId="0" xfId="14" applyNumberFormat="1" applyFont="1" applyAlignment="1" applyProtection="1">
      <alignment vertical="center"/>
    </xf>
    <xf numFmtId="0" fontId="176" fillId="0" borderId="0" xfId="14" applyFont="1" applyAlignment="1" applyProtection="1">
      <alignment vertical="center"/>
    </xf>
    <xf numFmtId="0" fontId="128" fillId="0" borderId="0" xfId="0" applyFont="1" applyAlignment="1">
      <alignment vertical="center"/>
    </xf>
    <xf numFmtId="0" fontId="128" fillId="0" borderId="0" xfId="0" applyNumberFormat="1" applyFont="1" applyFill="1" applyBorder="1" applyAlignment="1">
      <alignment horizontal="left" vertical="center"/>
    </xf>
    <xf numFmtId="3" fontId="128" fillId="0" borderId="0" xfId="0" applyNumberFormat="1" applyFont="1" applyFill="1" applyAlignment="1">
      <alignment vertical="center"/>
    </xf>
    <xf numFmtId="0" fontId="128" fillId="0" borderId="0" xfId="40" applyFont="1" applyAlignment="1">
      <alignment horizontal="left" vertical="center"/>
    </xf>
    <xf numFmtId="0" fontId="128" fillId="0" borderId="0" xfId="84" applyFont="1" applyFill="1" applyAlignment="1">
      <alignment vertical="center"/>
    </xf>
    <xf numFmtId="0" fontId="128" fillId="0" borderId="0" xfId="16" applyFont="1" applyAlignment="1">
      <alignment vertical="center"/>
    </xf>
    <xf numFmtId="3" fontId="182" fillId="0" borderId="0" xfId="16" applyNumberFormat="1" applyFont="1" applyAlignment="1">
      <alignment vertical="center"/>
    </xf>
    <xf numFmtId="0" fontId="182" fillId="0" borderId="0" xfId="16" applyFont="1" applyAlignment="1">
      <alignment vertical="center"/>
    </xf>
    <xf numFmtId="0" fontId="135" fillId="0" borderId="0" xfId="8" applyNumberFormat="1" applyFont="1" applyFill="1" applyAlignment="1">
      <alignment horizontal="left" vertical="center"/>
    </xf>
    <xf numFmtId="0" fontId="176" fillId="0" borderId="0" xfId="16" applyFont="1" applyFill="1" applyAlignment="1" applyProtection="1">
      <alignment horizontal="left" vertical="center"/>
    </xf>
    <xf numFmtId="0" fontId="176" fillId="0" borderId="0" xfId="16" applyFont="1" applyAlignment="1">
      <alignment vertical="center"/>
    </xf>
    <xf numFmtId="0" fontId="176" fillId="0" borderId="0" xfId="16" applyFont="1" applyFill="1" applyAlignment="1">
      <alignment vertical="center"/>
    </xf>
    <xf numFmtId="0" fontId="128" fillId="0" borderId="0" xfId="28" applyFont="1" applyFill="1"/>
    <xf numFmtId="0" fontId="176" fillId="0" borderId="0" xfId="28" applyFont="1" applyFill="1"/>
    <xf numFmtId="0" fontId="176" fillId="0" borderId="0" xfId="0" applyFont="1" applyFill="1" applyAlignment="1">
      <alignment horizontal="left" vertical="center"/>
    </xf>
    <xf numFmtId="0" fontId="176" fillId="0" borderId="0" xfId="0" applyFont="1" applyFill="1" applyAlignment="1">
      <alignment vertical="center"/>
    </xf>
    <xf numFmtId="0" fontId="176" fillId="0" borderId="0" xfId="28" applyFont="1" applyFill="1" applyAlignment="1">
      <alignment horizontal="left" vertical="center"/>
    </xf>
    <xf numFmtId="0" fontId="176" fillId="0" borderId="0" xfId="28" applyFont="1" applyFill="1" applyAlignment="1">
      <alignment vertical="center"/>
    </xf>
    <xf numFmtId="0" fontId="48" fillId="0" borderId="19" xfId="28" applyFont="1" applyFill="1" applyBorder="1" applyAlignment="1">
      <alignment horizontal="right" indent="2"/>
    </xf>
    <xf numFmtId="0" fontId="141" fillId="0" borderId="0" xfId="28" applyFont="1" applyFill="1" applyAlignment="1">
      <alignment horizontal="left" vertical="center"/>
    </xf>
    <xf numFmtId="0" fontId="176" fillId="0" borderId="0" xfId="10" applyFont="1" applyFill="1" applyAlignment="1">
      <alignment vertical="center"/>
    </xf>
    <xf numFmtId="0" fontId="176" fillId="0" borderId="0" xfId="17" applyFont="1" applyFill="1" applyAlignment="1" applyProtection="1">
      <alignment vertical="center"/>
    </xf>
    <xf numFmtId="3" fontId="176" fillId="0" borderId="0" xfId="17" applyNumberFormat="1" applyFont="1" applyFill="1" applyAlignment="1" applyProtection="1">
      <alignment vertical="center"/>
    </xf>
    <xf numFmtId="0" fontId="176" fillId="0" borderId="0" xfId="10" applyFont="1" applyFill="1" applyBorder="1" applyAlignment="1">
      <alignment vertical="center"/>
    </xf>
    <xf numFmtId="0" fontId="176" fillId="0" borderId="0" xfId="0" applyFont="1"/>
    <xf numFmtId="0" fontId="176" fillId="0" borderId="0" xfId="0" applyFont="1" applyAlignment="1">
      <alignment vertical="center"/>
    </xf>
    <xf numFmtId="0" fontId="15" fillId="0" borderId="10" xfId="0" applyNumberFormat="1" applyFont="1" applyFill="1" applyBorder="1" applyAlignment="1">
      <alignment horizontal="right"/>
    </xf>
    <xf numFmtId="0" fontId="16" fillId="0" borderId="10" xfId="0" applyNumberFormat="1" applyFont="1" applyFill="1" applyBorder="1" applyAlignment="1">
      <alignment horizontal="right"/>
    </xf>
    <xf numFmtId="0" fontId="34" fillId="0" borderId="10" xfId="0" applyNumberFormat="1" applyFont="1" applyFill="1" applyBorder="1" applyAlignment="1">
      <alignment horizontal="right"/>
    </xf>
    <xf numFmtId="0" fontId="15" fillId="0" borderId="1" xfId="0" applyNumberFormat="1" applyFont="1" applyFill="1" applyBorder="1" applyAlignment="1">
      <alignment horizontal="right" indent="2"/>
    </xf>
    <xf numFmtId="0" fontId="15" fillId="0" borderId="1" xfId="0" applyNumberFormat="1" applyFont="1" applyFill="1" applyBorder="1" applyAlignment="1">
      <alignment horizontal="right" indent="1"/>
    </xf>
    <xf numFmtId="0" fontId="34" fillId="0" borderId="1" xfId="0" applyNumberFormat="1" applyFont="1" applyBorder="1" applyAlignment="1">
      <alignment horizontal="right" indent="2"/>
    </xf>
    <xf numFmtId="0" fontId="23" fillId="0" borderId="10" xfId="0" applyNumberFormat="1" applyFont="1" applyFill="1" applyBorder="1" applyAlignment="1">
      <alignment horizontal="right" indent="1"/>
    </xf>
    <xf numFmtId="4" fontId="16" fillId="0" borderId="1" xfId="0" applyNumberFormat="1" applyFont="1" applyFill="1" applyBorder="1" applyAlignment="1">
      <alignment horizontal="right" indent="2"/>
    </xf>
    <xf numFmtId="167" fontId="23" fillId="0" borderId="1" xfId="0" applyNumberFormat="1" applyFont="1" applyFill="1" applyBorder="1" applyAlignment="1">
      <alignment horizontal="right" indent="1"/>
    </xf>
    <xf numFmtId="0" fontId="15" fillId="0" borderId="10" xfId="0" applyNumberFormat="1" applyFont="1" applyFill="1" applyBorder="1" applyAlignment="1">
      <alignment horizontal="right" indent="1"/>
    </xf>
    <xf numFmtId="167" fontId="16" fillId="0" borderId="1" xfId="0" applyNumberFormat="1" applyFont="1" applyFill="1" applyBorder="1" applyAlignment="1">
      <alignment horizontal="right" indent="2"/>
    </xf>
    <xf numFmtId="0" fontId="34" fillId="0" borderId="10" xfId="0" applyNumberFormat="1" applyFont="1" applyFill="1" applyBorder="1" applyAlignment="1">
      <alignment horizontal="right" indent="2"/>
    </xf>
    <xf numFmtId="3" fontId="3" fillId="0" borderId="0" xfId="0" applyNumberFormat="1" applyFont="1" applyBorder="1" applyAlignment="1">
      <alignment horizontal="right" indent="1"/>
    </xf>
    <xf numFmtId="3" fontId="3" fillId="0" borderId="0" xfId="36" applyNumberFormat="1" applyFont="1" applyFill="1" applyBorder="1" applyAlignment="1">
      <alignment horizontal="right" indent="1"/>
    </xf>
    <xf numFmtId="167" fontId="3" fillId="0" borderId="0" xfId="16" applyNumberFormat="1" applyFont="1" applyAlignment="1" applyProtection="1">
      <alignment horizontal="right" indent="2"/>
    </xf>
    <xf numFmtId="3" fontId="3" fillId="0" borderId="0" xfId="16" applyNumberFormat="1" applyFont="1" applyAlignment="1" applyProtection="1">
      <alignment horizontal="right" indent="2"/>
    </xf>
    <xf numFmtId="3" fontId="3" fillId="0" borderId="0" xfId="0" applyNumberFormat="1" applyFont="1" applyBorder="1" applyAlignment="1">
      <alignment horizontal="right" indent="2"/>
    </xf>
    <xf numFmtId="3" fontId="3" fillId="0" borderId="0" xfId="36" applyNumberFormat="1" applyFont="1" applyFill="1" applyBorder="1" applyAlignment="1">
      <alignment horizontal="right" indent="2"/>
    </xf>
    <xf numFmtId="0" fontId="128" fillId="0" borderId="0" xfId="0" applyFont="1"/>
    <xf numFmtId="0" fontId="128" fillId="0" borderId="0" xfId="0" applyFont="1" applyAlignment="1">
      <alignment vertical="top"/>
    </xf>
    <xf numFmtId="3" fontId="176" fillId="0" borderId="0" xfId="0" applyNumberFormat="1" applyFont="1" applyFill="1" applyAlignment="1"/>
    <xf numFmtId="3" fontId="176" fillId="0" borderId="0" xfId="0" applyNumberFormat="1" applyFont="1" applyFill="1" applyBorder="1" applyAlignment="1"/>
    <xf numFmtId="3" fontId="176" fillId="0" borderId="0" xfId="0" applyNumberFormat="1" applyFont="1"/>
    <xf numFmtId="0" fontId="176" fillId="0" borderId="0" xfId="0" applyNumberFormat="1" applyFont="1" applyFill="1" applyBorder="1" applyAlignment="1"/>
    <xf numFmtId="0" fontId="176" fillId="0" borderId="0" xfId="0" applyFont="1" applyAlignment="1">
      <alignment vertical="top"/>
    </xf>
    <xf numFmtId="1" fontId="17" fillId="0" borderId="0" xfId="0" applyNumberFormat="1" applyFont="1" applyFill="1" applyBorder="1" applyAlignment="1">
      <alignment horizontal="right" indent="1"/>
    </xf>
    <xf numFmtId="0" fontId="81" fillId="0" borderId="0" xfId="9" applyNumberFormat="1" applyFont="1" applyAlignment="1"/>
    <xf numFmtId="0" fontId="79" fillId="0" borderId="0" xfId="9" applyNumberFormat="1" applyFont="1" applyAlignment="1"/>
    <xf numFmtId="0" fontId="3" fillId="0" borderId="0" xfId="9" applyNumberFormat="1" applyFont="1" applyAlignment="1"/>
    <xf numFmtId="0" fontId="15" fillId="0" borderId="14" xfId="9" applyNumberFormat="1" applyFont="1" applyFill="1" applyBorder="1" applyAlignment="1">
      <alignment horizontal="right" vertical="center" wrapText="1"/>
    </xf>
    <xf numFmtId="0" fontId="16" fillId="0" borderId="14" xfId="9" applyNumberFormat="1" applyFont="1" applyFill="1" applyBorder="1" applyAlignment="1">
      <alignment horizontal="right" vertical="center" wrapText="1"/>
    </xf>
    <xf numFmtId="0" fontId="39" fillId="0" borderId="0" xfId="29" applyFill="1" applyAlignment="1">
      <alignment vertical="center"/>
    </xf>
    <xf numFmtId="0" fontId="39" fillId="0" borderId="15" xfId="29" applyFont="1" applyFill="1" applyBorder="1" applyAlignment="1">
      <alignment vertical="center"/>
    </xf>
    <xf numFmtId="0" fontId="21" fillId="0" borderId="0" xfId="29" applyFont="1" applyFill="1" applyAlignment="1">
      <alignment vertical="center"/>
    </xf>
    <xf numFmtId="0" fontId="91" fillId="0" borderId="0" xfId="86" applyAlignment="1" applyProtection="1">
      <alignment horizontal="right" vertical="center"/>
    </xf>
    <xf numFmtId="0" fontId="6" fillId="0" borderId="0" xfId="29" applyFont="1" applyFill="1" applyAlignment="1">
      <alignment vertical="center"/>
    </xf>
    <xf numFmtId="0" fontId="176" fillId="4" borderId="0" xfId="10" applyFont="1" applyFill="1"/>
    <xf numFmtId="0" fontId="176" fillId="4" borderId="0" xfId="32" applyFont="1" applyFill="1"/>
    <xf numFmtId="167" fontId="176" fillId="4" borderId="0" xfId="38" applyNumberFormat="1" applyFont="1" applyFill="1"/>
    <xf numFmtId="0" fontId="176" fillId="4" borderId="39" xfId="10" applyFont="1" applyFill="1" applyBorder="1"/>
    <xf numFmtId="0" fontId="128" fillId="4" borderId="0" xfId="33" applyFont="1" applyFill="1" applyAlignment="1">
      <alignment vertical="top"/>
    </xf>
    <xf numFmtId="10" fontId="128" fillId="4" borderId="0" xfId="38" applyNumberFormat="1" applyFont="1" applyFill="1" applyAlignment="1">
      <alignment vertical="top"/>
    </xf>
    <xf numFmtId="0" fontId="128" fillId="4" borderId="0" xfId="33" applyFont="1" applyFill="1" applyBorder="1" applyAlignment="1">
      <alignment horizontal="left" vertical="top"/>
    </xf>
    <xf numFmtId="0" fontId="128" fillId="4" borderId="0" xfId="33" applyFont="1" applyFill="1" applyBorder="1" applyAlignment="1">
      <alignment vertical="top"/>
    </xf>
    <xf numFmtId="44" fontId="128" fillId="4" borderId="0" xfId="4" applyFont="1" applyFill="1" applyAlignment="1">
      <alignment vertical="top"/>
    </xf>
    <xf numFmtId="3" fontId="184" fillId="4" borderId="0" xfId="33" applyNumberFormat="1" applyFont="1" applyFill="1" applyBorder="1" applyAlignment="1">
      <alignment vertical="top"/>
    </xf>
    <xf numFmtId="0" fontId="184" fillId="4" borderId="0" xfId="33" applyFont="1" applyFill="1" applyBorder="1" applyAlignment="1">
      <alignment vertical="top"/>
    </xf>
    <xf numFmtId="3" fontId="128" fillId="4" borderId="0" xfId="33" applyNumberFormat="1" applyFont="1" applyFill="1" applyBorder="1" applyAlignment="1">
      <alignment vertical="top"/>
    </xf>
    <xf numFmtId="0" fontId="128" fillId="0" borderId="0" xfId="13" applyFont="1"/>
    <xf numFmtId="0" fontId="17" fillId="0" borderId="0" xfId="14" applyFont="1" applyFill="1" applyAlignment="1" applyProtection="1">
      <alignment horizontal="left" vertical="center"/>
    </xf>
    <xf numFmtId="0" fontId="128" fillId="0" borderId="0" xfId="87" applyFont="1" applyFill="1" applyAlignment="1"/>
    <xf numFmtId="0" fontId="24" fillId="0" borderId="46" xfId="87" applyFont="1" applyFill="1" applyBorder="1" applyAlignment="1">
      <alignment horizontal="left" vertical="center"/>
    </xf>
    <xf numFmtId="0" fontId="176" fillId="0" borderId="0" xfId="87" applyFont="1" applyFill="1" applyAlignment="1">
      <alignment horizontal="left" vertical="center"/>
    </xf>
    <xf numFmtId="0" fontId="176" fillId="0" borderId="0" xfId="87" applyFont="1" applyFill="1" applyAlignment="1">
      <alignment vertical="center"/>
    </xf>
    <xf numFmtId="0" fontId="16" fillId="0" borderId="41" xfId="87" applyFont="1" applyFill="1" applyBorder="1" applyAlignment="1">
      <alignment horizontal="left"/>
    </xf>
    <xf numFmtId="0" fontId="16" fillId="0" borderId="41" xfId="87" applyFont="1" applyFill="1" applyBorder="1" applyAlignment="1">
      <alignment vertical="center"/>
    </xf>
    <xf numFmtId="0" fontId="176" fillId="0" borderId="0" xfId="87" applyFont="1" applyFill="1" applyBorder="1" applyAlignment="1">
      <alignment horizontal="left"/>
    </xf>
    <xf numFmtId="0" fontId="176" fillId="0" borderId="0" xfId="87" applyFont="1" applyFill="1" applyBorder="1" applyAlignment="1">
      <alignment horizontal="left" vertical="center"/>
    </xf>
    <xf numFmtId="179" fontId="176" fillId="0" borderId="0" xfId="88" applyNumberFormat="1" applyFont="1" applyFill="1" applyAlignment="1">
      <alignment vertical="center"/>
    </xf>
    <xf numFmtId="9" fontId="186" fillId="0" borderId="0" xfId="36" applyFont="1" applyFill="1"/>
    <xf numFmtId="0" fontId="173" fillId="0" borderId="0" xfId="84" applyFont="1" applyFill="1" applyAlignment="1">
      <alignment horizontal="center"/>
    </xf>
    <xf numFmtId="0" fontId="128" fillId="0" borderId="0" xfId="84" applyFont="1" applyFill="1" applyBorder="1" applyAlignment="1">
      <alignment vertical="center" wrapText="1"/>
    </xf>
    <xf numFmtId="0" fontId="188" fillId="0" borderId="0" xfId="8" applyNumberFormat="1" applyFont="1" applyAlignment="1"/>
    <xf numFmtId="3" fontId="126" fillId="0" borderId="0" xfId="84" applyNumberFormat="1" applyFont="1" applyFill="1"/>
    <xf numFmtId="41" fontId="97" fillId="0" borderId="0" xfId="22" applyNumberFormat="1" applyFont="1" applyFill="1"/>
    <xf numFmtId="41" fontId="94" fillId="0" borderId="0" xfId="35" applyNumberFormat="1" applyFont="1" applyFill="1"/>
    <xf numFmtId="0" fontId="4" fillId="0" borderId="0" xfId="16" applyFont="1" applyAlignment="1" applyProtection="1">
      <alignment horizontal="center"/>
    </xf>
    <xf numFmtId="0" fontId="4" fillId="0" borderId="0" xfId="16" applyFont="1"/>
    <xf numFmtId="3" fontId="126" fillId="0" borderId="0" xfId="16" applyNumberFormat="1" applyFont="1" applyFill="1"/>
    <xf numFmtId="0" fontId="126" fillId="0" borderId="0" xfId="16" applyFont="1" applyFill="1"/>
    <xf numFmtId="0" fontId="16" fillId="0" borderId="1" xfId="25" applyFont="1" applyBorder="1" applyAlignment="1">
      <alignment horizontal="right" indent="1"/>
    </xf>
    <xf numFmtId="0" fontId="3" fillId="0" borderId="0" xfId="0" applyFont="1" applyFill="1" applyBorder="1" applyAlignment="1"/>
    <xf numFmtId="0" fontId="3" fillId="0" borderId="0" xfId="0" applyFont="1" applyFill="1" applyBorder="1" applyAlignment="1">
      <alignment wrapText="1"/>
    </xf>
    <xf numFmtId="0" fontId="3" fillId="0" borderId="0" xfId="0" applyFont="1" applyFill="1" applyBorder="1" applyAlignment="1">
      <alignment horizontal="left" wrapText="1"/>
    </xf>
    <xf numFmtId="37" fontId="3" fillId="0" borderId="0" xfId="88" applyNumberFormat="1" applyFont="1" applyFill="1" applyBorder="1" applyAlignment="1">
      <alignment horizontal="right" wrapText="1"/>
    </xf>
    <xf numFmtId="0" fontId="3" fillId="0" borderId="0" xfId="40" applyFont="1" applyFill="1" applyBorder="1" applyAlignment="1">
      <alignment horizontal="right" wrapText="1"/>
    </xf>
    <xf numFmtId="0" fontId="3" fillId="0" borderId="41" xfId="0" applyFont="1" applyFill="1" applyBorder="1" applyAlignment="1"/>
    <xf numFmtId="0" fontId="3" fillId="0" borderId="41" xfId="0" applyFont="1" applyFill="1" applyBorder="1" applyAlignment="1">
      <alignment wrapText="1"/>
    </xf>
    <xf numFmtId="0" fontId="3" fillId="0" borderId="41" xfId="0" applyFont="1" applyFill="1" applyBorder="1" applyAlignment="1">
      <alignment horizontal="left" wrapText="1"/>
    </xf>
    <xf numFmtId="0" fontId="3" fillId="0" borderId="0" xfId="91" applyFont="1" applyFill="1" applyBorder="1" applyAlignment="1"/>
    <xf numFmtId="0" fontId="3" fillId="0" borderId="0" xfId="91" applyFont="1" applyFill="1" applyBorder="1" applyAlignment="1">
      <alignment wrapText="1"/>
    </xf>
    <xf numFmtId="0" fontId="126" fillId="0" borderId="0" xfId="0" applyFont="1" applyBorder="1"/>
    <xf numFmtId="0" fontId="73" fillId="0" borderId="0" xfId="0" applyFont="1" applyFill="1" applyBorder="1" applyAlignment="1"/>
    <xf numFmtId="0" fontId="73" fillId="0" borderId="0" xfId="0" applyFont="1" applyFill="1" applyBorder="1" applyAlignment="1">
      <alignment wrapText="1"/>
    </xf>
    <xf numFmtId="0" fontId="73" fillId="0" borderId="0" xfId="0" applyFont="1" applyFill="1" applyBorder="1" applyAlignment="1">
      <alignment horizontal="left" wrapText="1"/>
    </xf>
    <xf numFmtId="0" fontId="73" fillId="0" borderId="0" xfId="40" applyFont="1" applyFill="1" applyBorder="1" applyAlignment="1">
      <alignment horizontal="right" wrapText="1"/>
    </xf>
    <xf numFmtId="3" fontId="73" fillId="0" borderId="0" xfId="40" applyNumberFormat="1" applyFont="1" applyFill="1" applyBorder="1" applyAlignment="1">
      <alignment horizontal="right"/>
    </xf>
    <xf numFmtId="37" fontId="73" fillId="0" borderId="0" xfId="88" applyNumberFormat="1" applyFont="1" applyFill="1" applyBorder="1" applyAlignment="1">
      <alignment horizontal="right" wrapText="1"/>
    </xf>
    <xf numFmtId="0" fontId="73" fillId="0" borderId="41" xfId="0" applyFont="1" applyFill="1" applyBorder="1" applyAlignment="1">
      <alignment vertical="top"/>
    </xf>
    <xf numFmtId="0" fontId="73" fillId="0" borderId="41" xfId="0" applyFont="1" applyFill="1" applyBorder="1" applyAlignment="1">
      <alignment vertical="top" wrapText="1"/>
    </xf>
    <xf numFmtId="0" fontId="73" fillId="0" borderId="41" xfId="0" applyFont="1" applyFill="1" applyBorder="1" applyAlignment="1">
      <alignment horizontal="left" vertical="top" wrapText="1"/>
    </xf>
    <xf numFmtId="3" fontId="73" fillId="0" borderId="41" xfId="40" applyNumberFormat="1" applyFont="1" applyFill="1" applyBorder="1" applyAlignment="1">
      <alignment horizontal="right" vertical="top"/>
    </xf>
    <xf numFmtId="0" fontId="73" fillId="0" borderId="41" xfId="0" applyFont="1" applyFill="1" applyBorder="1" applyAlignment="1"/>
    <xf numFmtId="0" fontId="73" fillId="0" borderId="41" xfId="0" applyFont="1" applyFill="1" applyBorder="1" applyAlignment="1">
      <alignment wrapText="1"/>
    </xf>
    <xf numFmtId="0" fontId="73" fillId="0" borderId="41" xfId="0" applyFont="1" applyFill="1" applyBorder="1" applyAlignment="1">
      <alignment horizontal="left" wrapText="1"/>
    </xf>
    <xf numFmtId="3" fontId="73" fillId="0" borderId="41" xfId="40" applyNumberFormat="1" applyFont="1" applyFill="1" applyBorder="1" applyAlignment="1">
      <alignment horizontal="right"/>
    </xf>
    <xf numFmtId="0" fontId="0" fillId="0" borderId="0" xfId="0" applyAlignment="1"/>
    <xf numFmtId="0" fontId="176" fillId="0" borderId="0" xfId="0" applyNumberFormat="1" applyFont="1" applyAlignment="1">
      <alignment horizontal="left" indent="1"/>
    </xf>
    <xf numFmtId="0" fontId="4" fillId="0" borderId="0" xfId="8" applyNumberFormat="1" applyFont="1" applyFill="1" applyAlignment="1">
      <alignment horizontal="left"/>
    </xf>
    <xf numFmtId="3" fontId="4" fillId="0" borderId="0" xfId="12" applyNumberFormat="1" applyFont="1" applyFill="1" applyAlignment="1"/>
    <xf numFmtId="164" fontId="4" fillId="0" borderId="0" xfId="8" applyNumberFormat="1" applyFont="1" applyFill="1" applyAlignment="1"/>
    <xf numFmtId="0" fontId="176" fillId="0" borderId="0" xfId="10" applyFont="1" applyAlignment="1">
      <alignment horizontal="left" indent="1"/>
    </xf>
    <xf numFmtId="3" fontId="3" fillId="0" borderId="0" xfId="22" applyNumberFormat="1" applyFont="1" applyFill="1" applyBorder="1" applyAlignment="1">
      <alignment horizontal="right"/>
    </xf>
    <xf numFmtId="3" fontId="3" fillId="0" borderId="0" xfId="25" applyNumberFormat="1" applyFont="1" applyAlignment="1">
      <alignment horizontal="right"/>
    </xf>
    <xf numFmtId="3" fontId="3" fillId="0" borderId="0" xfId="25" applyNumberFormat="1" applyFont="1"/>
    <xf numFmtId="0" fontId="190" fillId="0" borderId="0" xfId="25" applyFont="1" applyAlignment="1"/>
    <xf numFmtId="0" fontId="176" fillId="0" borderId="0" xfId="16" applyFont="1" applyAlignment="1">
      <alignment horizontal="left" vertical="center"/>
    </xf>
    <xf numFmtId="0" fontId="35" fillId="0" borderId="0" xfId="0" applyFont="1" applyAlignment="1">
      <alignment horizontal="left"/>
    </xf>
    <xf numFmtId="0" fontId="20" fillId="0" borderId="0" xfId="0" applyFont="1" applyAlignment="1">
      <alignment horizontal="left" indent="1"/>
    </xf>
    <xf numFmtId="0" fontId="91" fillId="0" borderId="0" xfId="86" applyBorder="1" applyAlignment="1" applyProtection="1">
      <alignment horizontal="left" indent="1"/>
    </xf>
    <xf numFmtId="0" fontId="92" fillId="0" borderId="0" xfId="0" applyFont="1" applyAlignment="1">
      <alignment horizontal="left" vertical="center" wrapText="1"/>
    </xf>
    <xf numFmtId="3" fontId="128" fillId="0" borderId="0" xfId="0" applyNumberFormat="1" applyFont="1" applyFill="1" applyAlignment="1">
      <alignment horizontal="right" vertical="center"/>
    </xf>
    <xf numFmtId="0" fontId="91" fillId="0" borderId="0" xfId="86" applyAlignment="1" applyProtection="1">
      <alignment horizontal="left" vertical="center" wrapText="1" indent="1"/>
    </xf>
    <xf numFmtId="0" fontId="3" fillId="0" borderId="0" xfId="25" applyFont="1" applyAlignment="1"/>
    <xf numFmtId="0" fontId="176" fillId="0" borderId="0" xfId="14" applyFont="1" applyBorder="1" applyAlignment="1" applyProtection="1">
      <alignment horizontal="left"/>
    </xf>
    <xf numFmtId="0" fontId="176" fillId="0" borderId="0" xfId="14" applyFont="1" applyAlignment="1" applyProtection="1">
      <alignment horizontal="left" vertical="top"/>
    </xf>
    <xf numFmtId="0" fontId="176" fillId="0" borderId="0" xfId="14" applyFont="1" applyAlignment="1" applyProtection="1">
      <alignment vertical="top"/>
    </xf>
    <xf numFmtId="0" fontId="176" fillId="0" borderId="0" xfId="16" applyFont="1"/>
    <xf numFmtId="3" fontId="176" fillId="0" borderId="0" xfId="16" applyNumberFormat="1" applyFont="1"/>
    <xf numFmtId="0" fontId="167" fillId="0" borderId="0" xfId="84" applyFont="1" applyFill="1"/>
    <xf numFmtId="0" fontId="167" fillId="4" borderId="0" xfId="33" applyFont="1" applyFill="1" applyAlignment="1">
      <alignment vertical="top"/>
    </xf>
    <xf numFmtId="10" fontId="167" fillId="4" borderId="0" xfId="38" applyNumberFormat="1" applyFont="1" applyFill="1" applyAlignment="1">
      <alignment vertical="top"/>
    </xf>
    <xf numFmtId="0" fontId="167" fillId="4" borderId="39" xfId="10" applyFont="1" applyFill="1" applyBorder="1"/>
    <xf numFmtId="0" fontId="167" fillId="0" borderId="0" xfId="13" applyFont="1"/>
    <xf numFmtId="3" fontId="167" fillId="4" borderId="0" xfId="33" applyNumberFormat="1" applyFont="1" applyFill="1" applyBorder="1" applyAlignment="1">
      <alignment vertical="top"/>
    </xf>
    <xf numFmtId="9" fontId="167" fillId="0" borderId="0" xfId="36" applyFont="1" applyFill="1"/>
    <xf numFmtId="0" fontId="167" fillId="0" borderId="0" xfId="84" applyFont="1" applyFill="1" applyAlignment="1">
      <alignment horizontal="center"/>
    </xf>
    <xf numFmtId="0" fontId="167" fillId="0" borderId="0" xfId="14" applyFont="1" applyAlignment="1" applyProtection="1">
      <alignment horizontal="left" vertical="top" wrapText="1"/>
    </xf>
    <xf numFmtId="0" fontId="167" fillId="0" borderId="0" xfId="84" applyFont="1" applyFill="1" applyBorder="1" applyAlignment="1">
      <alignment vertical="center" wrapText="1"/>
    </xf>
    <xf numFmtId="0" fontId="167" fillId="0" borderId="0" xfId="84" applyFont="1" applyFill="1" applyBorder="1" applyAlignment="1">
      <alignment horizontal="left" vertical="top" wrapText="1"/>
    </xf>
    <xf numFmtId="167" fontId="167" fillId="4" borderId="0" xfId="38" applyNumberFormat="1" applyFont="1" applyFill="1"/>
    <xf numFmtId="0" fontId="130" fillId="0" borderId="41" xfId="87" applyFont="1" applyFill="1" applyBorder="1" applyAlignment="1">
      <alignment horizontal="center"/>
    </xf>
    <xf numFmtId="0" fontId="16" fillId="0" borderId="41" xfId="87" applyFont="1" applyFill="1" applyBorder="1" applyAlignment="1">
      <alignment horizontal="center"/>
    </xf>
    <xf numFmtId="0" fontId="130" fillId="0" borderId="41" xfId="87" applyFont="1" applyFill="1" applyBorder="1" applyAlignment="1">
      <alignment horizontal="center" vertical="center" wrapText="1"/>
    </xf>
    <xf numFmtId="3" fontId="16" fillId="0" borderId="41" xfId="87" applyNumberFormat="1" applyFont="1" applyFill="1" applyBorder="1" applyAlignment="1">
      <alignment horizontal="right" vertical="center" indent="1"/>
    </xf>
    <xf numFmtId="0" fontId="16" fillId="0" borderId="41" xfId="87" applyFont="1" applyFill="1" applyBorder="1" applyAlignment="1">
      <alignment horizontal="right" vertical="center" indent="1"/>
    </xf>
    <xf numFmtId="3" fontId="16" fillId="0" borderId="41" xfId="87" applyNumberFormat="1" applyFont="1" applyFill="1" applyBorder="1" applyAlignment="1">
      <alignment horizontal="right" vertical="center" indent="2"/>
    </xf>
    <xf numFmtId="3" fontId="16" fillId="0" borderId="41" xfId="87" applyNumberFormat="1" applyFont="1" applyFill="1" applyBorder="1" applyAlignment="1">
      <alignment horizontal="right" vertical="center" indent="3"/>
    </xf>
    <xf numFmtId="0" fontId="167" fillId="0" borderId="0" xfId="0" applyFont="1" applyAlignment="1">
      <alignment vertical="top" wrapText="1"/>
    </xf>
    <xf numFmtId="0" fontId="167" fillId="0" borderId="0" xfId="17" applyFont="1" applyFill="1" applyProtection="1"/>
    <xf numFmtId="0" fontId="167" fillId="0" borderId="0" xfId="0" applyFont="1"/>
    <xf numFmtId="0" fontId="167" fillId="0" borderId="0" xfId="17" applyFont="1" applyFill="1" applyAlignment="1" applyProtection="1">
      <alignment vertical="center"/>
    </xf>
    <xf numFmtId="0" fontId="167" fillId="0" borderId="0" xfId="0" applyFont="1" applyAlignment="1">
      <alignment vertical="center"/>
    </xf>
    <xf numFmtId="0" fontId="167" fillId="0" borderId="0" xfId="10" applyFont="1" applyFill="1" applyBorder="1" applyAlignment="1">
      <alignment vertical="center"/>
    </xf>
    <xf numFmtId="3" fontId="167" fillId="0" borderId="0" xfId="17" applyNumberFormat="1" applyFont="1" applyFill="1" applyProtection="1"/>
    <xf numFmtId="0" fontId="167" fillId="0" borderId="0" xfId="97" applyFont="1" applyAlignment="1">
      <alignment vertical="center"/>
    </xf>
    <xf numFmtId="0" fontId="94" fillId="0" borderId="0" xfId="0" applyFont="1" applyAlignment="1"/>
    <xf numFmtId="0" fontId="167" fillId="0" borderId="0" xfId="14" applyFont="1" applyBorder="1" applyAlignment="1" applyProtection="1">
      <alignment horizontal="left"/>
    </xf>
    <xf numFmtId="0" fontId="167" fillId="4" borderId="0" xfId="32" applyFont="1" applyFill="1"/>
    <xf numFmtId="0" fontId="167" fillId="4" borderId="0" xfId="33" applyFont="1" applyFill="1" applyBorder="1" applyAlignment="1">
      <alignment vertical="top"/>
    </xf>
    <xf numFmtId="37" fontId="22" fillId="0" borderId="0" xfId="14" applyNumberFormat="1" applyFont="1" applyProtection="1"/>
    <xf numFmtId="39" fontId="22" fillId="0" borderId="0" xfId="14" applyNumberFormat="1" applyFont="1" applyProtection="1"/>
    <xf numFmtId="37" fontId="3" fillId="0" borderId="0" xfId="14" applyNumberFormat="1" applyFont="1" applyProtection="1"/>
    <xf numFmtId="39" fontId="3" fillId="0" borderId="0" xfId="14" applyNumberFormat="1" applyFont="1" applyProtection="1"/>
    <xf numFmtId="3" fontId="3" fillId="0" borderId="0" xfId="14" applyNumberFormat="1" applyFont="1" applyProtection="1"/>
    <xf numFmtId="169" fontId="3" fillId="0" borderId="0" xfId="36" applyNumberFormat="1" applyFont="1"/>
    <xf numFmtId="167" fontId="3" fillId="0" borderId="0" xfId="14" applyNumberFormat="1" applyFont="1" applyAlignment="1" applyProtection="1">
      <alignment horizontal="right"/>
    </xf>
    <xf numFmtId="169" fontId="3" fillId="0" borderId="0" xfId="14" applyNumberFormat="1" applyFont="1" applyAlignment="1" applyProtection="1">
      <alignment horizontal="right"/>
    </xf>
    <xf numFmtId="3" fontId="3" fillId="0" borderId="0" xfId="14" applyNumberFormat="1" applyFont="1" applyAlignment="1" applyProtection="1">
      <alignment horizontal="right"/>
    </xf>
    <xf numFmtId="37" fontId="16" fillId="0" borderId="8" xfId="14" applyNumberFormat="1" applyFont="1" applyBorder="1" applyProtection="1"/>
    <xf numFmtId="9" fontId="16" fillId="0" borderId="8"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0" fontId="4" fillId="0" borderId="9" xfId="16" applyFont="1" applyBorder="1"/>
    <xf numFmtId="0" fontId="4" fillId="0" borderId="0" xfId="16" applyFont="1"/>
    <xf numFmtId="0" fontId="22" fillId="0" borderId="0" xfId="16" applyFont="1"/>
    <xf numFmtId="0" fontId="29" fillId="0" borderId="0" xfId="16" applyFont="1" applyAlignment="1">
      <alignment horizontal="center"/>
    </xf>
    <xf numFmtId="3" fontId="3" fillId="0" borderId="25" xfId="19" applyNumberFormat="1" applyFont="1" applyBorder="1" applyAlignment="1"/>
    <xf numFmtId="3" fontId="3" fillId="0" borderId="0" xfId="19" applyNumberFormat="1" applyFont="1" applyBorder="1" applyAlignment="1"/>
    <xf numFmtId="3" fontId="3" fillId="0" borderId="0" xfId="19" applyNumberFormat="1" applyFont="1" applyFill="1" applyBorder="1" applyAlignment="1"/>
    <xf numFmtId="10" fontId="3" fillId="0" borderId="0" xfId="36" applyNumberFormat="1" applyFont="1"/>
    <xf numFmtId="5" fontId="3" fillId="0" borderId="0" xfId="16" applyNumberFormat="1" applyFont="1" applyProtection="1"/>
    <xf numFmtId="5" fontId="3" fillId="0" borderId="0" xfId="16" applyNumberFormat="1" applyFont="1" applyAlignment="1" applyProtection="1">
      <alignment horizontal="right"/>
    </xf>
    <xf numFmtId="37" fontId="16" fillId="0" borderId="0" xfId="14" applyNumberFormat="1" applyFont="1" applyBorder="1" applyProtection="1"/>
    <xf numFmtId="3" fontId="3" fillId="0" borderId="0" xfId="14" applyNumberFormat="1" applyFont="1" applyBorder="1" applyProtection="1"/>
    <xf numFmtId="167" fontId="3" fillId="0" borderId="0" xfId="14" applyNumberFormat="1" applyFont="1" applyBorder="1" applyProtection="1"/>
    <xf numFmtId="0" fontId="3" fillId="0" borderId="0" xfId="16" applyNumberFormat="1" applyFont="1" applyAlignment="1" applyProtection="1">
      <alignment horizontal="center"/>
    </xf>
    <xf numFmtId="167" fontId="4" fillId="0" borderId="0" xfId="12" applyNumberFormat="1" applyFont="1" applyFill="1" applyAlignment="1"/>
    <xf numFmtId="167" fontId="22" fillId="0" borderId="0" xfId="3" applyNumberFormat="1" applyFont="1" applyFill="1"/>
    <xf numFmtId="3" fontId="22" fillId="0" borderId="0" xfId="3" applyNumberFormat="1" applyFont="1" applyFill="1"/>
    <xf numFmtId="167" fontId="22" fillId="0" borderId="0" xfId="87" applyNumberFormat="1" applyFont="1" applyFill="1" applyBorder="1"/>
    <xf numFmtId="167" fontId="3" fillId="0" borderId="0" xfId="14" applyNumberFormat="1" applyFont="1" applyFill="1" applyAlignment="1" applyProtection="1">
      <alignment horizontal="right"/>
    </xf>
    <xf numFmtId="3" fontId="3" fillId="0" borderId="0" xfId="14" applyNumberFormat="1" applyFont="1" applyFill="1" applyAlignment="1" applyProtection="1">
      <alignment horizontal="right"/>
    </xf>
    <xf numFmtId="173" fontId="3" fillId="0" borderId="0" xfId="19" applyNumberFormat="1" applyFont="1" applyBorder="1"/>
    <xf numFmtId="0" fontId="3" fillId="0" borderId="0" xfId="13" applyFont="1"/>
    <xf numFmtId="0" fontId="24" fillId="0" borderId="9" xfId="16" applyFont="1" applyBorder="1" applyAlignment="1">
      <alignment horizontal="center" wrapText="1"/>
    </xf>
    <xf numFmtId="37" fontId="16" fillId="0" borderId="43" xfId="14" applyNumberFormat="1" applyFont="1" applyBorder="1" applyProtection="1"/>
    <xf numFmtId="37" fontId="16" fillId="0" borderId="43" xfId="14" applyNumberFormat="1" applyFont="1" applyBorder="1" applyAlignment="1" applyProtection="1">
      <alignment horizontal="center"/>
    </xf>
    <xf numFmtId="37" fontId="16" fillId="0" borderId="0" xfId="14" applyNumberFormat="1" applyFont="1" applyFill="1" applyBorder="1" applyProtection="1"/>
    <xf numFmtId="0" fontId="3" fillId="0" borderId="0" xfId="87" applyFont="1" applyFill="1" applyAlignment="1"/>
    <xf numFmtId="3" fontId="3" fillId="0" borderId="0" xfId="87" applyNumberFormat="1" applyFont="1" applyFill="1" applyBorder="1" applyAlignment="1"/>
    <xf numFmtId="0" fontId="22" fillId="0" borderId="0" xfId="87" applyFont="1" applyFill="1"/>
    <xf numFmtId="0" fontId="22" fillId="0" borderId="0" xfId="87" applyNumberFormat="1" applyFont="1" applyFill="1" applyAlignment="1">
      <alignment horizontal="center"/>
    </xf>
    <xf numFmtId="0" fontId="24" fillId="0" borderId="18" xfId="87" applyFont="1" applyFill="1" applyBorder="1" applyAlignment="1">
      <alignment horizontal="left"/>
    </xf>
    <xf numFmtId="167" fontId="22" fillId="0" borderId="0" xfId="87" applyNumberFormat="1" applyFont="1" applyFill="1"/>
    <xf numFmtId="3" fontId="22" fillId="0" borderId="0" xfId="87" applyNumberFormat="1" applyFont="1" applyFill="1"/>
    <xf numFmtId="3" fontId="22" fillId="0" borderId="0" xfId="90" applyNumberFormat="1" applyFont="1" applyFill="1"/>
    <xf numFmtId="3" fontId="22" fillId="0" borderId="0" xfId="91" applyNumberFormat="1" applyFont="1" applyFill="1"/>
    <xf numFmtId="5" fontId="22" fillId="0" borderId="0" xfId="90" applyNumberFormat="1" applyFont="1" applyFill="1"/>
    <xf numFmtId="0" fontId="24" fillId="0" borderId="15" xfId="87" applyNumberFormat="1" applyFont="1" applyFill="1" applyBorder="1" applyAlignment="1">
      <alignment horizontal="center"/>
    </xf>
    <xf numFmtId="0" fontId="24" fillId="0" borderId="0" xfId="87" applyFont="1" applyFill="1"/>
    <xf numFmtId="167" fontId="22" fillId="0" borderId="15" xfId="87" applyNumberFormat="1" applyFont="1" applyFill="1" applyBorder="1"/>
    <xf numFmtId="0" fontId="22" fillId="0" borderId="15" xfId="87" applyNumberFormat="1" applyFont="1" applyFill="1" applyBorder="1" applyAlignment="1">
      <alignment horizontal="center"/>
    </xf>
    <xf numFmtId="179" fontId="22" fillId="0" borderId="0" xfId="88" applyNumberFormat="1" applyFont="1" applyFill="1"/>
    <xf numFmtId="179" fontId="22" fillId="0" borderId="0" xfId="87" applyNumberFormat="1" applyFont="1" applyFill="1"/>
    <xf numFmtId="10" fontId="22" fillId="0" borderId="0" xfId="87" applyNumberFormat="1" applyFont="1" applyFill="1"/>
    <xf numFmtId="167" fontId="24" fillId="0" borderId="0" xfId="87" applyNumberFormat="1" applyFont="1" applyFill="1" applyBorder="1"/>
    <xf numFmtId="3" fontId="24" fillId="0" borderId="0" xfId="87" applyNumberFormat="1" applyFont="1" applyFill="1"/>
    <xf numFmtId="0" fontId="24" fillId="0" borderId="0" xfId="87" applyFont="1" applyFill="1" applyAlignment="1">
      <alignment horizontal="left"/>
    </xf>
    <xf numFmtId="0" fontId="24" fillId="0" borderId="0" xfId="87" applyFont="1" applyFill="1" applyBorder="1" applyAlignment="1">
      <alignment horizontal="left"/>
    </xf>
    <xf numFmtId="3" fontId="22" fillId="0" borderId="18" xfId="87" applyNumberFormat="1" applyFont="1" applyFill="1" applyBorder="1"/>
    <xf numFmtId="0" fontId="126" fillId="0" borderId="0" xfId="84" applyFont="1" applyFill="1"/>
    <xf numFmtId="167" fontId="22" fillId="0" borderId="0" xfId="90" applyNumberFormat="1" applyFont="1" applyFill="1"/>
    <xf numFmtId="3" fontId="22" fillId="0" borderId="0" xfId="87" applyNumberFormat="1" applyFont="1" applyFill="1" applyBorder="1"/>
    <xf numFmtId="3" fontId="22" fillId="0" borderId="0" xfId="90" applyNumberFormat="1" applyFont="1" applyFill="1" applyBorder="1"/>
    <xf numFmtId="10" fontId="22" fillId="0" borderId="15" xfId="89" applyNumberFormat="1" applyFont="1" applyFill="1" applyBorder="1"/>
    <xf numFmtId="0" fontId="130" fillId="0" borderId="43" xfId="87" applyFont="1" applyFill="1" applyBorder="1" applyAlignment="1">
      <alignment horizontal="center"/>
    </xf>
    <xf numFmtId="0" fontId="130" fillId="0" borderId="0" xfId="87" applyFont="1" applyFill="1" applyBorder="1" applyAlignment="1">
      <alignment horizontal="center"/>
    </xf>
    <xf numFmtId="9" fontId="4" fillId="0" borderId="0" xfId="36" applyFont="1"/>
    <xf numFmtId="41" fontId="22" fillId="0" borderId="0" xfId="87" applyNumberFormat="1" applyFont="1" applyFill="1"/>
    <xf numFmtId="0" fontId="6" fillId="0" borderId="0" xfId="87" applyFont="1" applyFill="1" applyBorder="1" applyAlignment="1"/>
    <xf numFmtId="0" fontId="16" fillId="0" borderId="46" xfId="87" applyFont="1" applyFill="1" applyBorder="1" applyAlignment="1">
      <alignment horizontal="center" vertical="center" wrapText="1"/>
    </xf>
    <xf numFmtId="167" fontId="24" fillId="0" borderId="15" xfId="87" applyNumberFormat="1" applyFont="1" applyFill="1" applyBorder="1" applyAlignment="1"/>
    <xf numFmtId="167" fontId="24" fillId="0" borderId="15" xfId="87" applyNumberFormat="1" applyFont="1" applyFill="1" applyBorder="1"/>
    <xf numFmtId="0" fontId="16" fillId="0" borderId="0" xfId="87" applyFont="1" applyFill="1" applyBorder="1" applyAlignment="1">
      <alignment horizontal="left"/>
    </xf>
    <xf numFmtId="5" fontId="3" fillId="0" borderId="0" xfId="14" applyNumberFormat="1" applyFont="1" applyBorder="1" applyProtection="1"/>
    <xf numFmtId="41" fontId="3" fillId="0" borderId="0" xfId="16" applyNumberFormat="1" applyFont="1" applyProtection="1"/>
    <xf numFmtId="41" fontId="3" fillId="0" borderId="0" xfId="16" applyNumberFormat="1" applyFont="1" applyAlignment="1" applyProtection="1">
      <alignment horizontal="center"/>
    </xf>
    <xf numFmtId="41" fontId="3" fillId="0" borderId="0" xfId="16" quotePrefix="1" applyNumberFormat="1" applyFont="1" applyProtection="1"/>
    <xf numFmtId="41" fontId="3" fillId="0" borderId="0" xfId="16" applyNumberFormat="1" applyFont="1" applyFill="1" applyProtection="1"/>
    <xf numFmtId="41" fontId="3" fillId="0" borderId="0" xfId="16" quotePrefix="1" applyNumberFormat="1" applyFont="1" applyAlignment="1" applyProtection="1">
      <alignment horizontal="center"/>
    </xf>
    <xf numFmtId="41" fontId="3" fillId="0" borderId="0" xfId="16" quotePrefix="1" applyNumberFormat="1" applyFont="1" applyFill="1" applyProtection="1"/>
    <xf numFmtId="41" fontId="3" fillId="0" borderId="0" xfId="16" quotePrefix="1" applyNumberFormat="1" applyFont="1" applyFill="1" applyAlignment="1" applyProtection="1">
      <alignment horizontal="center"/>
    </xf>
    <xf numFmtId="0" fontId="24" fillId="3" borderId="9" xfId="16" applyFont="1" applyFill="1" applyBorder="1" applyAlignment="1">
      <alignment horizontal="center" wrapText="1"/>
    </xf>
    <xf numFmtId="0" fontId="24" fillId="0" borderId="9" xfId="16" applyFont="1" applyFill="1" applyBorder="1" applyAlignment="1" applyProtection="1">
      <alignment horizontal="center" wrapText="1"/>
    </xf>
    <xf numFmtId="0" fontId="24" fillId="0" borderId="9" xfId="16" applyFont="1" applyFill="1" applyBorder="1" applyAlignment="1">
      <alignment horizontal="center" wrapText="1"/>
    </xf>
    <xf numFmtId="5" fontId="3" fillId="0" borderId="0" xfId="16" applyNumberFormat="1" applyFont="1" applyFill="1" applyProtection="1"/>
    <xf numFmtId="5" fontId="3" fillId="0" borderId="0" xfId="16" applyNumberFormat="1" applyFont="1" applyFill="1" applyAlignment="1" applyProtection="1">
      <alignment horizontal="right"/>
    </xf>
    <xf numFmtId="0" fontId="24" fillId="0" borderId="46" xfId="87" applyNumberFormat="1" applyFont="1" applyFill="1" applyBorder="1" applyAlignment="1">
      <alignment horizontal="center" vertical="center" wrapText="1"/>
    </xf>
    <xf numFmtId="0" fontId="155" fillId="0" borderId="0" xfId="87" applyFont="1" applyFill="1" applyBorder="1" applyAlignment="1">
      <alignment horizontal="left"/>
    </xf>
    <xf numFmtId="0" fontId="155" fillId="0" borderId="43" xfId="87" applyFont="1" applyFill="1" applyBorder="1" applyAlignment="1">
      <alignment horizontal="centerContinuous"/>
    </xf>
    <xf numFmtId="0" fontId="24" fillId="0" borderId="0" xfId="87" applyFont="1" applyFill="1" applyAlignment="1">
      <alignment horizontal="right" indent="1"/>
    </xf>
    <xf numFmtId="0" fontId="16" fillId="0" borderId="0" xfId="87" applyFont="1" applyFill="1" applyBorder="1" applyAlignment="1">
      <alignment horizontal="right" indent="1"/>
    </xf>
    <xf numFmtId="0" fontId="22" fillId="0" borderId="0" xfId="87" applyFont="1" applyFill="1" applyAlignment="1">
      <alignment horizontal="right" indent="1"/>
    </xf>
    <xf numFmtId="167" fontId="22" fillId="0" borderId="0" xfId="87" applyNumberFormat="1" applyFont="1" applyFill="1" applyAlignment="1">
      <alignment horizontal="right" indent="1"/>
    </xf>
    <xf numFmtId="167" fontId="22" fillId="0" borderId="15" xfId="87" applyNumberFormat="1" applyFont="1" applyFill="1" applyBorder="1" applyAlignment="1">
      <alignment horizontal="right" indent="1"/>
    </xf>
    <xf numFmtId="0" fontId="155" fillId="0" borderId="43" xfId="87" applyFont="1" applyFill="1" applyBorder="1" applyAlignment="1">
      <alignment horizontal="centerContinuous" vertical="center"/>
    </xf>
    <xf numFmtId="167" fontId="22" fillId="0" borderId="13" xfId="87" applyNumberFormat="1" applyFont="1" applyFill="1" applyBorder="1"/>
    <xf numFmtId="167" fontId="22" fillId="0" borderId="13" xfId="87" applyNumberFormat="1" applyFont="1" applyFill="1" applyBorder="1" applyAlignment="1">
      <alignment horizontal="right" indent="1"/>
    </xf>
    <xf numFmtId="10" fontId="22" fillId="0" borderId="13" xfId="89" applyNumberFormat="1" applyFont="1" applyFill="1" applyBorder="1"/>
    <xf numFmtId="167" fontId="24" fillId="0" borderId="0" xfId="87" applyNumberFormat="1" applyFont="1" applyFill="1" applyBorder="1" applyAlignment="1">
      <alignment horizontal="right" indent="1"/>
    </xf>
    <xf numFmtId="10" fontId="24" fillId="0" borderId="0" xfId="89" applyNumberFormat="1" applyFont="1" applyFill="1" applyBorder="1"/>
    <xf numFmtId="0" fontId="16" fillId="0" borderId="0" xfId="87" applyFont="1" applyFill="1" applyAlignment="1"/>
    <xf numFmtId="3" fontId="28" fillId="0" borderId="43" xfId="87" applyNumberFormat="1" applyFont="1" applyFill="1" applyBorder="1" applyAlignment="1">
      <alignment horizontal="centerContinuous" vertical="top"/>
    </xf>
    <xf numFmtId="3" fontId="28" fillId="0" borderId="0" xfId="87" applyNumberFormat="1" applyFont="1" applyFill="1" applyAlignment="1">
      <alignment horizontal="centerContinuous" vertical="top"/>
    </xf>
    <xf numFmtId="0" fontId="3" fillId="0" borderId="0" xfId="84" applyFont="1" applyFill="1"/>
    <xf numFmtId="37" fontId="16" fillId="0" borderId="6" xfId="14" applyNumberFormat="1" applyFont="1" applyBorder="1" applyAlignment="1" applyProtection="1">
      <alignment horizontal="centerContinuous"/>
    </xf>
    <xf numFmtId="37" fontId="16" fillId="0" borderId="0" xfId="14" applyNumberFormat="1" applyFont="1" applyBorder="1" applyAlignment="1" applyProtection="1">
      <alignment horizontal="centerContinuous"/>
    </xf>
    <xf numFmtId="1" fontId="3" fillId="0" borderId="0" xfId="14" applyNumberFormat="1" applyFont="1" applyBorder="1" applyAlignment="1" applyProtection="1">
      <alignment vertical="center"/>
    </xf>
    <xf numFmtId="3" fontId="3" fillId="0" borderId="0" xfId="14" applyNumberFormat="1" applyFont="1" applyBorder="1" applyAlignment="1" applyProtection="1">
      <alignment vertical="top"/>
    </xf>
    <xf numFmtId="37" fontId="3" fillId="0" borderId="0" xfId="14" applyNumberFormat="1" applyFont="1" applyBorder="1" applyAlignment="1" applyProtection="1">
      <alignment vertical="top"/>
    </xf>
    <xf numFmtId="39" fontId="16" fillId="0" borderId="48" xfId="14" applyNumberFormat="1" applyFont="1" applyBorder="1" applyAlignment="1" applyProtection="1">
      <alignment horizontal="center"/>
    </xf>
    <xf numFmtId="37" fontId="16" fillId="0" borderId="49" xfId="14" applyNumberFormat="1" applyFont="1" applyBorder="1" applyAlignment="1" applyProtection="1">
      <alignment horizontal="centerContinuous"/>
    </xf>
    <xf numFmtId="39" fontId="16" fillId="0" borderId="51" xfId="14" applyNumberFormat="1" applyFont="1" applyBorder="1" applyAlignment="1" applyProtection="1">
      <alignment horizontal="center"/>
    </xf>
    <xf numFmtId="37" fontId="16" fillId="0" borderId="52" xfId="14" applyNumberFormat="1" applyFont="1" applyBorder="1" applyAlignment="1" applyProtection="1">
      <alignment horizontal="centerContinuous"/>
    </xf>
    <xf numFmtId="39" fontId="16" fillId="0" borderId="53" xfId="14" applyNumberFormat="1" applyFont="1" applyBorder="1" applyAlignment="1" applyProtection="1">
      <alignment horizontal="center" wrapText="1"/>
    </xf>
    <xf numFmtId="37" fontId="16" fillId="0" borderId="54" xfId="14" applyNumberFormat="1" applyFont="1" applyBorder="1" applyAlignment="1" applyProtection="1">
      <alignment horizontal="right" wrapText="1"/>
    </xf>
    <xf numFmtId="169" fontId="3" fillId="0" borderId="51" xfId="36" applyNumberFormat="1" applyFont="1" applyBorder="1"/>
    <xf numFmtId="3" fontId="3" fillId="0" borderId="52" xfId="14" applyNumberFormat="1" applyFont="1" applyBorder="1" applyProtection="1"/>
    <xf numFmtId="169" fontId="3" fillId="0" borderId="51" xfId="36" applyNumberFormat="1" applyFont="1" applyBorder="1" applyAlignment="1">
      <alignment vertical="top"/>
    </xf>
    <xf numFmtId="3" fontId="3" fillId="0" borderId="52" xfId="14" applyNumberFormat="1" applyFont="1" applyBorder="1" applyAlignment="1" applyProtection="1">
      <alignment vertical="top"/>
    </xf>
    <xf numFmtId="1" fontId="3" fillId="0" borderId="52" xfId="14" applyNumberFormat="1" applyFont="1" applyBorder="1" applyAlignment="1" applyProtection="1">
      <alignment vertical="center"/>
    </xf>
    <xf numFmtId="41" fontId="3" fillId="0" borderId="0" xfId="16" applyNumberFormat="1" applyFont="1" applyFill="1" applyAlignment="1" applyProtection="1">
      <alignment horizontal="center"/>
    </xf>
    <xf numFmtId="37" fontId="16" fillId="0" borderId="17" xfId="14" applyNumberFormat="1" applyFont="1" applyBorder="1" applyAlignment="1" applyProtection="1">
      <alignment horizontal="right" wrapText="1"/>
    </xf>
    <xf numFmtId="39" fontId="16" fillId="0" borderId="17" xfId="14" applyNumberFormat="1" applyFont="1" applyBorder="1" applyAlignment="1" applyProtection="1">
      <alignment horizontal="right" wrapText="1"/>
    </xf>
    <xf numFmtId="39" fontId="16" fillId="0" borderId="17" xfId="14" applyNumberFormat="1" applyFont="1" applyBorder="1" applyAlignment="1" applyProtection="1">
      <alignment horizontal="center" wrapText="1"/>
    </xf>
    <xf numFmtId="37" fontId="16" fillId="0" borderId="17" xfId="14" applyNumberFormat="1" applyFont="1" applyBorder="1" applyAlignment="1" applyProtection="1">
      <alignment horizontal="center" wrapText="1"/>
    </xf>
    <xf numFmtId="37" fontId="16" fillId="0" borderId="17" xfId="14" applyNumberFormat="1" applyFont="1" applyBorder="1" applyAlignment="1" applyProtection="1">
      <alignment horizontal="right" wrapText="1" indent="2"/>
    </xf>
    <xf numFmtId="3" fontId="3" fillId="0" borderId="0" xfId="14" applyNumberFormat="1" applyFont="1" applyAlignment="1" applyProtection="1">
      <alignment vertical="top"/>
    </xf>
    <xf numFmtId="169" fontId="3" fillId="0" borderId="0" xfId="36" applyNumberFormat="1" applyFont="1" applyAlignment="1">
      <alignment vertical="top"/>
    </xf>
    <xf numFmtId="3" fontId="3" fillId="0" borderId="0" xfId="14" applyNumberFormat="1" applyFont="1" applyAlignment="1" applyProtection="1">
      <alignment horizontal="right" vertical="top"/>
    </xf>
    <xf numFmtId="169" fontId="3" fillId="0" borderId="0" xfId="14" applyNumberFormat="1" applyFont="1" applyAlignment="1" applyProtection="1">
      <alignment horizontal="right" vertical="top"/>
    </xf>
    <xf numFmtId="3" fontId="3" fillId="0" borderId="0" xfId="14" applyNumberFormat="1" applyFont="1" applyFill="1" applyAlignment="1" applyProtection="1">
      <alignment horizontal="right" vertical="top"/>
    </xf>
    <xf numFmtId="3" fontId="3" fillId="0" borderId="0" xfId="14" applyNumberFormat="1" applyFont="1" applyAlignment="1" applyProtection="1">
      <alignment vertical="center"/>
    </xf>
    <xf numFmtId="169" fontId="3" fillId="0" borderId="0" xfId="14" applyNumberFormat="1" applyFont="1" applyAlignment="1" applyProtection="1">
      <alignment vertical="center"/>
    </xf>
    <xf numFmtId="10" fontId="3" fillId="0" borderId="0" xfId="14" applyNumberFormat="1" applyFont="1" applyAlignment="1" applyProtection="1">
      <alignment vertical="center"/>
    </xf>
    <xf numFmtId="3" fontId="3" fillId="0" borderId="0" xfId="14" applyNumberFormat="1" applyFont="1" applyFill="1" applyAlignment="1" applyProtection="1">
      <alignment vertical="center"/>
    </xf>
    <xf numFmtId="169" fontId="3" fillId="0" borderId="8" xfId="14" applyNumberFormat="1" applyFont="1" applyBorder="1" applyAlignment="1" applyProtection="1">
      <alignment vertical="center"/>
    </xf>
    <xf numFmtId="0" fontId="167" fillId="0" borderId="0" xfId="11" applyNumberFormat="1" applyFont="1" applyFill="1" applyAlignment="1">
      <alignment horizontal="center"/>
    </xf>
    <xf numFmtId="0" fontId="128" fillId="0" borderId="0" xfId="87" applyFont="1" applyFill="1" applyAlignment="1">
      <alignment vertical="center"/>
    </xf>
    <xf numFmtId="0" fontId="128" fillId="0" borderId="0" xfId="87" applyFont="1" applyFill="1" applyAlignment="1">
      <alignment horizontal="left" vertical="center"/>
    </xf>
    <xf numFmtId="0" fontId="128" fillId="0" borderId="0" xfId="87" applyNumberFormat="1" applyFont="1" applyFill="1" applyAlignment="1">
      <alignment horizontal="center" vertical="center"/>
    </xf>
    <xf numFmtId="179" fontId="128" fillId="0" borderId="0" xfId="88" applyNumberFormat="1" applyFont="1" applyFill="1" applyAlignment="1">
      <alignment vertical="center"/>
    </xf>
    <xf numFmtId="0" fontId="128" fillId="0" borderId="0" xfId="87" applyFont="1" applyFill="1"/>
    <xf numFmtId="167" fontId="128" fillId="0" borderId="0" xfId="87" applyNumberFormat="1" applyFont="1" applyFill="1"/>
    <xf numFmtId="10" fontId="128" fillId="0" borderId="0" xfId="36" applyNumberFormat="1" applyFont="1" applyFill="1"/>
    <xf numFmtId="0" fontId="128" fillId="0" borderId="0" xfId="84" applyFont="1" applyFill="1"/>
    <xf numFmtId="0" fontId="167" fillId="0" borderId="0" xfId="11" applyFont="1" applyFill="1" applyAlignment="1">
      <alignment horizontal="center"/>
    </xf>
    <xf numFmtId="37" fontId="128" fillId="0" borderId="0" xfId="16" applyNumberFormat="1" applyFont="1" applyAlignment="1" applyProtection="1">
      <alignment vertical="center"/>
    </xf>
    <xf numFmtId="0" fontId="128" fillId="0" borderId="0" xfId="16" applyFont="1" applyAlignment="1">
      <alignment vertical="center"/>
    </xf>
    <xf numFmtId="2" fontId="128" fillId="0" borderId="0" xfId="16" applyNumberFormat="1" applyFont="1" applyAlignment="1">
      <alignment vertical="center"/>
    </xf>
    <xf numFmtId="41" fontId="128" fillId="0" borderId="0" xfId="36" applyNumberFormat="1" applyFont="1"/>
    <xf numFmtId="0" fontId="128" fillId="0" borderId="0" xfId="16" applyFont="1" applyFill="1" applyAlignment="1">
      <alignment vertical="center"/>
    </xf>
    <xf numFmtId="0" fontId="128" fillId="0" borderId="0" xfId="13" applyFont="1"/>
    <xf numFmtId="3" fontId="3" fillId="0" borderId="0" xfId="14" applyNumberFormat="1" applyFont="1" applyBorder="1" applyAlignment="1" applyProtection="1">
      <alignment vertical="center"/>
    </xf>
    <xf numFmtId="37" fontId="3" fillId="0" borderId="0" xfId="14" applyNumberFormat="1" applyFont="1" applyBorder="1" applyAlignment="1" applyProtection="1">
      <alignment vertical="center"/>
    </xf>
    <xf numFmtId="169" fontId="3" fillId="0" borderId="51" xfId="36" applyNumberFormat="1" applyFont="1" applyBorder="1" applyAlignment="1">
      <alignment vertical="center"/>
    </xf>
    <xf numFmtId="3" fontId="3" fillId="0" borderId="52" xfId="14" applyNumberFormat="1" applyFont="1" applyBorder="1" applyAlignment="1" applyProtection="1">
      <alignment vertical="center"/>
    </xf>
    <xf numFmtId="0" fontId="128" fillId="0" borderId="0" xfId="87" applyFont="1" applyFill="1" applyAlignment="1"/>
    <xf numFmtId="0" fontId="24" fillId="0" borderId="46" xfId="87" applyFont="1" applyFill="1" applyBorder="1" applyAlignment="1">
      <alignment horizontal="right" vertical="center" wrapText="1"/>
    </xf>
    <xf numFmtId="0" fontId="24" fillId="0" borderId="46" xfId="87" applyFont="1" applyFill="1" applyBorder="1" applyAlignment="1">
      <alignment horizontal="right" vertical="center" wrapText="1" indent="1"/>
    </xf>
    <xf numFmtId="9" fontId="3" fillId="0" borderId="0" xfId="36" applyFont="1" applyAlignment="1"/>
    <xf numFmtId="169" fontId="115" fillId="0" borderId="0" xfId="36" applyNumberFormat="1" applyFont="1" applyProtection="1"/>
    <xf numFmtId="169" fontId="53" fillId="0" borderId="0" xfId="36" applyNumberFormat="1" applyFont="1" applyProtection="1"/>
    <xf numFmtId="3" fontId="167" fillId="0" borderId="0" xfId="17" applyNumberFormat="1" applyFont="1" applyFill="1" applyAlignment="1" applyProtection="1">
      <alignment vertical="center"/>
    </xf>
    <xf numFmtId="0" fontId="167" fillId="0" borderId="0" xfId="11" applyNumberFormat="1" applyFont="1" applyFill="1" applyAlignment="1"/>
    <xf numFmtId="0" fontId="167" fillId="0" borderId="0" xfId="11" applyFont="1" applyFill="1"/>
    <xf numFmtId="3" fontId="167" fillId="0" borderId="0" xfId="11" applyNumberFormat="1" applyFont="1" applyFill="1"/>
    <xf numFmtId="0" fontId="167" fillId="0" borderId="0" xfId="11" applyFont="1" applyFill="1" applyAlignment="1">
      <alignment vertical="center"/>
    </xf>
    <xf numFmtId="3" fontId="167" fillId="0" borderId="0" xfId="11" applyNumberFormat="1" applyFont="1" applyFill="1" applyAlignment="1">
      <alignment vertical="center"/>
    </xf>
    <xf numFmtId="0" fontId="191" fillId="0" borderId="0" xfId="8" applyNumberFormat="1" applyFont="1" applyAlignment="1"/>
    <xf numFmtId="3" fontId="103" fillId="0" borderId="0" xfId="8" applyNumberFormat="1" applyFont="1" applyAlignment="1"/>
    <xf numFmtId="167" fontId="107" fillId="0" borderId="0" xfId="8" applyNumberFormat="1" applyFont="1" applyFill="1"/>
    <xf numFmtId="0" fontId="103" fillId="0" borderId="0" xfId="8" applyFont="1" applyFill="1"/>
    <xf numFmtId="10" fontId="103" fillId="0" borderId="0" xfId="8" applyNumberFormat="1" applyFont="1" applyAlignment="1"/>
    <xf numFmtId="0" fontId="192" fillId="0" borderId="0" xfId="8" applyFont="1" applyBorder="1" applyAlignment="1">
      <alignment horizontal="center"/>
    </xf>
    <xf numFmtId="0" fontId="103" fillId="0" borderId="0" xfId="8" applyNumberFormat="1" applyFont="1" applyAlignment="1">
      <alignment horizontal="left"/>
    </xf>
    <xf numFmtId="0" fontId="103" fillId="0" borderId="0" xfId="8" applyNumberFormat="1" applyFont="1" applyAlignment="1"/>
    <xf numFmtId="3" fontId="103" fillId="0" borderId="0" xfId="8" applyNumberFormat="1" applyFont="1" applyFill="1" applyAlignment="1"/>
    <xf numFmtId="0" fontId="103" fillId="0" borderId="0" xfId="8" applyFont="1"/>
    <xf numFmtId="164" fontId="188" fillId="0" borderId="0" xfId="8" applyNumberFormat="1" applyFont="1" applyFill="1" applyAlignment="1"/>
    <xf numFmtId="3" fontId="22" fillId="0" borderId="0" xfId="0" applyNumberFormat="1" applyFont="1"/>
    <xf numFmtId="37" fontId="22" fillId="0" borderId="0" xfId="0" applyNumberFormat="1" applyFont="1"/>
    <xf numFmtId="0" fontId="22" fillId="0" borderId="0" xfId="0" applyFont="1" applyAlignment="1"/>
    <xf numFmtId="10" fontId="6" fillId="0" borderId="0" xfId="0" applyNumberFormat="1" applyFont="1" applyAlignment="1">
      <alignment horizontal="center"/>
    </xf>
    <xf numFmtId="167" fontId="6" fillId="0" borderId="2" xfId="0" applyNumberFormat="1" applyFont="1" applyBorder="1"/>
    <xf numFmtId="0" fontId="3" fillId="0" borderId="2" xfId="0" applyFont="1" applyFill="1" applyBorder="1"/>
    <xf numFmtId="164" fontId="4" fillId="0" borderId="0" xfId="0" applyNumberFormat="1" applyFont="1" applyBorder="1" applyAlignment="1">
      <alignment horizontal="right"/>
    </xf>
    <xf numFmtId="167" fontId="6" fillId="0" borderId="2" xfId="0" applyNumberFormat="1" applyFont="1" applyFill="1" applyBorder="1"/>
    <xf numFmtId="167" fontId="128" fillId="0" borderId="0" xfId="36" applyNumberFormat="1" applyFont="1" applyAlignment="1"/>
    <xf numFmtId="10" fontId="128" fillId="0" borderId="0" xfId="0" applyNumberFormat="1" applyFont="1" applyAlignment="1">
      <alignment horizontal="center"/>
    </xf>
    <xf numFmtId="44" fontId="128" fillId="0" borderId="0" xfId="3" applyFont="1" applyAlignment="1"/>
    <xf numFmtId="10" fontId="128" fillId="0" borderId="0" xfId="36" applyNumberFormat="1" applyFont="1" applyAlignment="1"/>
    <xf numFmtId="10" fontId="128" fillId="0" borderId="0" xfId="0" applyNumberFormat="1" applyFont="1" applyAlignment="1"/>
    <xf numFmtId="0" fontId="6" fillId="0" borderId="0" xfId="0" applyNumberFormat="1" applyFont="1" applyFill="1" applyAlignment="1">
      <alignment horizontal="center"/>
    </xf>
    <xf numFmtId="9" fontId="53" fillId="0" borderId="0" xfId="36" applyFont="1" applyFill="1" applyAlignment="1"/>
    <xf numFmtId="10" fontId="193" fillId="0" borderId="0" xfId="0" applyNumberFormat="1" applyFont="1" applyFill="1" applyAlignment="1"/>
    <xf numFmtId="164" fontId="6" fillId="0" borderId="2" xfId="0" applyNumberFormat="1" applyFont="1" applyFill="1" applyBorder="1" applyAlignment="1"/>
    <xf numFmtId="10" fontId="193" fillId="0" borderId="0" xfId="0" applyNumberFormat="1" applyFont="1" applyAlignment="1"/>
    <xf numFmtId="164" fontId="4" fillId="0" borderId="0" xfId="0" applyNumberFormat="1" applyFont="1" applyFill="1" applyBorder="1" applyAlignment="1"/>
    <xf numFmtId="165" fontId="6" fillId="0" borderId="0" xfId="0" applyNumberFormat="1" applyFont="1" applyFill="1" applyAlignment="1"/>
    <xf numFmtId="165" fontId="4" fillId="0" borderId="0" xfId="0" applyNumberFormat="1" applyFont="1" applyFill="1" applyAlignment="1"/>
    <xf numFmtId="0" fontId="6" fillId="0" borderId="0" xfId="8" applyNumberFormat="1" applyFont="1" applyFill="1" applyAlignment="1">
      <alignment horizontal="center"/>
    </xf>
    <xf numFmtId="10" fontId="6" fillId="0" borderId="0" xfId="8" applyNumberFormat="1" applyFont="1" applyFill="1" applyAlignment="1">
      <alignment horizontal="center"/>
    </xf>
    <xf numFmtId="3" fontId="6" fillId="0" borderId="0" xfId="8" applyNumberFormat="1" applyFont="1" applyFill="1" applyAlignment="1">
      <alignment horizontal="right"/>
    </xf>
    <xf numFmtId="3" fontId="4" fillId="0" borderId="0" xfId="8" applyNumberFormat="1" applyFont="1" applyFill="1" applyAlignment="1">
      <alignment horizontal="right"/>
    </xf>
    <xf numFmtId="10" fontId="4" fillId="0" borderId="0" xfId="8" applyNumberFormat="1" applyFont="1" applyFill="1" applyAlignment="1"/>
    <xf numFmtId="10" fontId="4" fillId="0" borderId="0" xfId="8" applyNumberFormat="1" applyFont="1" applyFill="1" applyAlignment="1">
      <alignment horizontal="right" vertical="center"/>
    </xf>
    <xf numFmtId="10" fontId="5" fillId="0" borderId="0" xfId="8" applyNumberFormat="1" applyFont="1" applyFill="1" applyAlignment="1"/>
    <xf numFmtId="164" fontId="6" fillId="0" borderId="0" xfId="8" applyNumberFormat="1" applyFont="1" applyFill="1" applyAlignment="1"/>
    <xf numFmtId="10" fontId="6" fillId="0" borderId="0" xfId="8" applyNumberFormat="1" applyFont="1" applyFill="1" applyAlignment="1">
      <alignment horizontal="right" vertical="center"/>
    </xf>
    <xf numFmtId="164" fontId="4" fillId="0" borderId="0" xfId="8" applyNumberFormat="1" applyFont="1" applyFill="1" applyBorder="1" applyAlignment="1">
      <alignment horizontal="right"/>
    </xf>
    <xf numFmtId="10" fontId="4" fillId="0" borderId="0" xfId="8" applyNumberFormat="1" applyFont="1" applyFill="1" applyBorder="1" applyAlignment="1">
      <alignment horizontal="right" vertical="center"/>
    </xf>
    <xf numFmtId="164" fontId="6" fillId="0" borderId="15" xfId="8" applyNumberFormat="1" applyFont="1" applyFill="1" applyBorder="1" applyAlignment="1"/>
    <xf numFmtId="10" fontId="6" fillId="0" borderId="15" xfId="8" applyNumberFormat="1" applyFont="1" applyFill="1" applyBorder="1" applyAlignment="1">
      <alignment horizontal="right" vertical="center"/>
    </xf>
    <xf numFmtId="0" fontId="3" fillId="0" borderId="0" xfId="25" applyFont="1" applyAlignment="1">
      <alignment horizontal="right"/>
    </xf>
    <xf numFmtId="0" fontId="16" fillId="0" borderId="0" xfId="25" applyFont="1"/>
    <xf numFmtId="0" fontId="3" fillId="0" borderId="0" xfId="25" applyFont="1" applyAlignment="1">
      <alignment horizontal="right" wrapText="1"/>
    </xf>
    <xf numFmtId="0" fontId="3" fillId="0" borderId="0" xfId="25" applyFont="1" applyAlignment="1">
      <alignment wrapText="1"/>
    </xf>
    <xf numFmtId="0" fontId="16" fillId="0" borderId="17" xfId="25" applyFont="1" applyBorder="1" applyAlignment="1">
      <alignment horizontal="centerContinuous"/>
    </xf>
    <xf numFmtId="0" fontId="16" fillId="0" borderId="16" xfId="25" applyFont="1" applyBorder="1"/>
    <xf numFmtId="0" fontId="16" fillId="0" borderId="17" xfId="25" applyFont="1" applyFill="1" applyBorder="1" applyAlignment="1">
      <alignment horizontal="centerContinuous"/>
    </xf>
    <xf numFmtId="0" fontId="16" fillId="0" borderId="1" xfId="25" applyFont="1" applyBorder="1" applyAlignment="1">
      <alignment horizontal="right"/>
    </xf>
    <xf numFmtId="167" fontId="3" fillId="0" borderId="0" xfId="25" applyNumberFormat="1" applyFont="1"/>
    <xf numFmtId="167" fontId="3" fillId="0" borderId="0" xfId="25" applyNumberFormat="1" applyFont="1" applyFill="1"/>
    <xf numFmtId="3" fontId="16" fillId="0" borderId="15" xfId="25" applyNumberFormat="1" applyFont="1" applyBorder="1" applyAlignment="1">
      <alignment horizontal="right" vertical="center"/>
    </xf>
    <xf numFmtId="167" fontId="16" fillId="0" borderId="15" xfId="25" applyNumberFormat="1" applyFont="1" applyBorder="1" applyAlignment="1">
      <alignment vertical="center"/>
    </xf>
    <xf numFmtId="0" fontId="16" fillId="0" borderId="15" xfId="25" applyFont="1" applyBorder="1" applyAlignment="1">
      <alignment vertical="center"/>
    </xf>
    <xf numFmtId="168" fontId="3" fillId="0" borderId="0" xfId="25" applyNumberFormat="1" applyFont="1"/>
    <xf numFmtId="179" fontId="3" fillId="0" borderId="0" xfId="41" applyNumberFormat="1" applyFont="1" applyAlignment="1">
      <alignment horizontal="right"/>
    </xf>
    <xf numFmtId="0" fontId="3" fillId="0" borderId="0" xfId="20" applyFont="1"/>
    <xf numFmtId="0" fontId="16" fillId="0" borderId="29" xfId="20" applyFont="1" applyBorder="1" applyAlignment="1">
      <alignment horizontal="center"/>
    </xf>
    <xf numFmtId="3" fontId="3" fillId="0" borderId="0" xfId="20" applyNumberFormat="1" applyFont="1" applyBorder="1" applyAlignment="1"/>
    <xf numFmtId="3" fontId="3" fillId="0" borderId="0" xfId="25" applyNumberFormat="1" applyFont="1" applyBorder="1" applyAlignment="1"/>
    <xf numFmtId="3" fontId="3" fillId="0" borderId="0" xfId="25" applyNumberFormat="1" applyFont="1" applyFill="1" applyBorder="1" applyAlignment="1"/>
    <xf numFmtId="169" fontId="53" fillId="0" borderId="0" xfId="36" applyNumberFormat="1" applyFont="1" applyFill="1"/>
    <xf numFmtId="3" fontId="3" fillId="0" borderId="8" xfId="14" applyNumberFormat="1" applyFont="1" applyBorder="1" applyAlignment="1" applyProtection="1">
      <alignment vertical="center"/>
    </xf>
    <xf numFmtId="167" fontId="3" fillId="0" borderId="8" xfId="14" applyNumberFormat="1" applyFont="1" applyBorder="1" applyAlignment="1" applyProtection="1">
      <alignment vertical="center"/>
    </xf>
    <xf numFmtId="167" fontId="3" fillId="0" borderId="8" xfId="14" applyNumberFormat="1" applyFont="1" applyFill="1" applyBorder="1" applyAlignment="1" applyProtection="1">
      <alignment vertical="center"/>
    </xf>
    <xf numFmtId="169" fontId="3" fillId="0" borderId="8" xfId="14" applyNumberFormat="1" applyFont="1" applyFill="1" applyBorder="1" applyAlignment="1" applyProtection="1">
      <alignment vertical="center"/>
    </xf>
    <xf numFmtId="169" fontId="3" fillId="0" borderId="0" xfId="36" applyNumberFormat="1" applyFont="1" applyAlignment="1" applyProtection="1">
      <alignment vertical="center"/>
    </xf>
    <xf numFmtId="167" fontId="16" fillId="0" borderId="8" xfId="14" applyNumberFormat="1" applyFont="1" applyBorder="1" applyProtection="1"/>
    <xf numFmtId="169" fontId="16" fillId="0" borderId="8" xfId="14" applyNumberFormat="1" applyFont="1" applyBorder="1" applyProtection="1"/>
    <xf numFmtId="167" fontId="16" fillId="0" borderId="8" xfId="14" applyNumberFormat="1" applyFont="1" applyFill="1" applyBorder="1" applyProtection="1"/>
    <xf numFmtId="37" fontId="133" fillId="0" borderId="0" xfId="14" applyNumberFormat="1" applyFont="1" applyBorder="1" applyAlignment="1" applyProtection="1">
      <alignment vertical="center"/>
    </xf>
    <xf numFmtId="9" fontId="133" fillId="0" borderId="0" xfId="14" applyNumberFormat="1" applyFont="1" applyBorder="1" applyAlignment="1" applyProtection="1">
      <alignment vertical="center"/>
    </xf>
    <xf numFmtId="5" fontId="133" fillId="0" borderId="0" xfId="14" applyNumberFormat="1" applyFont="1" applyBorder="1" applyAlignment="1" applyProtection="1">
      <alignment vertical="center"/>
    </xf>
    <xf numFmtId="37" fontId="128" fillId="0" borderId="0" xfId="14" applyNumberFormat="1" applyFont="1" applyAlignment="1" applyProtection="1">
      <alignment vertical="center"/>
    </xf>
    <xf numFmtId="39" fontId="128" fillId="0" borderId="0" xfId="14" applyNumberFormat="1" applyFont="1" applyAlignment="1" applyProtection="1">
      <alignment vertical="center"/>
    </xf>
    <xf numFmtId="174" fontId="128" fillId="0" borderId="0" xfId="14" applyNumberFormat="1" applyFont="1" applyAlignment="1" applyProtection="1">
      <alignment vertical="center"/>
    </xf>
    <xf numFmtId="37" fontId="4" fillId="0" borderId="0" xfId="16" applyNumberFormat="1" applyFont="1"/>
    <xf numFmtId="0" fontId="24" fillId="3" borderId="9" xfId="16" applyFont="1" applyFill="1" applyBorder="1" applyAlignment="1" applyProtection="1">
      <alignment horizontal="center" wrapText="1"/>
    </xf>
    <xf numFmtId="41" fontId="128" fillId="0" borderId="0" xfId="16" applyNumberFormat="1" applyFont="1" applyAlignment="1">
      <alignment vertical="center"/>
    </xf>
    <xf numFmtId="0" fontId="128" fillId="0" borderId="0" xfId="16" applyFont="1" applyAlignment="1">
      <alignment horizontal="left" vertical="center"/>
    </xf>
    <xf numFmtId="0" fontId="128" fillId="0" borderId="0" xfId="16" applyFont="1" applyAlignment="1">
      <alignment horizontal="left" vertical="center" wrapText="1"/>
    </xf>
    <xf numFmtId="0" fontId="128" fillId="0" borderId="0" xfId="16" applyFont="1"/>
    <xf numFmtId="0" fontId="3" fillId="0" borderId="0" xfId="17" applyFont="1" applyFill="1" applyAlignment="1" applyProtection="1">
      <alignment horizontal="left"/>
    </xf>
    <xf numFmtId="37" fontId="3" fillId="0" borderId="0" xfId="17" applyNumberFormat="1" applyFont="1" applyFill="1" applyAlignment="1" applyProtection="1">
      <alignment horizontal="center"/>
    </xf>
    <xf numFmtId="37" fontId="3" fillId="0" borderId="0" xfId="17" applyNumberFormat="1" applyFont="1" applyFill="1" applyAlignment="1" applyProtection="1">
      <alignment horizontal="centerContinuous"/>
    </xf>
    <xf numFmtId="5" fontId="12" fillId="0" borderId="0" xfId="17" applyNumberFormat="1" applyFont="1" applyFill="1" applyBorder="1" applyProtection="1"/>
    <xf numFmtId="175" fontId="12" fillId="0" borderId="0" xfId="27" applyNumberFormat="1" applyFont="1" applyFill="1" applyBorder="1"/>
    <xf numFmtId="37" fontId="12" fillId="0" borderId="0" xfId="17" applyNumberFormat="1" applyFont="1" applyFill="1" applyBorder="1" applyProtection="1"/>
    <xf numFmtId="37" fontId="12" fillId="0" borderId="1" xfId="27" applyNumberFormat="1" applyFont="1" applyFill="1" applyBorder="1"/>
    <xf numFmtId="37" fontId="12" fillId="0" borderId="41" xfId="17" applyNumberFormat="1" applyFont="1" applyFill="1" applyBorder="1" applyProtection="1"/>
    <xf numFmtId="0" fontId="12" fillId="0" borderId="1" xfId="17" applyFont="1" applyFill="1" applyBorder="1" applyProtection="1"/>
    <xf numFmtId="37" fontId="3" fillId="0" borderId="0" xfId="17" applyNumberFormat="1" applyFont="1" applyFill="1" applyProtection="1"/>
    <xf numFmtId="0" fontId="3" fillId="0" borderId="0" xfId="17" applyFont="1" applyFill="1" applyProtection="1"/>
    <xf numFmtId="4" fontId="3" fillId="0" borderId="0" xfId="27" applyNumberFormat="1" applyFont="1" applyFill="1"/>
    <xf numFmtId="37" fontId="12" fillId="0" borderId="0" xfId="17" applyNumberFormat="1" applyFont="1" applyFill="1" applyProtection="1"/>
    <xf numFmtId="0" fontId="12" fillId="0" borderId="0" xfId="17" applyFont="1" applyFill="1" applyProtection="1"/>
    <xf numFmtId="5" fontId="12" fillId="0" borderId="0" xfId="27" applyNumberFormat="1" applyFont="1" applyFill="1" applyBorder="1"/>
    <xf numFmtId="37" fontId="128" fillId="0" borderId="0" xfId="17" applyNumberFormat="1" applyFont="1" applyFill="1" applyAlignment="1" applyProtection="1">
      <alignment vertical="center"/>
    </xf>
    <xf numFmtId="0" fontId="128" fillId="0" borderId="0" xfId="17" applyFont="1" applyFill="1" applyAlignment="1" applyProtection="1">
      <alignment vertical="center"/>
    </xf>
    <xf numFmtId="0" fontId="128" fillId="0" borderId="0" xfId="10" applyFont="1" applyFill="1" applyAlignment="1">
      <alignment vertical="center"/>
    </xf>
    <xf numFmtId="0" fontId="128" fillId="0" borderId="0" xfId="0" applyFont="1" applyFill="1" applyAlignment="1">
      <alignment vertical="center"/>
    </xf>
    <xf numFmtId="0" fontId="128" fillId="0" borderId="0" xfId="10" applyFont="1" applyFill="1" applyBorder="1" applyAlignment="1">
      <alignment vertical="center"/>
    </xf>
    <xf numFmtId="0" fontId="128" fillId="0" borderId="0" xfId="0" applyFont="1" applyFill="1" applyBorder="1" applyAlignment="1">
      <alignment vertical="center"/>
    </xf>
    <xf numFmtId="0" fontId="3" fillId="0" borderId="0" xfId="29" applyFont="1" applyFill="1" applyAlignment="1">
      <alignment vertical="center"/>
    </xf>
    <xf numFmtId="0" fontId="3" fillId="0" borderId="15" xfId="29" applyFont="1" applyFill="1" applyBorder="1" applyAlignment="1">
      <alignment vertical="center"/>
    </xf>
    <xf numFmtId="0" fontId="16" fillId="0" borderId="15" xfId="29" applyFont="1" applyFill="1" applyBorder="1" applyAlignment="1">
      <alignment horizontal="center" vertical="center"/>
    </xf>
    <xf numFmtId="5" fontId="3" fillId="0" borderId="0" xfId="29" applyNumberFormat="1" applyFont="1" applyFill="1" applyBorder="1" applyAlignment="1"/>
    <xf numFmtId="5" fontId="3" fillId="0" borderId="0" xfId="29" applyNumberFormat="1" applyFont="1" applyFill="1" applyBorder="1" applyAlignment="1">
      <alignment horizontal="right"/>
    </xf>
    <xf numFmtId="37" fontId="3" fillId="0" borderId="0" xfId="29" applyNumberFormat="1" applyFont="1" applyFill="1" applyBorder="1" applyAlignment="1"/>
    <xf numFmtId="37" fontId="3" fillId="0" borderId="0" xfId="29" applyNumberFormat="1" applyFont="1" applyFill="1" applyBorder="1" applyAlignment="1">
      <alignment horizontal="right"/>
    </xf>
    <xf numFmtId="37" fontId="3" fillId="0" borderId="0" xfId="18" applyNumberFormat="1" applyFont="1" applyFill="1" applyAlignment="1">
      <alignment horizontal="right"/>
    </xf>
    <xf numFmtId="37" fontId="3" fillId="0" borderId="41" xfId="29" applyNumberFormat="1" applyFont="1" applyFill="1" applyBorder="1" applyAlignment="1"/>
    <xf numFmtId="0" fontId="16" fillId="0" borderId="13" xfId="29" applyFont="1" applyFill="1" applyBorder="1" applyAlignment="1"/>
    <xf numFmtId="5" fontId="16" fillId="0" borderId="13" xfId="29" applyNumberFormat="1" applyFont="1" applyFill="1" applyBorder="1" applyAlignment="1"/>
    <xf numFmtId="5" fontId="16" fillId="0" borderId="0" xfId="29" applyNumberFormat="1" applyFont="1" applyFill="1" applyBorder="1" applyAlignment="1"/>
    <xf numFmtId="5" fontId="3" fillId="0" borderId="0" xfId="18" applyNumberFormat="1" applyFont="1" applyFill="1"/>
    <xf numFmtId="37" fontId="3" fillId="0" borderId="0" xfId="29" applyNumberFormat="1" applyFont="1" applyFill="1"/>
    <xf numFmtId="37" fontId="3" fillId="0" borderId="0" xfId="18" applyNumberFormat="1" applyFont="1" applyFill="1"/>
    <xf numFmtId="0" fontId="16" fillId="0" borderId="15" xfId="29" applyFont="1" applyFill="1" applyBorder="1" applyAlignment="1">
      <alignment vertical="center"/>
    </xf>
    <xf numFmtId="5" fontId="16" fillId="0" borderId="15" xfId="29" applyNumberFormat="1" applyFont="1" applyFill="1" applyBorder="1" applyAlignment="1">
      <alignment vertical="center"/>
    </xf>
    <xf numFmtId="0" fontId="16" fillId="0" borderId="0" xfId="30" applyFont="1" applyFill="1" applyAlignment="1">
      <alignment horizontal="centerContinuous"/>
    </xf>
    <xf numFmtId="0" fontId="3" fillId="0" borderId="0" xfId="30" applyFont="1" applyFill="1"/>
    <xf numFmtId="0" fontId="3" fillId="0" borderId="0" xfId="30" applyFont="1" applyFill="1" applyAlignment="1">
      <alignment horizontal="centerContinuous"/>
    </xf>
    <xf numFmtId="0" fontId="3" fillId="0" borderId="0" xfId="30" applyFont="1" applyFill="1" applyAlignment="1">
      <alignment horizontal="left"/>
    </xf>
    <xf numFmtId="0" fontId="16" fillId="0" borderId="19" xfId="30" applyFont="1" applyFill="1" applyBorder="1" applyAlignment="1">
      <alignment horizontal="center"/>
    </xf>
    <xf numFmtId="0" fontId="16" fillId="0" borderId="0" xfId="30" applyFont="1" applyFill="1" applyBorder="1" applyAlignment="1">
      <alignment horizontal="center"/>
    </xf>
    <xf numFmtId="0" fontId="3" fillId="0" borderId="0" xfId="29" applyFont="1" applyFill="1" applyBorder="1"/>
    <xf numFmtId="167" fontId="3" fillId="0" borderId="0" xfId="1" applyNumberFormat="1" applyFont="1" applyFill="1" applyAlignment="1">
      <alignment horizontal="center"/>
    </xf>
    <xf numFmtId="0" fontId="3" fillId="0" borderId="0" xfId="30" applyFont="1" applyFill="1" applyAlignment="1">
      <alignment horizontal="center"/>
    </xf>
    <xf numFmtId="3" fontId="3" fillId="0" borderId="0" xfId="30" applyNumberFormat="1" applyFont="1" applyFill="1"/>
    <xf numFmtId="3" fontId="3" fillId="0" borderId="0" xfId="1" applyNumberFormat="1" applyFont="1" applyFill="1" applyAlignment="1">
      <alignment horizontal="center"/>
    </xf>
    <xf numFmtId="0" fontId="3" fillId="0" borderId="47" xfId="0" applyFont="1" applyBorder="1" applyAlignment="1">
      <alignment horizontal="centerContinuous"/>
    </xf>
    <xf numFmtId="0" fontId="3" fillId="0" borderId="6" xfId="0" applyFont="1" applyBorder="1" applyAlignment="1">
      <alignment horizontal="centerContinuous"/>
    </xf>
    <xf numFmtId="0" fontId="3" fillId="0" borderId="50" xfId="0" applyFont="1" applyBorder="1" applyAlignment="1">
      <alignment horizontal="centerContinuous"/>
    </xf>
    <xf numFmtId="0" fontId="3" fillId="0" borderId="0" xfId="0" applyFont="1" applyBorder="1" applyAlignment="1">
      <alignment horizontal="centerContinuous"/>
    </xf>
    <xf numFmtId="10" fontId="3" fillId="0" borderId="50" xfId="36" applyNumberFormat="1" applyFont="1" applyBorder="1"/>
    <xf numFmtId="10" fontId="3" fillId="0" borderId="0" xfId="36" applyNumberFormat="1" applyFont="1" applyBorder="1"/>
    <xf numFmtId="10" fontId="3" fillId="0" borderId="50" xfId="36" applyNumberFormat="1" applyFont="1" applyBorder="1" applyAlignment="1">
      <alignment vertical="center"/>
    </xf>
    <xf numFmtId="10" fontId="3" fillId="0" borderId="0" xfId="36" applyNumberFormat="1" applyFont="1" applyBorder="1" applyAlignment="1">
      <alignment vertical="center"/>
    </xf>
    <xf numFmtId="0" fontId="3" fillId="0" borderId="0" xfId="13" applyFont="1" applyAlignment="1">
      <alignment vertical="center"/>
    </xf>
    <xf numFmtId="10" fontId="3" fillId="0" borderId="50" xfId="36" applyNumberFormat="1" applyFont="1" applyBorder="1" applyAlignment="1">
      <alignment vertical="top"/>
    </xf>
    <xf numFmtId="10" fontId="3" fillId="0" borderId="0" xfId="36" applyNumberFormat="1" applyFont="1" applyBorder="1" applyAlignment="1">
      <alignment vertical="top"/>
    </xf>
    <xf numFmtId="10" fontId="3" fillId="0" borderId="55" xfId="14" applyNumberFormat="1" applyFont="1" applyBorder="1" applyAlignment="1" applyProtection="1">
      <alignment vertical="center"/>
    </xf>
    <xf numFmtId="3" fontId="3" fillId="0" borderId="56" xfId="14" applyNumberFormat="1" applyFont="1" applyBorder="1" applyAlignment="1" applyProtection="1">
      <alignment vertical="center"/>
    </xf>
    <xf numFmtId="10" fontId="3" fillId="0" borderId="8" xfId="14" applyNumberFormat="1" applyFont="1" applyBorder="1" applyAlignment="1" applyProtection="1">
      <alignment vertical="center"/>
    </xf>
    <xf numFmtId="3" fontId="16" fillId="0" borderId="42" xfId="14" applyNumberFormat="1" applyFont="1" applyBorder="1" applyAlignment="1" applyProtection="1">
      <alignment vertical="center"/>
    </xf>
    <xf numFmtId="167" fontId="16" fillId="0" borderId="42" xfId="14" applyNumberFormat="1" applyFont="1" applyBorder="1" applyAlignment="1" applyProtection="1">
      <alignment vertical="center"/>
    </xf>
    <xf numFmtId="169" fontId="16" fillId="0" borderId="57" xfId="36" applyNumberFormat="1" applyFont="1" applyBorder="1" applyAlignment="1" applyProtection="1">
      <alignment vertical="center"/>
    </xf>
    <xf numFmtId="9" fontId="16" fillId="0" borderId="59" xfId="14" applyNumberFormat="1" applyFont="1" applyBorder="1" applyAlignment="1" applyProtection="1">
      <alignment vertical="center"/>
    </xf>
    <xf numFmtId="3" fontId="16" fillId="0" borderId="58" xfId="14" applyNumberFormat="1" applyFont="1" applyBorder="1" applyAlignment="1" applyProtection="1">
      <alignment vertical="center"/>
    </xf>
    <xf numFmtId="169" fontId="16" fillId="0" borderId="42" xfId="36" applyNumberFormat="1" applyFont="1" applyBorder="1" applyAlignment="1" applyProtection="1">
      <alignment vertical="center"/>
    </xf>
    <xf numFmtId="9" fontId="16" fillId="0" borderId="0" xfId="14" applyNumberFormat="1" applyFont="1" applyBorder="1" applyProtection="1"/>
    <xf numFmtId="0" fontId="3" fillId="0" borderId="43" xfId="13" applyFont="1" applyBorder="1"/>
    <xf numFmtId="5" fontId="3" fillId="0" borderId="0" xfId="14" applyNumberFormat="1" applyFont="1" applyFill="1" applyBorder="1" applyProtection="1"/>
    <xf numFmtId="9" fontId="3" fillId="0" borderId="0" xfId="36" applyFont="1" applyFill="1"/>
    <xf numFmtId="37" fontId="3" fillId="0" borderId="0" xfId="14" applyNumberFormat="1" applyFont="1" applyFill="1" applyBorder="1" applyProtection="1"/>
    <xf numFmtId="9" fontId="24" fillId="0" borderId="0" xfId="14" applyNumberFormat="1" applyFont="1" applyFill="1" applyBorder="1" applyProtection="1"/>
    <xf numFmtId="37" fontId="3" fillId="0" borderId="0" xfId="14" applyNumberFormat="1" applyFont="1" applyBorder="1" applyProtection="1"/>
    <xf numFmtId="37" fontId="128" fillId="0" borderId="0" xfId="14" applyNumberFormat="1" applyFont="1" applyBorder="1" applyProtection="1"/>
    <xf numFmtId="37" fontId="133" fillId="0" borderId="0" xfId="14" applyNumberFormat="1" applyFont="1" applyBorder="1" applyProtection="1"/>
    <xf numFmtId="9" fontId="133" fillId="0" borderId="0" xfId="14" applyNumberFormat="1" applyFont="1" applyBorder="1" applyProtection="1"/>
    <xf numFmtId="37" fontId="128" fillId="0" borderId="0" xfId="14" applyNumberFormat="1" applyFont="1" applyAlignment="1" applyProtection="1">
      <alignment vertical="top"/>
    </xf>
    <xf numFmtId="39" fontId="128" fillId="0" borderId="0" xfId="14" applyNumberFormat="1" applyFont="1" applyAlignment="1" applyProtection="1">
      <alignment vertical="top"/>
    </xf>
    <xf numFmtId="174" fontId="128" fillId="0" borderId="0" xfId="14" applyNumberFormat="1" applyFont="1" applyAlignment="1" applyProtection="1">
      <alignment vertical="top"/>
    </xf>
    <xf numFmtId="0" fontId="3" fillId="0" borderId="41" xfId="87" applyFont="1" applyFill="1" applyBorder="1" applyAlignment="1"/>
    <xf numFmtId="167" fontId="3" fillId="0" borderId="0" xfId="87" applyNumberFormat="1" applyFont="1" applyFill="1" applyBorder="1" applyAlignment="1"/>
    <xf numFmtId="169" fontId="53" fillId="0" borderId="0" xfId="36" applyNumberFormat="1" applyFont="1" applyFill="1" applyBorder="1" applyAlignment="1"/>
    <xf numFmtId="169" fontId="3" fillId="0" borderId="41" xfId="36" applyNumberFormat="1" applyFont="1" applyFill="1" applyBorder="1" applyAlignment="1"/>
    <xf numFmtId="168" fontId="3" fillId="0" borderId="0" xfId="87" applyNumberFormat="1" applyFont="1" applyFill="1" applyBorder="1" applyAlignment="1"/>
    <xf numFmtId="4" fontId="3" fillId="0" borderId="0" xfId="87" applyNumberFormat="1" applyFont="1" applyFill="1" applyBorder="1" applyAlignment="1"/>
    <xf numFmtId="169" fontId="3" fillId="0" borderId="0" xfId="36" applyNumberFormat="1" applyFont="1" applyFill="1" applyAlignment="1"/>
    <xf numFmtId="179" fontId="3" fillId="0" borderId="0" xfId="88" applyNumberFormat="1" applyFont="1" applyFill="1" applyAlignment="1"/>
    <xf numFmtId="2" fontId="3" fillId="0" borderId="0" xfId="87" applyNumberFormat="1" applyFont="1" applyFill="1" applyAlignment="1"/>
    <xf numFmtId="3" fontId="3" fillId="0" borderId="0" xfId="87" applyNumberFormat="1" applyFont="1" applyFill="1" applyAlignment="1"/>
    <xf numFmtId="170" fontId="3" fillId="0" borderId="0" xfId="87" applyNumberFormat="1" applyFont="1" applyFill="1" applyAlignment="1"/>
    <xf numFmtId="4" fontId="3" fillId="0" borderId="0" xfId="87" applyNumberFormat="1" applyFont="1" applyFill="1" applyAlignment="1"/>
    <xf numFmtId="167" fontId="12" fillId="0" borderId="0" xfId="87" applyNumberFormat="1" applyFont="1" applyFill="1"/>
    <xf numFmtId="9" fontId="128" fillId="0" borderId="0" xfId="36" applyFont="1" applyFill="1" applyAlignment="1">
      <alignment vertical="center"/>
    </xf>
    <xf numFmtId="167" fontId="22" fillId="0" borderId="0" xfId="91" applyNumberFormat="1" applyFont="1" applyFill="1"/>
    <xf numFmtId="167" fontId="22" fillId="0" borderId="0" xfId="91" applyNumberFormat="1" applyFont="1" applyFill="1" applyAlignment="1">
      <alignment horizontal="right" indent="1"/>
    </xf>
    <xf numFmtId="10" fontId="22" fillId="0" borderId="0" xfId="91" applyNumberFormat="1" applyFont="1" applyFill="1"/>
    <xf numFmtId="3" fontId="22" fillId="0" borderId="0" xfId="91" applyNumberFormat="1" applyFont="1" applyFill="1" applyAlignment="1">
      <alignment horizontal="right" indent="1"/>
    </xf>
    <xf numFmtId="3" fontId="22" fillId="0" borderId="0" xfId="91" applyNumberFormat="1" applyFont="1" applyFill="1" applyBorder="1"/>
    <xf numFmtId="3" fontId="22" fillId="0" borderId="0" xfId="91" applyNumberFormat="1" applyFont="1" applyFill="1" applyBorder="1" applyAlignment="1">
      <alignment horizontal="right" indent="1"/>
    </xf>
    <xf numFmtId="10" fontId="22" fillId="0" borderId="0" xfId="91" applyNumberFormat="1" applyFont="1" applyFill="1" applyBorder="1"/>
    <xf numFmtId="3" fontId="22" fillId="0" borderId="0" xfId="87" applyNumberFormat="1" applyFont="1" applyFill="1" applyBorder="1" applyAlignment="1">
      <alignment horizontal="right" indent="1"/>
    </xf>
    <xf numFmtId="10" fontId="22" fillId="0" borderId="0" xfId="87" applyNumberFormat="1" applyFont="1" applyFill="1" applyBorder="1"/>
    <xf numFmtId="3" fontId="22" fillId="0" borderId="0" xfId="87" applyNumberFormat="1" applyFont="1" applyFill="1" applyAlignment="1">
      <alignment horizontal="right" indent="1"/>
    </xf>
    <xf numFmtId="10" fontId="24" fillId="0" borderId="0" xfId="36" applyNumberFormat="1" applyFont="1" applyFill="1" applyBorder="1"/>
    <xf numFmtId="179" fontId="128" fillId="0" borderId="0" xfId="88" applyNumberFormat="1" applyFont="1" applyFill="1"/>
    <xf numFmtId="10" fontId="22" fillId="0" borderId="0" xfId="36" applyNumberFormat="1" applyFont="1" applyFill="1"/>
    <xf numFmtId="167" fontId="22" fillId="0" borderId="0" xfId="91" quotePrefix="1" applyNumberFormat="1" applyFont="1" applyFill="1" applyAlignment="1">
      <alignment horizontal="right"/>
    </xf>
    <xf numFmtId="167" fontId="22" fillId="0" borderId="0" xfId="87" applyNumberFormat="1" applyFont="1" applyFill="1" applyAlignment="1">
      <alignment horizontal="right"/>
    </xf>
    <xf numFmtId="167" fontId="22" fillId="0" borderId="0" xfId="91" quotePrefix="1" applyNumberFormat="1" applyFont="1" applyFill="1" applyBorder="1" applyAlignment="1">
      <alignment horizontal="right"/>
    </xf>
    <xf numFmtId="3" fontId="22" fillId="0" borderId="0" xfId="91" quotePrefix="1" applyNumberFormat="1" applyFont="1" applyFill="1" applyAlignment="1">
      <alignment horizontal="right"/>
    </xf>
    <xf numFmtId="3" fontId="22" fillId="0" borderId="0" xfId="87" applyNumberFormat="1" applyFont="1" applyFill="1" applyAlignment="1">
      <alignment horizontal="right"/>
    </xf>
    <xf numFmtId="3" fontId="22" fillId="0" borderId="0" xfId="91" quotePrefix="1" applyNumberFormat="1" applyFont="1" applyFill="1" applyBorder="1" applyAlignment="1">
      <alignment horizontal="right"/>
    </xf>
    <xf numFmtId="0" fontId="22" fillId="0" borderId="0" xfId="91" quotePrefix="1" applyNumberFormat="1" applyFont="1" applyFill="1" applyAlignment="1">
      <alignment horizontal="right"/>
    </xf>
    <xf numFmtId="0" fontId="22" fillId="0" borderId="0" xfId="91" applyFont="1" applyFill="1" applyAlignment="1">
      <alignment horizontal="right"/>
    </xf>
    <xf numFmtId="0" fontId="22" fillId="0" borderId="0" xfId="91" quotePrefix="1" applyNumberFormat="1" applyFont="1" applyFill="1" applyBorder="1" applyAlignment="1">
      <alignment horizontal="right"/>
    </xf>
    <xf numFmtId="3" fontId="22" fillId="0" borderId="0" xfId="91" applyNumberFormat="1" applyFont="1" applyFill="1" applyBorder="1" applyAlignment="1">
      <alignment horizontal="right"/>
    </xf>
    <xf numFmtId="3" fontId="22" fillId="0" borderId="0" xfId="91" applyNumberFormat="1" applyFont="1" applyFill="1" applyAlignment="1">
      <alignment horizontal="right"/>
    </xf>
    <xf numFmtId="167" fontId="22" fillId="0" borderId="0" xfId="91" applyNumberFormat="1" applyFont="1" applyFill="1" applyAlignment="1">
      <alignment horizontal="right"/>
    </xf>
    <xf numFmtId="0" fontId="128" fillId="0" borderId="0" xfId="87" applyFont="1" applyFill="1" applyBorder="1" applyAlignment="1">
      <alignment horizontal="left"/>
    </xf>
    <xf numFmtId="0" fontId="128" fillId="0" borderId="0" xfId="87" applyFont="1" applyFill="1" applyBorder="1" applyAlignment="1">
      <alignment horizontal="left" vertical="center"/>
    </xf>
    <xf numFmtId="167" fontId="128" fillId="0" borderId="0" xfId="87" applyNumberFormat="1" applyFont="1" applyFill="1" applyBorder="1" applyAlignment="1">
      <alignment vertical="center"/>
    </xf>
    <xf numFmtId="3" fontId="128" fillId="0" borderId="0" xfId="87" applyNumberFormat="1" applyFont="1" applyFill="1"/>
    <xf numFmtId="0" fontId="128" fillId="0" borderId="0" xfId="8" applyNumberFormat="1" applyFont="1" applyFill="1" applyAlignment="1">
      <alignment horizontal="left" vertical="center" wrapText="1"/>
    </xf>
    <xf numFmtId="0" fontId="176" fillId="0" borderId="0" xfId="10" applyFont="1" applyAlignment="1">
      <alignment horizontal="left"/>
    </xf>
    <xf numFmtId="10" fontId="6" fillId="0" borderId="0" xfId="8" applyNumberFormat="1" applyFont="1" applyFill="1" applyBorder="1" applyAlignment="1">
      <alignment horizontal="right" vertical="center"/>
    </xf>
    <xf numFmtId="9" fontId="96" fillId="37" borderId="0" xfId="8" applyNumberFormat="1" applyFont="1" applyFill="1" applyAlignment="1">
      <alignment horizontal="center" vertical="center"/>
    </xf>
    <xf numFmtId="9" fontId="96" fillId="38" borderId="0" xfId="8" applyNumberFormat="1" applyFont="1" applyFill="1" applyAlignment="1">
      <alignment horizontal="center" vertical="center"/>
    </xf>
    <xf numFmtId="9" fontId="96" fillId="39" borderId="0" xfId="8" applyNumberFormat="1" applyFont="1" applyFill="1" applyAlignment="1">
      <alignment horizontal="center" vertical="center"/>
    </xf>
    <xf numFmtId="9" fontId="96" fillId="40" borderId="0" xfId="8" applyNumberFormat="1" applyFont="1" applyFill="1" applyAlignment="1">
      <alignment horizontal="center" vertical="center"/>
    </xf>
    <xf numFmtId="10" fontId="163" fillId="0" borderId="0" xfId="8" applyNumberFormat="1" applyFont="1" applyFill="1" applyAlignment="1">
      <alignment horizontal="center"/>
    </xf>
    <xf numFmtId="10" fontId="4" fillId="0" borderId="0" xfId="0" applyNumberFormat="1" applyFont="1" applyFill="1" applyBorder="1" applyAlignment="1">
      <alignment horizontal="right"/>
    </xf>
    <xf numFmtId="10" fontId="141" fillId="0" borderId="0" xfId="9" applyNumberFormat="1" applyFont="1" applyFill="1" applyAlignment="1">
      <alignment horizontal="left"/>
    </xf>
    <xf numFmtId="169" fontId="141" fillId="0" borderId="0" xfId="9" applyNumberFormat="1" applyFont="1" applyFill="1" applyAlignment="1">
      <alignment horizontal="right"/>
    </xf>
    <xf numFmtId="10" fontId="141" fillId="0" borderId="0" xfId="9" applyNumberFormat="1" applyFont="1" applyFill="1" applyBorder="1" applyAlignment="1">
      <alignment horizontal="left"/>
    </xf>
    <xf numFmtId="10" fontId="194" fillId="0" borderId="0" xfId="9" applyNumberFormat="1" applyFont="1" applyFill="1" applyBorder="1" applyAlignment="1">
      <alignment horizontal="left"/>
    </xf>
    <xf numFmtId="169" fontId="141" fillId="0" borderId="0" xfId="9" applyNumberFormat="1" applyFont="1" applyFill="1" applyBorder="1" applyAlignment="1">
      <alignment horizontal="right"/>
    </xf>
    <xf numFmtId="10" fontId="118" fillId="0" borderId="0" xfId="0" applyNumberFormat="1" applyFont="1" applyAlignment="1"/>
    <xf numFmtId="10" fontId="141" fillId="0" borderId="0" xfId="9" applyNumberFormat="1" applyFont="1" applyFill="1" applyAlignment="1">
      <alignment horizontal="right"/>
    </xf>
    <xf numFmtId="179" fontId="3" fillId="0" borderId="0" xfId="41" applyNumberFormat="1" applyFont="1" applyAlignment="1"/>
    <xf numFmtId="3" fontId="3" fillId="0" borderId="0" xfId="25" applyNumberFormat="1" applyFont="1" applyAlignment="1">
      <alignment horizontal="right" vertical="top"/>
    </xf>
    <xf numFmtId="3" fontId="3" fillId="0" borderId="0" xfId="25" applyNumberFormat="1" applyFont="1" applyAlignment="1">
      <alignment vertical="top"/>
    </xf>
    <xf numFmtId="0" fontId="25" fillId="0" borderId="0" xfId="0" applyFont="1" applyBorder="1" applyAlignment="1">
      <alignment horizontal="center"/>
    </xf>
    <xf numFmtId="0" fontId="37" fillId="0" borderId="0" xfId="0" applyFont="1" applyBorder="1" applyAlignment="1">
      <alignment horizontal="center"/>
    </xf>
    <xf numFmtId="0" fontId="16" fillId="0" borderId="19" xfId="11" applyNumberFormat="1" applyFont="1" applyFill="1" applyBorder="1" applyAlignment="1">
      <alignment horizontal="center"/>
    </xf>
    <xf numFmtId="3" fontId="16" fillId="0" borderId="29" xfId="11" applyNumberFormat="1" applyFont="1" applyFill="1" applyBorder="1" applyAlignment="1">
      <alignment horizontal="center"/>
    </xf>
    <xf numFmtId="3" fontId="16" fillId="0" borderId="19" xfId="11" applyNumberFormat="1" applyFont="1" applyFill="1" applyBorder="1" applyAlignment="1">
      <alignment horizontal="center"/>
    </xf>
    <xf numFmtId="0" fontId="16" fillId="0" borderId="46" xfId="11" applyNumberFormat="1" applyFont="1" applyFill="1" applyBorder="1" applyAlignment="1">
      <alignment horizontal="center"/>
    </xf>
    <xf numFmtId="0" fontId="39" fillId="0" borderId="0" xfId="25" applyAlignment="1"/>
    <xf numFmtId="0" fontId="39" fillId="0" borderId="16" xfId="25" applyBorder="1" applyAlignment="1"/>
    <xf numFmtId="0" fontId="4" fillId="0" borderId="16" xfId="24" applyBorder="1" applyAlignment="1"/>
    <xf numFmtId="0" fontId="23" fillId="0" borderId="0" xfId="25" applyFont="1" applyBorder="1" applyAlignment="1"/>
    <xf numFmtId="0" fontId="4" fillId="0" borderId="0" xfId="24" applyBorder="1" applyAlignment="1"/>
    <xf numFmtId="0" fontId="3" fillId="0" borderId="0" xfId="25" applyFont="1" applyAlignment="1"/>
    <xf numFmtId="0" fontId="39" fillId="0" borderId="0" xfId="25" applyFont="1" applyAlignment="1"/>
    <xf numFmtId="0" fontId="176" fillId="0" borderId="0" xfId="21" applyFont="1" applyFill="1" applyAlignment="1">
      <alignment horizontal="left" vertical="center" wrapText="1"/>
    </xf>
    <xf numFmtId="0" fontId="177" fillId="0" borderId="0" xfId="0" applyFont="1" applyAlignment="1">
      <alignment vertical="center"/>
    </xf>
    <xf numFmtId="0" fontId="176" fillId="0" borderId="0" xfId="21" applyFont="1" applyAlignment="1">
      <alignment horizontal="left" vertical="center" wrapText="1"/>
    </xf>
    <xf numFmtId="0" fontId="176" fillId="0" borderId="0" xfId="21" applyFont="1" applyAlignment="1">
      <alignment vertical="center" wrapText="1"/>
    </xf>
    <xf numFmtId="0" fontId="179" fillId="0" borderId="0" xfId="21" applyFont="1" applyFill="1" applyAlignment="1">
      <alignment horizontal="left" vertical="center" wrapText="1"/>
    </xf>
    <xf numFmtId="0" fontId="176" fillId="0" borderId="0" xfId="26" applyFont="1" applyAlignment="1">
      <alignment wrapText="1"/>
    </xf>
    <xf numFmtId="0" fontId="176" fillId="0" borderId="0" xfId="0" applyFont="1" applyAlignment="1">
      <alignment wrapText="1"/>
    </xf>
    <xf numFmtId="0" fontId="176" fillId="0" borderId="0" xfId="14" applyFont="1" applyAlignment="1" applyProtection="1">
      <alignment horizontal="left" vertical="center" wrapText="1"/>
    </xf>
    <xf numFmtId="0" fontId="176" fillId="0" borderId="0" xfId="0" applyFont="1" applyAlignment="1">
      <alignment vertical="center" wrapText="1"/>
    </xf>
    <xf numFmtId="0" fontId="0" fillId="0" borderId="0" xfId="0" applyAlignment="1">
      <alignment vertical="center" wrapText="1"/>
    </xf>
    <xf numFmtId="0" fontId="176" fillId="0" borderId="0" xfId="14" applyFont="1" applyAlignment="1" applyProtection="1">
      <alignment vertical="center" wrapText="1"/>
    </xf>
    <xf numFmtId="0" fontId="176" fillId="0" borderId="0" xfId="14" applyFont="1" applyBorder="1" applyAlignment="1" applyProtection="1">
      <alignment vertical="center" wrapText="1"/>
    </xf>
    <xf numFmtId="0" fontId="3" fillId="0" borderId="0" xfId="0" applyNumberFormat="1" applyFont="1" applyFill="1" applyBorder="1" applyAlignment="1">
      <alignment vertical="center" wrapText="1"/>
    </xf>
    <xf numFmtId="0" fontId="3" fillId="0" borderId="0" xfId="0" applyFont="1" applyAlignment="1">
      <alignment wrapText="1"/>
    </xf>
    <xf numFmtId="0" fontId="24" fillId="0" borderId="17" xfId="16" applyFont="1" applyBorder="1" applyAlignment="1">
      <alignment horizontal="center"/>
    </xf>
    <xf numFmtId="0" fontId="24" fillId="0" borderId="17" xfId="16" applyFont="1" applyBorder="1" applyAlignment="1">
      <alignment horizontal="center" wrapText="1"/>
    </xf>
    <xf numFmtId="0" fontId="3" fillId="0" borderId="17" xfId="0" applyFont="1" applyBorder="1" applyAlignment="1">
      <alignment horizontal="center" wrapText="1"/>
    </xf>
    <xf numFmtId="0" fontId="0" fillId="0" borderId="17" xfId="0" applyBorder="1" applyAlignment="1">
      <alignment horizontal="center" wrapText="1"/>
    </xf>
    <xf numFmtId="0" fontId="158" fillId="36" borderId="0" xfId="8" applyNumberFormat="1" applyFont="1" applyFill="1" applyAlignment="1">
      <alignment horizontal="left" vertical="center" wrapText="1"/>
    </xf>
    <xf numFmtId="0" fontId="159" fillId="36" borderId="0" xfId="0" applyFont="1" applyFill="1" applyAlignment="1">
      <alignment vertical="center" wrapText="1"/>
    </xf>
    <xf numFmtId="0" fontId="176" fillId="0" borderId="0" xfId="28" applyFont="1" applyFill="1" applyAlignment="1">
      <alignment horizontal="left" vertical="center" wrapText="1"/>
    </xf>
    <xf numFmtId="0" fontId="176" fillId="0" borderId="0" xfId="0" applyFont="1" applyFill="1" applyAlignment="1">
      <alignment vertical="center" wrapText="1"/>
    </xf>
    <xf numFmtId="0" fontId="128" fillId="0" borderId="40" xfId="0" applyFont="1" applyFill="1" applyBorder="1" applyAlignment="1">
      <alignment vertical="center"/>
    </xf>
    <xf numFmtId="0" fontId="128" fillId="0" borderId="0" xfId="0" applyFont="1" applyFill="1" applyBorder="1" applyAlignment="1">
      <alignment vertical="center"/>
    </xf>
    <xf numFmtId="0" fontId="176" fillId="0" borderId="0" xfId="0" applyNumberFormat="1" applyFont="1" applyFill="1" applyBorder="1" applyAlignment="1">
      <alignment horizontal="left" vertical="top" wrapText="1"/>
    </xf>
    <xf numFmtId="0" fontId="176" fillId="0" borderId="0" xfId="0" applyNumberFormat="1" applyFont="1" applyFill="1" applyAlignment="1">
      <alignment horizontal="left" vertical="top" wrapText="1"/>
    </xf>
    <xf numFmtId="0" fontId="167" fillId="0" borderId="0" xfId="97" applyNumberFormat="1" applyFont="1" applyFill="1" applyBorder="1" applyAlignment="1">
      <alignment horizontal="left" vertical="top" wrapText="1"/>
    </xf>
    <xf numFmtId="0" fontId="167" fillId="0" borderId="0" xfId="0" applyNumberFormat="1" applyFont="1" applyAlignment="1">
      <alignment horizontal="left" vertical="top" wrapText="1"/>
    </xf>
    <xf numFmtId="0" fontId="176" fillId="0" borderId="0" xfId="0" applyNumberFormat="1" applyFont="1" applyAlignment="1">
      <alignment horizontal="left" vertical="top" wrapText="1"/>
    </xf>
    <xf numFmtId="0" fontId="176" fillId="0" borderId="0" xfId="0" applyFont="1" applyBorder="1" applyAlignment="1">
      <alignment vertical="top" wrapText="1"/>
    </xf>
    <xf numFmtId="0" fontId="176" fillId="0" borderId="0" xfId="0" applyFont="1" applyAlignment="1">
      <alignment vertical="top" wrapText="1"/>
    </xf>
    <xf numFmtId="0" fontId="176" fillId="0" borderId="0" xfId="0" applyNumberFormat="1" applyFont="1" applyAlignment="1">
      <alignment vertical="top" wrapText="1"/>
    </xf>
    <xf numFmtId="0" fontId="21" fillId="4" borderId="0" xfId="32" applyNumberFormat="1" applyFont="1" applyFill="1" applyAlignment="1">
      <alignment horizontal="left"/>
    </xf>
    <xf numFmtId="0" fontId="128" fillId="4" borderId="0" xfId="33" applyFont="1" applyFill="1" applyBorder="1" applyAlignment="1">
      <alignment horizontal="left" vertical="top" wrapText="1"/>
    </xf>
    <xf numFmtId="0" fontId="128" fillId="0" borderId="0" xfId="33" applyFont="1" applyFill="1" applyBorder="1" applyAlignment="1">
      <alignment horizontal="left" vertical="top" wrapText="1"/>
    </xf>
    <xf numFmtId="0" fontId="167" fillId="4" borderId="0" xfId="33" applyFont="1" applyFill="1" applyBorder="1" applyAlignment="1">
      <alignment horizontal="left" vertical="top" wrapText="1"/>
    </xf>
    <xf numFmtId="0" fontId="3" fillId="0" borderId="0" xfId="14" applyFont="1" applyBorder="1" applyAlignment="1" applyProtection="1">
      <alignment wrapText="1"/>
    </xf>
    <xf numFmtId="0" fontId="3" fillId="0" borderId="0" xfId="14" applyFont="1" applyAlignment="1" applyProtection="1">
      <alignment wrapText="1"/>
    </xf>
    <xf numFmtId="0" fontId="176" fillId="0" borderId="0" xfId="14" applyFont="1" applyAlignment="1" applyProtection="1">
      <alignment horizontal="left" vertical="top" wrapText="1"/>
    </xf>
    <xf numFmtId="0" fontId="177" fillId="0" borderId="0" xfId="0" applyFont="1" applyAlignment="1"/>
    <xf numFmtId="0" fontId="176" fillId="0" borderId="0" xfId="14" applyFont="1" applyAlignment="1" applyProtection="1">
      <alignment vertical="top" wrapText="1"/>
    </xf>
    <xf numFmtId="0" fontId="6" fillId="0" borderId="0" xfId="87" applyFont="1" applyFill="1" applyBorder="1" applyAlignment="1"/>
    <xf numFmtId="0" fontId="128" fillId="0" borderId="0" xfId="87" applyFont="1" applyFill="1" applyAlignment="1">
      <alignment horizontal="left"/>
    </xf>
    <xf numFmtId="0" fontId="16" fillId="0" borderId="18" xfId="10" applyFont="1" applyFill="1" applyBorder="1" applyAlignment="1"/>
    <xf numFmtId="0" fontId="22" fillId="0" borderId="0" xfId="10" applyFont="1" applyFill="1" applyAlignment="1">
      <alignment horizontal="left"/>
    </xf>
    <xf numFmtId="0" fontId="22" fillId="0" borderId="0" xfId="10" applyFont="1" applyFill="1" applyBorder="1" applyAlignment="1">
      <alignment horizontal="left"/>
    </xf>
    <xf numFmtId="0" fontId="16" fillId="0" borderId="0" xfId="10" applyFont="1" applyFill="1" applyBorder="1" applyAlignment="1">
      <alignment horizontal="left"/>
    </xf>
    <xf numFmtId="0" fontId="24" fillId="0" borderId="0" xfId="10" applyFont="1" applyFill="1" applyBorder="1" applyAlignment="1">
      <alignment horizontal="left"/>
    </xf>
    <xf numFmtId="0" fontId="24" fillId="0" borderId="0" xfId="10" applyFont="1" applyFill="1" applyBorder="1" applyAlignment="1">
      <alignment horizontal="center"/>
    </xf>
    <xf numFmtId="3" fontId="22" fillId="0" borderId="0" xfId="6" applyNumberFormat="1" applyFont="1" applyFill="1" applyBorder="1" applyAlignment="1">
      <alignment horizontal="center"/>
    </xf>
    <xf numFmtId="0" fontId="100" fillId="0" borderId="0" xfId="87" applyFont="1" applyFill="1" applyBorder="1" applyAlignment="1">
      <alignment horizontal="left"/>
    </xf>
    <xf numFmtId="0" fontId="153" fillId="0" borderId="0" xfId="87" applyFont="1" applyFill="1" applyBorder="1" applyAlignment="1">
      <alignment horizontal="center"/>
    </xf>
    <xf numFmtId="0" fontId="116" fillId="0" borderId="0" xfId="87" applyFont="1" applyFill="1" applyAlignment="1">
      <alignment horizontal="left"/>
    </xf>
    <xf numFmtId="0" fontId="116" fillId="0" borderId="0" xfId="87" applyFont="1" applyFill="1" applyBorder="1" applyAlignment="1">
      <alignment horizontal="left"/>
    </xf>
    <xf numFmtId="3" fontId="99" fillId="0" borderId="0" xfId="87" applyNumberFormat="1" applyFont="1" applyFill="1" applyAlignment="1">
      <alignment horizontal="center"/>
    </xf>
    <xf numFmtId="0" fontId="176" fillId="0" borderId="0" xfId="84" applyFont="1" applyFill="1" applyBorder="1" applyAlignment="1">
      <alignment horizontal="left" vertical="top" wrapText="1"/>
    </xf>
    <xf numFmtId="0" fontId="128" fillId="0" borderId="0" xfId="84" applyFont="1" applyFill="1" applyAlignment="1">
      <alignment vertical="top" wrapText="1"/>
    </xf>
  </cellXfs>
  <cellStyles count="113">
    <cellStyle name="20% - Accent1" xfId="59" builtinId="30" customBuiltin="1"/>
    <cellStyle name="20% - Accent1 2" xfId="99"/>
    <cellStyle name="20% - Accent2" xfId="63" builtinId="34" customBuiltin="1"/>
    <cellStyle name="20% - Accent2 2" xfId="101"/>
    <cellStyle name="20% - Accent3" xfId="67" builtinId="38" customBuiltin="1"/>
    <cellStyle name="20% - Accent3 2" xfId="103"/>
    <cellStyle name="20% - Accent4" xfId="71" builtinId="42" customBuiltin="1"/>
    <cellStyle name="20% - Accent4 2" xfId="105"/>
    <cellStyle name="20% - Accent5" xfId="75" builtinId="46" customBuiltin="1"/>
    <cellStyle name="20% - Accent5 2" xfId="107"/>
    <cellStyle name="20% - Accent6" xfId="79" builtinId="50" customBuiltin="1"/>
    <cellStyle name="20% - Accent6 2" xfId="109"/>
    <cellStyle name="40% - Accent1" xfId="60" builtinId="31" customBuiltin="1"/>
    <cellStyle name="40% - Accent1 2" xfId="100"/>
    <cellStyle name="40% - Accent2" xfId="64" builtinId="35" customBuiltin="1"/>
    <cellStyle name="40% - Accent2 2" xfId="102"/>
    <cellStyle name="40% - Accent3" xfId="68" builtinId="39" customBuiltin="1"/>
    <cellStyle name="40% - Accent3 2" xfId="104"/>
    <cellStyle name="40% - Accent4" xfId="72" builtinId="43" customBuiltin="1"/>
    <cellStyle name="40% - Accent4 2" xfId="106"/>
    <cellStyle name="40% - Accent5" xfId="76" builtinId="47" customBuiltin="1"/>
    <cellStyle name="40% - Accent5 2" xfId="108"/>
    <cellStyle name="40% - Accent6" xfId="80" builtinId="51" customBuiltin="1"/>
    <cellStyle name="40% - Accent6 2" xfId="110"/>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2 2" xfId="92"/>
    <cellStyle name="Comma 3" xfId="2"/>
    <cellStyle name="Comma 3 2" xfId="93"/>
    <cellStyle name="Comma 4" xfId="88"/>
    <cellStyle name="Currency" xfId="3" builtinId="4"/>
    <cellStyle name="Currency 2" xfId="4"/>
    <cellStyle name="Currency 2 2" xfId="94"/>
    <cellStyle name="Currency 3" xfId="5"/>
    <cellStyle name="Currency 3 2" xfId="95"/>
    <cellStyle name="Currency 4" xfId="6"/>
    <cellStyle name="Currency 4 2" xfId="90"/>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2 2 2" xfId="97"/>
    <cellStyle name="Normal 2 3" xfId="96"/>
    <cellStyle name="Normal 3" xfId="9"/>
    <cellStyle name="Normal 3 2" xfId="91"/>
    <cellStyle name="Normal 4" xfId="40"/>
    <cellStyle name="Normal 5" xfId="82"/>
    <cellStyle name="Normal 5 2" xfId="111"/>
    <cellStyle name="Normal 6" xfId="84"/>
    <cellStyle name="Normal_1998 Surveys" xfId="10"/>
    <cellStyle name="Normal_1998 Surveys 2" xfId="87"/>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Note 2 2" xfId="112"/>
    <cellStyle name="Output" xfId="51" builtinId="21" customBuiltin="1"/>
    <cellStyle name="Percent" xfId="36" builtinId="5"/>
    <cellStyle name="Percent 2" xfId="37"/>
    <cellStyle name="Percent 2 2" xfId="38"/>
    <cellStyle name="Percent 2 2 2" xfId="89"/>
    <cellStyle name="Percent 3" xfId="39"/>
    <cellStyle name="Percent 3 2" xfId="98"/>
    <cellStyle name="Title" xfId="42" builtinId="15" customBuiltin="1"/>
    <cellStyle name="Total" xfId="57" builtinId="25" customBuiltin="1"/>
    <cellStyle name="Warning Text" xfId="55" builtinId="11" customBuiltin="1"/>
  </cellStyles>
  <dxfs count="3">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CCFFFF"/>
      <color rgb="FFFFFFCC"/>
      <color rgb="FFFFFF99"/>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Revenue Collections by the Commonwealth of Virginia</a:t>
            </a:r>
          </a:p>
        </c:rich>
      </c:tx>
      <c:layout>
        <c:manualLayout>
          <c:xMode val="edge"/>
          <c:yMode val="edge"/>
          <c:x val="0.20972064703806367"/>
          <c:y val="1.507812604245893E-3"/>
        </c:manualLayout>
      </c:layout>
      <c:overlay val="0"/>
      <c:spPr>
        <a:noFill/>
        <a:ln w="25400">
          <a:noFill/>
        </a:ln>
      </c:spPr>
    </c:title>
    <c:autoTitleDeleted val="0"/>
    <c:plotArea>
      <c:layout>
        <c:manualLayout>
          <c:layoutTarget val="inner"/>
          <c:xMode val="edge"/>
          <c:yMode val="edge"/>
          <c:x val="0.24725803743665475"/>
          <c:y val="5.5840261728165107E-2"/>
          <c:w val="0.58637447619178151"/>
          <c:h val="0.87806982325483551"/>
        </c:manualLayout>
      </c:layout>
      <c:pieChart>
        <c:varyColors val="1"/>
        <c:ser>
          <c:idx val="0"/>
          <c:order val="0"/>
          <c:spPr>
            <a:solidFill>
              <a:srgbClr val="9999FF"/>
            </a:solidFill>
            <a:ln w="12700">
              <a:solidFill>
                <a:schemeClr val="bg1">
                  <a:lumMod val="65000"/>
                </a:schemeClr>
              </a:solidFill>
              <a:prstDash val="solid"/>
            </a:ln>
          </c:spPr>
          <c:explosion val="12"/>
          <c:dPt>
            <c:idx val="1"/>
            <c:bubble3D val="0"/>
            <c:explosion val="5"/>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647A-452A-B18E-897E0CE96462}"/>
              </c:ext>
            </c:extLst>
          </c:dPt>
          <c:dPt>
            <c:idx val="2"/>
            <c:bubble3D val="0"/>
            <c:explosion val="5"/>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647A-452A-B18E-897E0CE96462}"/>
              </c:ext>
            </c:extLst>
          </c:dPt>
          <c:dLbls>
            <c:dLbl>
              <c:idx val="0"/>
              <c:layout>
                <c:manualLayout>
                  <c:x val="-2.5845031574114365E-2"/>
                  <c:y val="2.264019974908821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628432806926776"/>
                      <c:h val="0.16237238260261469"/>
                    </c:manualLayout>
                  </c15:layout>
                </c:ext>
                <c:ext xmlns:c16="http://schemas.microsoft.com/office/drawing/2014/chart" uri="{C3380CC4-5D6E-409C-BE32-E72D297353CC}">
                  <c16:uniqueId val="{00000003-647A-452A-B18E-897E0CE96462}"/>
                </c:ext>
              </c:extLst>
            </c:dLbl>
            <c:dLbl>
              <c:idx val="1"/>
              <c:layout>
                <c:manualLayout>
                  <c:x val="-6.7208491946288028E-4"/>
                  <c:y val="-6.39245009880978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188930728825814"/>
                      <c:h val="0.15389927637521522"/>
                    </c:manualLayout>
                  </c15:layout>
                </c:ext>
                <c:ext xmlns:c16="http://schemas.microsoft.com/office/drawing/2014/chart" uri="{C3380CC4-5D6E-409C-BE32-E72D297353CC}">
                  <c16:uniqueId val="{00000000-647A-452A-B18E-897E0CE96462}"/>
                </c:ext>
              </c:extLst>
            </c:dLbl>
            <c:dLbl>
              <c:idx val="2"/>
              <c:layout>
                <c:manualLayout>
                  <c:x val="-0.10286959530996777"/>
                  <c:y val="5.1873437417879762E-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896896725406282"/>
                      <c:h val="0.14717525455400526"/>
                    </c:manualLayout>
                  </c15:layout>
                </c:ext>
                <c:ext xmlns:c16="http://schemas.microsoft.com/office/drawing/2014/chart" uri="{C3380CC4-5D6E-409C-BE32-E72D297353CC}">
                  <c16:uniqueId val="{00000001-647A-452A-B18E-897E0CE96462}"/>
                </c:ext>
              </c:extLst>
            </c:dLbl>
            <c:dLbl>
              <c:idx val="3"/>
              <c:layout>
                <c:manualLayout>
                  <c:x val="-8.8929696006987708E-3"/>
                  <c:y val="-5.1141496867884155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47A-452A-B18E-897E0CE96462}"/>
                </c:ext>
              </c:extLst>
            </c:dLbl>
            <c:numFmt formatCode="0.0%" sourceLinked="0"/>
            <c:spPr>
              <a:noFill/>
              <a:ln w="25400">
                <a:noFill/>
              </a:ln>
            </c:spPr>
            <c:txPr>
              <a:bodyPr/>
              <a:lstStyle/>
              <a:p>
                <a:pPr>
                  <a:defRPr sz="10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(RevExp!$M$11:$M$12,RevExp!$M$16:$M$17)</c:f>
              <c:strCache>
                <c:ptCount val="4"/>
                <c:pt idx="0">
                  <c:v>General Fund (TAX)</c:v>
                </c:pt>
                <c:pt idx="1">
                  <c:v>Non-General Fund (TAX)</c:v>
                </c:pt>
                <c:pt idx="2">
                  <c:v>General Fund (Other Agencies)</c:v>
                </c:pt>
                <c:pt idx="3">
                  <c:v>Non-General Fund (Other Agencies)</c:v>
                </c:pt>
              </c:strCache>
            </c:strRef>
          </c:cat>
          <c:val>
            <c:numRef>
              <c:f>(RevExp!$N$11:$N$12,RevExp!$N$16:$N$17)</c:f>
              <c:numCache>
                <c:formatCode>0.0%</c:formatCode>
                <c:ptCount val="4"/>
                <c:pt idx="0">
                  <c:v>0.37270023166804994</c:v>
                </c:pt>
                <c:pt idx="1">
                  <c:v>2.2212716297893939E-2</c:v>
                </c:pt>
                <c:pt idx="2">
                  <c:v>1.4881081952406137E-2</c:v>
                </c:pt>
                <c:pt idx="3">
                  <c:v>0.59020597008164999</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828715450933188"/>
          <c:y val="6.8093790066523002E-3"/>
        </c:manualLayout>
      </c:layout>
      <c:overlay val="0"/>
      <c:spPr>
        <a:noFill/>
        <a:ln w="25400">
          <a:noFill/>
        </a:ln>
      </c:spPr>
    </c:title>
    <c:autoTitleDeleted val="0"/>
    <c:plotArea>
      <c:layout>
        <c:manualLayout>
          <c:layoutTarget val="inner"/>
          <c:xMode val="edge"/>
          <c:yMode val="edge"/>
          <c:x val="0.10279029337810965"/>
          <c:y val="9.1568963086775298E-2"/>
          <c:w val="0.87187598319192328"/>
          <c:h val="0.7878735084419356"/>
        </c:manualLayout>
      </c:layout>
      <c:barChart>
        <c:barDir val="col"/>
        <c:grouping val="clustered"/>
        <c:varyColors val="0"/>
        <c:ser>
          <c:idx val="0"/>
          <c:order val="0"/>
          <c:tx>
            <c:strRef>
              <c:f>'2.1'!$D$4</c:f>
              <c:strCache>
                <c:ptCount val="1"/>
                <c:pt idx="0">
                  <c:v>Amount</c:v>
                </c:pt>
              </c:strCache>
            </c:strRef>
          </c:tx>
          <c:spPr>
            <a:solidFill>
              <a:srgbClr val="9999FF"/>
            </a:solidFill>
            <a:ln w="12700">
              <a:solidFill>
                <a:schemeClr val="bg1">
                  <a:lumMod val="65000"/>
                </a:schemeClr>
              </a:solidFill>
              <a:prstDash val="solid"/>
            </a:ln>
          </c:spPr>
          <c:invertIfNegative val="0"/>
          <c:dLbls>
            <c:numFmt formatCode="&quot;$&quot;#,##0_);\(&quot;$&quot;#,##0\)" sourceLinked="0"/>
            <c:spPr>
              <a:solidFill>
                <a:schemeClr val="bg1"/>
              </a:solidFill>
              <a:ln>
                <a:noFill/>
              </a:ln>
              <a:effectLst/>
            </c:spPr>
            <c:txPr>
              <a:bodyPr wrap="square" lIns="38100" tIns="19050" rIns="38100" bIns="19050" anchor="ctr">
                <a:spAutoFit/>
              </a:bodyPr>
              <a:lstStyle/>
              <a:p>
                <a:pPr>
                  <a:defRPr sz="105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'2.1'!$A$7:$A$17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'2.1'!$D$7:$D$17</c:f>
              <c:numCache>
                <c:formatCode>#,##0</c:formatCode>
                <c:ptCount val="11"/>
                <c:pt idx="0">
                  <c:v>859922839.54999995</c:v>
                </c:pt>
                <c:pt idx="1">
                  <c:v>796728154.4000001</c:v>
                </c:pt>
                <c:pt idx="2">
                  <c:v>757490742.09000015</c:v>
                </c:pt>
                <c:pt idx="3">
                  <c:v>831906887.15999985</c:v>
                </c:pt>
                <c:pt idx="4">
                  <c:v>764948013.7700001</c:v>
                </c:pt>
                <c:pt idx="5">
                  <c:v>826960822.31000006</c:v>
                </c:pt>
                <c:pt idx="6">
                  <c:v>861897138.17999983</c:v>
                </c:pt>
                <c:pt idx="7">
                  <c:v>943390660.94999993</c:v>
                </c:pt>
                <c:pt idx="8">
                  <c:v>1011649618.0699999</c:v>
                </c:pt>
                <c:pt idx="9">
                  <c:v>1515692110.6500001</c:v>
                </c:pt>
                <c:pt idx="10">
                  <c:v>1978697205.29</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75"/>
        <c:axId val="80448512"/>
        <c:axId val="80454784"/>
      </c:bar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4052440180252644"/>
              <c:y val="0.9441131495391720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454784"/>
        <c:crosses val="autoZero"/>
        <c:auto val="1"/>
        <c:lblAlgn val="ctr"/>
        <c:lblOffset val="100"/>
        <c:noMultiLvlLbl val="0"/>
      </c:catAx>
      <c:valAx>
        <c:axId val="80454784"/>
        <c:scaling>
          <c:orientation val="minMax"/>
          <c:max val="2200000000"/>
          <c:min val="0"/>
        </c:scaling>
        <c:delete val="0"/>
        <c:axPos val="l"/>
        <c:majorGridlines>
          <c:spPr>
            <a:ln w="3175">
              <a:solidFill>
                <a:schemeClr val="bg1">
                  <a:lumMod val="7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4.1463892852922511E-3"/>
              <c:y val="0.16583657221875397"/>
            </c:manualLayout>
          </c:layout>
          <c:overlay val="0"/>
          <c:spPr>
            <a:noFill/>
            <a:ln w="25400">
              <a:noFill/>
            </a:ln>
          </c:spPr>
        </c:title>
        <c:numFmt formatCode="#,##0" sourceLinked="1"/>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solidFill>
          <a:srgbClr val="FFFFFF"/>
        </a:solidFill>
        <a:ln w="12700">
          <a:solidFill>
            <a:schemeClr val="bg1">
              <a:lumMod val="85000"/>
            </a:schemeClr>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8435523938572721"/>
          <c:y val="2.5778014032212969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numRef>
              <c:f>'4.1'!$A$8:$A$17</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'4.1'!$P$8:$P$17</c:f>
              <c:numCache>
                <c:formatCode>_(* #,##0_);_(* \(#,##0\);_(* "-"_);_(@_)</c:formatCode>
                <c:ptCount val="10"/>
                <c:pt idx="0">
                  <c:v>5052117000</c:v>
                </c:pt>
                <c:pt idx="1">
                  <c:v>5594644000</c:v>
                </c:pt>
                <c:pt idx="2">
                  <c:v>6102277000</c:v>
                </c:pt>
                <c:pt idx="3">
                  <c:v>6204518000</c:v>
                </c:pt>
                <c:pt idx="4">
                  <c:v>6337800000</c:v>
                </c:pt>
                <c:pt idx="5">
                  <c:v>6515598000</c:v>
                </c:pt>
                <c:pt idx="6">
                  <c:v>6776635000</c:v>
                </c:pt>
                <c:pt idx="7">
                  <c:v>7029632000</c:v>
                </c:pt>
                <c:pt idx="8">
                  <c:v>7935765000</c:v>
                </c:pt>
                <c:pt idx="9">
                  <c:v>8810274000</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2271029323581742"/>
          <c:y val="2.5777011062337383E-3"/>
        </c:manualLayout>
      </c:layout>
      <c:overlay val="0"/>
      <c:spPr>
        <a:noFill/>
        <a:ln w="25400">
          <a:noFill/>
        </a:ln>
      </c:spPr>
    </c:title>
    <c:autoTitleDeleted val="0"/>
    <c:plotArea>
      <c:layout>
        <c:manualLayout>
          <c:layoutTarget val="inner"/>
          <c:xMode val="edge"/>
          <c:yMode val="edge"/>
          <c:x val="8.6518164630170286E-2"/>
          <c:y val="9.2927619405491879E-2"/>
          <c:w val="0.90718655486416255"/>
          <c:h val="0.78597707824482899"/>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'4.1_v1'!$A$7:$A$16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'4.1_v1'!$N$7:$N$16</c:f>
              <c:numCache>
                <c:formatCode>#,##0_);\(#,##0\)</c:formatCode>
                <c:ptCount val="10"/>
                <c:pt idx="0">
                  <c:v>4891193000</c:v>
                </c:pt>
                <c:pt idx="1">
                  <c:v>5052117000</c:v>
                </c:pt>
                <c:pt idx="2">
                  <c:v>5594644000</c:v>
                </c:pt>
                <c:pt idx="3">
                  <c:v>6102277000</c:v>
                </c:pt>
                <c:pt idx="4">
                  <c:v>6204518000</c:v>
                </c:pt>
                <c:pt idx="5">
                  <c:v>6340303000</c:v>
                </c:pt>
                <c:pt idx="6">
                  <c:v>6519121000</c:v>
                </c:pt>
                <c:pt idx="7">
                  <c:v>6776640000</c:v>
                </c:pt>
                <c:pt idx="8">
                  <c:v>7029639000</c:v>
                </c:pt>
                <c:pt idx="9">
                  <c:v>7933076000</c:v>
                </c:pt>
              </c:numCache>
            </c:numRef>
          </c:val>
          <c:extLst>
            <c:ext xmlns:c16="http://schemas.microsoft.com/office/drawing/2014/chart" uri="{C3380CC4-5D6E-409C-BE32-E72D297353CC}">
              <c16:uniqueId val="{00000000-E1F1-41B5-A510-4D5DAE2AFBA2}"/>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8435523938572721"/>
          <c:y val="2.5778014032212969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'4.1k'!$A$7:$A$16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'4.1k'!$P$7:$P$16</c:f>
              <c:numCache>
                <c:formatCode>_(* #,##0_);_(* \(#,##0\);_(* "-"_);_(@_)</c:formatCode>
                <c:ptCount val="10"/>
                <c:pt idx="0" formatCode="_(&quot;$&quot;* #,##0_);_(&quot;$&quot;* \(#,##0\);_(&quot;$&quot;* &quot;-&quot;_);_(@_)">
                  <c:v>4891193000</c:v>
                </c:pt>
                <c:pt idx="1">
                  <c:v>5052117000</c:v>
                </c:pt>
                <c:pt idx="2">
                  <c:v>5594644000</c:v>
                </c:pt>
                <c:pt idx="3">
                  <c:v>6102277000</c:v>
                </c:pt>
                <c:pt idx="4">
                  <c:v>6204518000</c:v>
                </c:pt>
                <c:pt idx="5">
                  <c:v>6340303000</c:v>
                </c:pt>
                <c:pt idx="6">
                  <c:v>6519121000</c:v>
                </c:pt>
                <c:pt idx="7">
                  <c:v>6776640000</c:v>
                </c:pt>
                <c:pt idx="8">
                  <c:v>7029640000</c:v>
                </c:pt>
                <c:pt idx="9">
                  <c:v>7937850000</c:v>
                </c:pt>
              </c:numCache>
            </c:numRef>
          </c:val>
          <c:extLst>
            <c:ext xmlns:c16="http://schemas.microsoft.com/office/drawing/2014/chart" uri="{C3380CC4-5D6E-409C-BE32-E72D297353CC}">
              <c16:uniqueId val="{00000000-8263-41DC-8F68-CAC6169C00C0}"/>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51077760526"/>
          <c:y val="8.8005979612613885E-3"/>
        </c:manualLayout>
      </c:layout>
      <c:overlay val="0"/>
      <c:spPr>
        <a:noFill/>
        <a:ln w="25400">
          <a:noFill/>
        </a:ln>
      </c:spPr>
    </c:title>
    <c:autoTitleDeleted val="0"/>
    <c:plotArea>
      <c:layout>
        <c:manualLayout>
          <c:layoutTarget val="inner"/>
          <c:xMode val="edge"/>
          <c:yMode val="edge"/>
          <c:x val="0.1042419717623686"/>
          <c:y val="0.127162132556671"/>
          <c:w val="0.8892856653263862"/>
          <c:h val="0.7081261732627121"/>
        </c:manualLayout>
      </c:layout>
      <c:barChart>
        <c:barDir val="col"/>
        <c:grouping val="clustered"/>
        <c:varyColors val="0"/>
        <c:ser>
          <c:idx val="0"/>
          <c:order val="0"/>
          <c:spPr>
            <a:solidFill>
              <a:srgbClr val="9999FF"/>
            </a:solidFill>
            <a:ln w="12700">
              <a:noFill/>
              <a:prstDash val="solid"/>
            </a:ln>
          </c:spPr>
          <c:invertIfNegative val="0"/>
          <c:dLbls>
            <c:numFmt formatCode="&quot;$&quot;#,##0.0" sourceLinked="0"/>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'5.3-5.4'!$A$35:$A$40</c:f>
              <c:numCache>
                <c:formatCode>General</c:formatCode>
                <c:ptCount val="6"/>
                <c:pt idx="0">
                  <c:v>2017</c:v>
                </c:pt>
                <c:pt idx="1">
                  <c:v>2018</c:v>
                </c:pt>
                <c:pt idx="2">
                  <c:v>2019</c:v>
                </c:pt>
                <c:pt idx="3">
                  <c:v>2020</c:v>
                </c:pt>
                <c:pt idx="4">
                  <c:v>2021</c:v>
                </c:pt>
                <c:pt idx="5">
                  <c:v>2022</c:v>
                </c:pt>
              </c:numCache>
            </c:numRef>
          </c:cat>
          <c:val>
            <c:numRef>
              <c:f>'5.3-5.4'!$B$35:$B$40</c:f>
              <c:numCache>
                <c:formatCode>#,##0</c:formatCode>
                <c:ptCount val="6"/>
                <c:pt idx="0">
                  <c:v>23068000</c:v>
                </c:pt>
                <c:pt idx="1">
                  <c:v>23724800</c:v>
                </c:pt>
                <c:pt idx="2">
                  <c:v>29641360</c:v>
                </c:pt>
                <c:pt idx="3">
                  <c:v>25949060</c:v>
                </c:pt>
                <c:pt idx="4">
                  <c:v>29336130</c:v>
                </c:pt>
                <c:pt idx="5">
                  <c:v>30170420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75"/>
        <c:axId val="86595840"/>
        <c:axId val="86606208"/>
      </c:barChart>
      <c:catAx>
        <c:axId val="865958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Fiscal Year</a:t>
                </a:r>
              </a:p>
            </c:rich>
          </c:tx>
          <c:layout>
            <c:manualLayout>
              <c:xMode val="edge"/>
              <c:yMode val="edge"/>
              <c:x val="0.45714361036328877"/>
              <c:y val="0.91889806736514723"/>
            </c:manualLayout>
          </c:layout>
          <c:overlay val="0"/>
          <c:spPr>
            <a:noFill/>
            <a:ln w="25400">
              <a:noFill/>
            </a:ln>
          </c:spPr>
        </c:title>
        <c:numFmt formatCode="#\ ?/?" sourceLinked="0"/>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noMultiLvlLbl val="0"/>
      </c:catAx>
      <c:valAx>
        <c:axId val="86606208"/>
        <c:scaling>
          <c:orientation val="minMax"/>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dispUnits>
          <c:builtInUnit val="millions"/>
          <c:dispUnitsLbl>
            <c:layout/>
          </c:dispUnitsLbl>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1.1437007874015748E-3"/>
        </c:manualLayout>
      </c:layout>
      <c:overlay val="0"/>
      <c:spPr>
        <a:noFill/>
        <a:ln>
          <a:noFill/>
        </a:ln>
        <a:effectLst/>
      </c:spPr>
    </c:title>
    <c:autoTitleDeleted val="0"/>
    <c:plotArea>
      <c:layout>
        <c:manualLayout>
          <c:layoutTarget val="inner"/>
          <c:xMode val="edge"/>
          <c:yMode val="edge"/>
          <c:x val="9.3682278385494533E-2"/>
          <c:y val="0.10802821522309713"/>
          <c:w val="0.88822986881076671"/>
          <c:h val="0.76588976377952755"/>
        </c:manualLayout>
      </c:layout>
      <c:barChart>
        <c:barDir val="col"/>
        <c:grouping val="clustered"/>
        <c:varyColors val="0"/>
        <c:ser>
          <c:idx val="0"/>
          <c:order val="0"/>
          <c:tx>
            <c:strRef>
              <c:f>'7.1'!$B$5</c:f>
              <c:strCache>
                <c:ptCount val="1"/>
                <c:pt idx="0">
                  <c:v>Amount ($)</c:v>
                </c:pt>
              </c:strCache>
            </c:strRef>
          </c:tx>
          <c:spPr>
            <a:solidFill>
              <a:srgbClr val="AFAFFF"/>
            </a:solidFill>
            <a:ln>
              <a:noFill/>
            </a:ln>
            <a:effectLst>
              <a:outerShdw blurRad="40000" dist="23000" dir="5400000" rotWithShape="0">
                <a:srgbClr val="000000">
                  <a:alpha val="35000"/>
                </a:srgbClr>
              </a:outerShdw>
            </a:effectLst>
            <a:sp3d>
              <a:contourClr>
                <a:srgbClr val="000000"/>
              </a:contourClr>
            </a:sp3d>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a:solidFill>
                        <a:schemeClr val="tx2">
                          <a:lumMod val="35000"/>
                          <a:lumOff val="65000"/>
                        </a:schemeClr>
                      </a:solidFill>
                    </a:ln>
                    <a:effectLst/>
                  </c:spPr>
                </c15:leaderLines>
              </c:ext>
            </c:extLst>
          </c:dLbls>
          <c:cat>
            <c:numRef>
              <c:f>'7.1'!$A$11:$A$21</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'7.1'!$B$11:$B$21</c:f>
              <c:numCache>
                <c:formatCode>#,##0</c:formatCode>
                <c:ptCount val="11"/>
                <c:pt idx="0">
                  <c:v>156945693.35438961</c:v>
                </c:pt>
                <c:pt idx="1">
                  <c:v>161434467.78945559</c:v>
                </c:pt>
                <c:pt idx="2">
                  <c:v>208366102.08833417</c:v>
                </c:pt>
                <c:pt idx="3">
                  <c:v>210994603.36485529</c:v>
                </c:pt>
                <c:pt idx="4">
                  <c:v>223074819.58170167</c:v>
                </c:pt>
                <c:pt idx="5">
                  <c:v>244370076.32769448</c:v>
                </c:pt>
                <c:pt idx="6">
                  <c:v>314543689.44675058</c:v>
                </c:pt>
                <c:pt idx="7">
                  <c:v>352673576.32049298</c:v>
                </c:pt>
                <c:pt idx="8">
                  <c:v>362781521.93254882</c:v>
                </c:pt>
                <c:pt idx="9">
                  <c:v>378603136.28511971</c:v>
                </c:pt>
                <c:pt idx="10">
                  <c:v>406492802.46544868</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75"/>
        <c:axId val="389499248"/>
        <c:axId val="389497936"/>
      </c:bar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aseline="0">
                    <a:solidFill>
                      <a:schemeClr val="tx1">
                        <a:lumMod val="65000"/>
                        <a:lumOff val="35000"/>
                      </a:schemeClr>
                    </a:solidFill>
                  </a:rPr>
                  <a:t>Fiscal Year</a:t>
                </a:r>
              </a:p>
            </c:rich>
          </c:tx>
          <c:layout>
            <c:manualLayout>
              <c:xMode val="edge"/>
              <c:yMode val="edge"/>
              <c:x val="0.47680126977371073"/>
              <c:y val="0.93387565616797896"/>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noMultiLvlLbl val="0"/>
      </c:catAx>
      <c:valAx>
        <c:axId val="389497936"/>
        <c:scaling>
          <c:orientation val="minMax"/>
          <c:min val="0"/>
        </c:scaling>
        <c:delete val="0"/>
        <c:axPos val="l"/>
        <c:majorGridlines>
          <c:spPr>
            <a:ln w="9525" cap="flat" cmpd="sng" algn="ctr">
              <a:solidFill>
                <a:schemeClr val="bg1">
                  <a:lumMod val="65000"/>
                </a:schemeClr>
              </a:solidFill>
              <a:prstDash val="dash"/>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Lbl>
            <c:layout>
              <c:manualLayout>
                <c:xMode val="edge"/>
                <c:yMode val="edge"/>
                <c:x val="1.6390693297570888E-3"/>
                <c:y val="0.10802810284604869"/>
              </c:manualLayout>
            </c:layout>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bg1">
              <a:lumMod val="75000"/>
            </a:schemeClr>
          </a:solid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Commonwealth of Virginia Net Revenue Collections by Fiscal Year</a:t>
            </a:r>
          </a:p>
        </c:rich>
      </c:tx>
      <c:layout>
        <c:manualLayout>
          <c:xMode val="edge"/>
          <c:yMode val="edge"/>
          <c:x val="0.12423326391124813"/>
          <c:y val="4.8182409561507008E-3"/>
        </c:manualLayout>
      </c:layout>
      <c:overlay val="0"/>
      <c:spPr>
        <a:noFill/>
        <a:ln w="25400">
          <a:noFill/>
        </a:ln>
      </c:spPr>
    </c:title>
    <c:autoTitleDeleted val="0"/>
    <c:plotArea>
      <c:layout>
        <c:manualLayout>
          <c:layoutTarget val="inner"/>
          <c:xMode val="edge"/>
          <c:yMode val="edge"/>
          <c:x val="0.10777234975752187"/>
          <c:y val="0.13564654502218987"/>
          <c:w val="0.87542087362007115"/>
          <c:h val="0.79186967685405973"/>
        </c:manualLayout>
      </c:layout>
      <c:barChart>
        <c:barDir val="col"/>
        <c:grouping val="clustered"/>
        <c:varyColors val="0"/>
        <c:ser>
          <c:idx val="0"/>
          <c:order val="0"/>
          <c:tx>
            <c:strRef>
              <c:f>RevExp!$A$6</c:f>
              <c:strCache>
                <c:ptCount val="1"/>
                <c:pt idx="0">
                  <c:v>General Fund</c:v>
                </c:pt>
              </c:strCache>
            </c:strRef>
          </c:tx>
          <c:spPr>
            <a:solidFill>
              <a:srgbClr val="9999FF"/>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RevExp!$E$3:$J$3</c:f>
              <c:strCache>
                <c:ptCount val="6"/>
                <c:pt idx="0">
                  <c:v>FY 2017</c:v>
                </c:pt>
                <c:pt idx="1">
                  <c:v>FY 2018</c:v>
                </c:pt>
                <c:pt idx="2">
                  <c:v>FY 2019</c:v>
                </c:pt>
                <c:pt idx="3">
                  <c:v>FY 2020</c:v>
                </c:pt>
                <c:pt idx="4">
                  <c:v>FY 2021</c:v>
                </c:pt>
                <c:pt idx="5">
                  <c:v>FY 2022</c:v>
                </c:pt>
              </c:strCache>
            </c:strRef>
          </c:cat>
          <c:val>
            <c:numRef>
              <c:f>RevExp!$E$6:$J$6</c:f>
              <c:numCache>
                <c:formatCode>[$$-409]#,##0</c:formatCode>
                <c:ptCount val="6"/>
                <c:pt idx="0">
                  <c:v>18839827000</c:v>
                </c:pt>
                <c:pt idx="1">
                  <c:v>20024020000</c:v>
                </c:pt>
                <c:pt idx="2">
                  <c:v>21467094000</c:v>
                </c:pt>
                <c:pt idx="3">
                  <c:v>21903571000</c:v>
                </c:pt>
                <c:pt idx="4">
                  <c:v>25083803000</c:v>
                </c:pt>
                <c:pt idx="5">
                  <c:v>29093520000</c:v>
                </c:pt>
              </c:numCache>
            </c:numRef>
          </c:val>
          <c:extLst>
            <c:ext xmlns:c16="http://schemas.microsoft.com/office/drawing/2014/chart" uri="{C3380CC4-5D6E-409C-BE32-E72D297353CC}">
              <c16:uniqueId val="{00000000-E84D-47E1-A68D-F21671D2B5FA}"/>
            </c:ext>
          </c:extLst>
        </c:ser>
        <c:ser>
          <c:idx val="1"/>
          <c:order val="1"/>
          <c:tx>
            <c:strRef>
              <c:f>RevExp!$A$7</c:f>
              <c:strCache>
                <c:ptCount val="1"/>
                <c:pt idx="0">
                  <c:v>Non-General Fund </c:v>
                </c:pt>
              </c:strCache>
            </c:strRef>
          </c:tx>
          <c:spPr>
            <a:solidFill>
              <a:srgbClr val="993366"/>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3810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RevExp!$E$3:$J$3</c:f>
              <c:strCache>
                <c:ptCount val="6"/>
                <c:pt idx="0">
                  <c:v>FY 2017</c:v>
                </c:pt>
                <c:pt idx="1">
                  <c:v>FY 2018</c:v>
                </c:pt>
                <c:pt idx="2">
                  <c:v>FY 2019</c:v>
                </c:pt>
                <c:pt idx="3">
                  <c:v>FY 2020</c:v>
                </c:pt>
                <c:pt idx="4">
                  <c:v>FY 2021</c:v>
                </c:pt>
                <c:pt idx="5">
                  <c:v>FY 2022</c:v>
                </c:pt>
              </c:strCache>
            </c:strRef>
          </c:cat>
          <c:val>
            <c:numRef>
              <c:f>RevExp!$E$7:$J$7</c:f>
              <c:numCache>
                <c:formatCode>[$$-409]#,##0</c:formatCode>
                <c:ptCount val="6"/>
                <c:pt idx="0">
                  <c:v>26073523000</c:v>
                </c:pt>
                <c:pt idx="1">
                  <c:v>27608806000</c:v>
                </c:pt>
                <c:pt idx="2">
                  <c:v>29225445000</c:v>
                </c:pt>
                <c:pt idx="3">
                  <c:v>39119584000</c:v>
                </c:pt>
                <c:pt idx="4">
                  <c:v>50027817000</c:v>
                </c:pt>
                <c:pt idx="5">
                  <c:v>45970780000</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75"/>
        <c:axId val="160050560"/>
        <c:axId val="73057408"/>
      </c:barChart>
      <c:catAx>
        <c:axId val="16005056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noMultiLvlLbl val="0"/>
      </c:catAx>
      <c:valAx>
        <c:axId val="73057408"/>
        <c:scaling>
          <c:orientation val="minMax"/>
          <c:max val="52000000000"/>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dispUnits>
          <c:builtInUnit val="billions"/>
          <c:dispUnitsLbl>
            <c:layout>
              <c:manualLayout>
                <c:xMode val="edge"/>
                <c:yMode val="edge"/>
                <c:x val="4.7245882899525525E-3"/>
                <c:y val="0.17401779154296546"/>
              </c:manualLayout>
            </c:layout>
            <c:tx>
              <c:rich>
                <a:bodyPr/>
                <a:lstStyle/>
                <a:p>
                  <a:pPr>
                    <a:defRPr/>
                  </a:pPr>
                  <a:r>
                    <a:rPr lang="en-US"/>
                    <a:t>Billions$</a:t>
                  </a:r>
                </a:p>
              </c:rich>
            </c:tx>
          </c:dispUnitsLbl>
        </c:dispUnits>
      </c:valAx>
      <c:spPr>
        <a:solidFill>
          <a:srgbClr val="FFFFFF"/>
        </a:solidFill>
        <a:ln w="25400">
          <a:noFill/>
        </a:ln>
      </c:spPr>
    </c:plotArea>
    <c:legend>
      <c:legendPos val="b"/>
      <c:layout>
        <c:manualLayout>
          <c:xMode val="edge"/>
          <c:yMode val="edge"/>
          <c:x val="0.29303875121542139"/>
          <c:y val="6.998498926567108E-2"/>
          <c:w val="0.4533146282352849"/>
          <c:h val="5.277287545846866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Collection of Revenues Administered by the Department</a:t>
            </a:r>
          </a:p>
        </c:rich>
      </c:tx>
      <c:layout>
        <c:manualLayout>
          <c:xMode val="edge"/>
          <c:yMode val="edge"/>
          <c:x val="0.16092316958657166"/>
          <c:y val="1.9712835386442612E-2"/>
        </c:manualLayout>
      </c:layout>
      <c:overlay val="0"/>
      <c:spPr>
        <a:noFill/>
        <a:ln w="25400">
          <a:noFill/>
        </a:ln>
      </c:spPr>
    </c:title>
    <c:autoTitleDeleted val="0"/>
    <c:plotArea>
      <c:layout>
        <c:manualLayout>
          <c:layoutTarget val="inner"/>
          <c:xMode val="edge"/>
          <c:yMode val="edge"/>
          <c:x val="0.25462261744129822"/>
          <c:y val="0.18404850901964925"/>
          <c:w val="0.49374452553654097"/>
          <c:h val="0.81389991033569253"/>
        </c:manualLayout>
      </c:layout>
      <c:pieChart>
        <c:varyColors val="1"/>
        <c:ser>
          <c:idx val="0"/>
          <c:order val="0"/>
          <c:tx>
            <c:strRef>
              <c:f>ByAcct!$J$4</c:f>
              <c:strCache>
                <c:ptCount val="1"/>
                <c:pt idx="0">
                  <c:v>FY 2022</c:v>
                </c:pt>
              </c:strCache>
            </c:strRef>
          </c:tx>
          <c:spPr>
            <a:solidFill>
              <a:srgbClr val="9999FF"/>
            </a:solidFill>
            <a:ln w="12700">
              <a:solidFill>
                <a:schemeClr val="bg1">
                  <a:lumMod val="65000"/>
                </a:schemeClr>
              </a:solidFill>
              <a:prstDash val="solid"/>
            </a:ln>
          </c:spPr>
          <c:explosion val="5"/>
          <c:dPt>
            <c:idx val="1"/>
            <c:bubble3D val="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ADD4-4E20-96B6-371490AA8BF6}"/>
              </c:ext>
            </c:extLst>
          </c:dPt>
          <c:dLbls>
            <c:dLbl>
              <c:idx val="0"/>
              <c:layout>
                <c:manualLayout>
                  <c:x val="-3.7002683846114645E-2"/>
                  <c:y val="3.616396556474692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ADD4-4E20-96B6-371490AA8BF6}"/>
                </c:ext>
              </c:extLst>
            </c:dLbl>
            <c:dLbl>
              <c:idx val="1"/>
              <c:layout>
                <c:manualLayout>
                  <c:x val="6.1910714519874642E-2"/>
                  <c:y val="-0.19568790473092101"/>
                </c:manualLayout>
              </c:layout>
              <c:numFmt formatCode="0%" sourceLinked="0"/>
              <c:spPr>
                <a:noFill/>
                <a:ln w="25400">
                  <a:noFill/>
                </a:ln>
              </c:spPr>
              <c:txPr>
                <a:bodyPr/>
                <a:lstStyle/>
                <a:p>
                  <a:pPr>
                    <a:defRPr sz="1200" b="0" i="0" u="none" strike="noStrike" baseline="0">
                      <a:solidFill>
                        <a:schemeClr val="bg1"/>
                      </a:solidFill>
                      <a:latin typeface="Arial Narrow" panose="020B0606020202030204" pitchFamily="34" charset="0"/>
                      <a:ea typeface="Arial"/>
                      <a:cs typeface="Arial"/>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ADD4-4E20-96B6-371490AA8BF6}"/>
                </c:ext>
              </c:extLst>
            </c:dLbl>
            <c:dLbl>
              <c:idx val="2"/>
              <c:layout>
                <c:manualLayout>
                  <c:x val="3.5148939433449364E-2"/>
                  <c:y val="3.311614523921378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ADD4-4E20-96B6-371490AA8BF6}"/>
                </c:ext>
              </c:extLst>
            </c:dLbl>
            <c:dLbl>
              <c:idx val="3"/>
              <c:layout>
                <c:manualLayout>
                  <c:x val="3.3241083212176552E-2"/>
                  <c:y val="-1.362175124215300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2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Sales and Use Tax</c:v>
              </c:pt>
              <c:pt idx="1">
                <c:v>Individual Income Tax</c:v>
              </c:pt>
              <c:pt idx="2">
                <c:v>Corporate Income Tax </c:v>
              </c:pt>
              <c:pt idx="3">
                <c:v>Other </c:v>
              </c:pt>
            </c:strLit>
          </c:cat>
          <c:val>
            <c:numRef>
              <c:f>(ByAcct!$J$13,ByAcct!$J$9,ByAcct!$J$8,ByAcct!$J$57)</c:f>
              <c:numCache>
                <c:formatCode>#,##0</c:formatCode>
                <c:ptCount val="4"/>
                <c:pt idx="0">
                  <c:v>4558082000</c:v>
                </c:pt>
                <c:pt idx="1">
                  <c:v>20324954000</c:v>
                </c:pt>
                <c:pt idx="2">
                  <c:v>1978697000</c:v>
                </c:pt>
                <c:pt idx="3" formatCode="[$$-409]#,##0">
                  <c:v>2782131000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Fiscal Year Department Net Revenue Collections Selected Tax Types</a:t>
            </a:r>
          </a:p>
        </c:rich>
      </c:tx>
      <c:layout>
        <c:manualLayout>
          <c:xMode val="edge"/>
          <c:yMode val="edge"/>
          <c:x val="0.12270029527559055"/>
          <c:y val="3.0556031296692997E-3"/>
        </c:manualLayout>
      </c:layout>
      <c:overlay val="0"/>
      <c:spPr>
        <a:noFill/>
        <a:ln w="25400">
          <a:noFill/>
        </a:ln>
      </c:spPr>
    </c:title>
    <c:autoTitleDeleted val="0"/>
    <c:plotArea>
      <c:layout>
        <c:manualLayout>
          <c:layoutTarget val="inner"/>
          <c:xMode val="edge"/>
          <c:yMode val="edge"/>
          <c:x val="0.10451771653543308"/>
          <c:y val="0.15581304359651932"/>
          <c:w val="0.86093225065616796"/>
          <c:h val="0.75493201990180581"/>
        </c:manualLayout>
      </c:layout>
      <c:barChart>
        <c:barDir val="col"/>
        <c:grouping val="clustered"/>
        <c:varyColors val="0"/>
        <c:ser>
          <c:idx val="0"/>
          <c:order val="0"/>
          <c:tx>
            <c:strRef>
              <c:f>ByAcct!$A$9</c:f>
              <c:strCache>
                <c:ptCount val="1"/>
                <c:pt idx="0">
                  <c:v>Individual Income </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ByAcct!$E$9:$J$9</c:f>
              <c:numCache>
                <c:formatCode>#,##0</c:formatCode>
                <c:ptCount val="6"/>
                <c:pt idx="0">
                  <c:v>13052887000</c:v>
                </c:pt>
                <c:pt idx="1">
                  <c:v>14105766000</c:v>
                </c:pt>
                <c:pt idx="2">
                  <c:v>15226471000</c:v>
                </c:pt>
                <c:pt idx="3">
                  <c:v>15351592000</c:v>
                </c:pt>
                <c:pt idx="4">
                  <c:v>17237352000</c:v>
                </c:pt>
                <c:pt idx="5">
                  <c:v>20324954000</c:v>
                </c:pt>
              </c:numCache>
            </c:numRef>
          </c:val>
          <c:extLst>
            <c:ext xmlns:c16="http://schemas.microsoft.com/office/drawing/2014/chart" uri="{C3380CC4-5D6E-409C-BE32-E72D297353CC}">
              <c16:uniqueId val="{00000000-203F-4211-864B-C69215DCA9F6}"/>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ByAcct!$E$13:$J$13</c:f>
              <c:numCache>
                <c:formatCode>#,##0</c:formatCode>
                <c:ptCount val="6"/>
                <c:pt idx="0">
                  <c:v>3354561000</c:v>
                </c:pt>
                <c:pt idx="1">
                  <c:v>3458249000</c:v>
                </c:pt>
                <c:pt idx="2">
                  <c:v>3580355000</c:v>
                </c:pt>
                <c:pt idx="3">
                  <c:v>3706817000</c:v>
                </c:pt>
                <c:pt idx="4">
                  <c:v>4166182000</c:v>
                </c:pt>
                <c:pt idx="5">
                  <c:v>4558082000</c:v>
                </c:pt>
              </c:numCache>
            </c:numRef>
          </c:val>
          <c:extLst>
            <c:ext xmlns:c16="http://schemas.microsoft.com/office/drawing/2014/chart" uri="{C3380CC4-5D6E-409C-BE32-E72D297353CC}">
              <c16:uniqueId val="{00000001-203F-4211-864B-C69215DCA9F6}"/>
            </c:ext>
          </c:extLst>
        </c:ser>
        <c:ser>
          <c:idx val="2"/>
          <c:order val="2"/>
          <c:tx>
            <c:strRef>
              <c:f>ByAcct!$A$8</c:f>
              <c:strCache>
                <c:ptCount val="1"/>
                <c:pt idx="0">
                  <c:v>Corporate Income Tax </c:v>
                </c:pt>
              </c:strCache>
            </c:strRef>
          </c:tx>
          <c:invertIfNegative val="0"/>
          <c:dLbls>
            <c:numFmt formatCode="#,##0.0" sourceLinked="0"/>
            <c:spPr>
              <a:noFill/>
              <a:ln>
                <a:noFill/>
              </a:ln>
              <a:effectLst/>
            </c:spPr>
            <c:txPr>
              <a:bodyPr wrap="square" lIns="38100" tIns="19050" rIns="38100" bIns="1905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ByAcct!$E$8:$J$8</c:f>
              <c:numCache>
                <c:formatCode>#,##0</c:formatCode>
                <c:ptCount val="6"/>
                <c:pt idx="0">
                  <c:v>826960822.31000006</c:v>
                </c:pt>
                <c:pt idx="1">
                  <c:v>861897138.17999983</c:v>
                </c:pt>
                <c:pt idx="2">
                  <c:v>943391000</c:v>
                </c:pt>
                <c:pt idx="3">
                  <c:v>1011650000</c:v>
                </c:pt>
                <c:pt idx="4">
                  <c:v>1515692000</c:v>
                </c:pt>
                <c:pt idx="5">
                  <c:v>1978697000</c:v>
                </c:pt>
              </c:numCache>
            </c:numRef>
          </c:val>
          <c:extLst>
            <c:ext xmlns:c16="http://schemas.microsoft.com/office/drawing/2014/chart" uri="{C3380CC4-5D6E-409C-BE32-E72D297353CC}">
              <c16:uniqueId val="{00000000-8520-436B-B821-0D30B7211317}"/>
            </c:ext>
          </c:extLst>
        </c:ser>
        <c:dLbls>
          <c:showLegendKey val="0"/>
          <c:showVal val="0"/>
          <c:showCatName val="0"/>
          <c:showSerName val="0"/>
          <c:showPercent val="0"/>
          <c:showBubbleSize val="0"/>
        </c:dLbls>
        <c:gapWidth val="7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9.4302572440513877E-3"/>
                <c:y val="0.20690803631656957"/>
              </c:manualLayout>
            </c:layout>
          </c:dispUnitsLbl>
        </c:dispUnits>
      </c:valAx>
      <c:spPr>
        <a:solidFill>
          <a:srgbClr val="FFFFFF"/>
        </a:solidFill>
        <a:ln w="25400">
          <a:noFill/>
        </a:ln>
      </c:spPr>
    </c:plotArea>
    <c:legend>
      <c:legendPos val="b"/>
      <c:layout>
        <c:manualLayout>
          <c:xMode val="edge"/>
          <c:yMode val="edge"/>
          <c:x val="0.12922048438206973"/>
          <c:y val="7.4279191628607688E-2"/>
          <c:w val="0.75608217143076761"/>
          <c:h val="6.8050114937493231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Tax Department Net Revenue Collections by Tax Types</a:t>
            </a:r>
          </a:p>
        </c:rich>
      </c:tx>
      <c:layout>
        <c:manualLayout>
          <c:xMode val="edge"/>
          <c:yMode val="edge"/>
          <c:x val="0.19732743219757962"/>
          <c:y val="3.0556701482565888E-3"/>
        </c:manualLayout>
      </c:layout>
      <c:overlay val="0"/>
      <c:spPr>
        <a:noFill/>
        <a:ln w="25400">
          <a:noFill/>
        </a:ln>
      </c:spPr>
    </c:title>
    <c:autoTitleDeleted val="0"/>
    <c:plotArea>
      <c:layout>
        <c:manualLayout>
          <c:layoutTarget val="inner"/>
          <c:xMode val="edge"/>
          <c:yMode val="edge"/>
          <c:x val="9.4433047715440685E-2"/>
          <c:y val="0.15581304359651932"/>
          <c:w val="0.87101694379590644"/>
          <c:h val="0.75493201990180581"/>
        </c:manualLayout>
      </c:layout>
      <c:barChart>
        <c:barDir val="col"/>
        <c:grouping val="clustered"/>
        <c:varyColors val="0"/>
        <c:ser>
          <c:idx val="0"/>
          <c:order val="0"/>
          <c:tx>
            <c:strRef>
              <c:f>ByAcct!$A$9</c:f>
              <c:strCache>
                <c:ptCount val="1"/>
                <c:pt idx="0">
                  <c:v>Individual Income </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ByAcct!$E$9:$J$9</c:f>
              <c:numCache>
                <c:formatCode>#,##0</c:formatCode>
                <c:ptCount val="6"/>
                <c:pt idx="0">
                  <c:v>13052887000</c:v>
                </c:pt>
                <c:pt idx="1">
                  <c:v>14105766000</c:v>
                </c:pt>
                <c:pt idx="2">
                  <c:v>15226471000</c:v>
                </c:pt>
                <c:pt idx="3">
                  <c:v>15351592000</c:v>
                </c:pt>
                <c:pt idx="4">
                  <c:v>17237352000</c:v>
                </c:pt>
                <c:pt idx="5">
                  <c:v>20324954000</c:v>
                </c:pt>
              </c:numCache>
            </c:numRef>
          </c:val>
          <c:extLst>
            <c:ext xmlns:c16="http://schemas.microsoft.com/office/drawing/2014/chart" uri="{C3380CC4-5D6E-409C-BE32-E72D297353CC}">
              <c16:uniqueId val="{00000000-95B3-4120-A17D-754F6746F1B1}"/>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ByAcct!$E$13:$J$13</c:f>
              <c:numCache>
                <c:formatCode>#,##0</c:formatCode>
                <c:ptCount val="6"/>
                <c:pt idx="0">
                  <c:v>3354561000</c:v>
                </c:pt>
                <c:pt idx="1">
                  <c:v>3458249000</c:v>
                </c:pt>
                <c:pt idx="2">
                  <c:v>3580355000</c:v>
                </c:pt>
                <c:pt idx="3">
                  <c:v>3706817000</c:v>
                </c:pt>
                <c:pt idx="4">
                  <c:v>4166182000</c:v>
                </c:pt>
                <c:pt idx="5">
                  <c:v>4558082000</c:v>
                </c:pt>
              </c:numCache>
            </c:numRef>
          </c:val>
          <c:extLst>
            <c:ext xmlns:c16="http://schemas.microsoft.com/office/drawing/2014/chart" uri="{C3380CC4-5D6E-409C-BE32-E72D297353CC}">
              <c16:uniqueId val="{00000001-95B3-4120-A17D-754F6746F1B1}"/>
            </c:ext>
          </c:extLst>
        </c:ser>
        <c:ser>
          <c:idx val="2"/>
          <c:order val="2"/>
          <c:tx>
            <c:strRef>
              <c:f>ByAcct!$A$8</c:f>
              <c:strCache>
                <c:ptCount val="1"/>
                <c:pt idx="0">
                  <c:v>Corporate Income Tax </c:v>
                </c:pt>
              </c:strCache>
            </c:strRef>
          </c:tx>
          <c:invertIfNegative val="0"/>
          <c:dLbls>
            <c:numFmt formatCode="#,##0.0" sourceLinked="0"/>
            <c:spPr>
              <a:noFill/>
              <a:ln>
                <a:noFill/>
              </a:ln>
              <a:effectLst/>
            </c:spPr>
            <c:txPr>
              <a:bodyPr wrap="square" lIns="38100" tIns="19050" rIns="38100" bIns="1905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ByAcct!$E$8:$J$8</c:f>
              <c:numCache>
                <c:formatCode>#,##0</c:formatCode>
                <c:ptCount val="6"/>
                <c:pt idx="0">
                  <c:v>826960822.31000006</c:v>
                </c:pt>
                <c:pt idx="1">
                  <c:v>861897138.17999983</c:v>
                </c:pt>
                <c:pt idx="2">
                  <c:v>943391000</c:v>
                </c:pt>
                <c:pt idx="3">
                  <c:v>1011650000</c:v>
                </c:pt>
                <c:pt idx="4">
                  <c:v>1515692000</c:v>
                </c:pt>
                <c:pt idx="5">
                  <c:v>1978697000</c:v>
                </c:pt>
              </c:numCache>
            </c:numRef>
          </c:val>
          <c:extLst>
            <c:ext xmlns:c16="http://schemas.microsoft.com/office/drawing/2014/chart" uri="{C3380CC4-5D6E-409C-BE32-E72D297353CC}">
              <c16:uniqueId val="{00000002-95B3-4120-A17D-754F6746F1B1}"/>
            </c:ext>
          </c:extLst>
        </c:ser>
        <c:ser>
          <c:idx val="3"/>
          <c:order val="3"/>
          <c:tx>
            <c:strRef>
              <c:f>ByAcct!$A$57</c:f>
              <c:strCache>
                <c:ptCount val="1"/>
                <c:pt idx="0">
                  <c:v>Other</c:v>
                </c:pt>
              </c:strCache>
            </c:strRef>
          </c:tx>
          <c:invertIfNegative val="0"/>
          <c:dLbls>
            <c:numFmt formatCode="#,##0.0" sourceLinked="0"/>
            <c:spPr>
              <a:noFill/>
              <a:ln>
                <a:noFill/>
              </a:ln>
              <a:effectLst/>
            </c:spPr>
            <c:txPr>
              <a:bodyPr wrap="square" lIns="38100" tIns="19050" rIns="38100" bIns="1905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ByAcct!$E$4:$J$4</c:f>
              <c:strCache>
                <c:ptCount val="6"/>
                <c:pt idx="0">
                  <c:v>FY 2017</c:v>
                </c:pt>
                <c:pt idx="1">
                  <c:v>FY 2018</c:v>
                </c:pt>
                <c:pt idx="2">
                  <c:v>FY 2019</c:v>
                </c:pt>
                <c:pt idx="3">
                  <c:v>FY 2020</c:v>
                </c:pt>
                <c:pt idx="4">
                  <c:v>FY 2021</c:v>
                </c:pt>
                <c:pt idx="5">
                  <c:v>FY 2022</c:v>
                </c:pt>
              </c:strCache>
            </c:strRef>
          </c:cat>
          <c:val>
            <c:numRef>
              <c:f>ByAcct!$E$57:$J$57</c:f>
              <c:numCache>
                <c:formatCode>[$$-409]#,##0</c:formatCode>
                <c:ptCount val="6"/>
                <c:pt idx="0">
                  <c:v>767401177.69000053</c:v>
                </c:pt>
                <c:pt idx="1">
                  <c:v>763035861.81999969</c:v>
                </c:pt>
                <c:pt idx="2">
                  <c:v>1625197140.2000008</c:v>
                </c:pt>
                <c:pt idx="3">
                  <c:v>2167788628.1300011</c:v>
                </c:pt>
                <c:pt idx="4">
                  <c:v>2641396000</c:v>
                </c:pt>
                <c:pt idx="5">
                  <c:v>2782131000</c:v>
                </c:pt>
              </c:numCache>
            </c:numRef>
          </c:val>
          <c:extLst>
            <c:ext xmlns:c16="http://schemas.microsoft.com/office/drawing/2014/chart" uri="{C3380CC4-5D6E-409C-BE32-E72D297353CC}">
              <c16:uniqueId val="{00000003-95B3-4120-A17D-754F6746F1B1}"/>
            </c:ext>
          </c:extLst>
        </c:ser>
        <c:dLbls>
          <c:showLegendKey val="0"/>
          <c:showVal val="0"/>
          <c:showCatName val="0"/>
          <c:showSerName val="0"/>
          <c:showPercent val="0"/>
          <c:showBubbleSize val="0"/>
        </c:dLbls>
        <c:gapWidth val="75"/>
        <c:overlap val="-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1.3624724674632072E-3"/>
                <c:y val="0.14508896247160027"/>
              </c:manualLayout>
            </c:layout>
          </c:dispUnitsLbl>
        </c:dispUnits>
      </c:valAx>
      <c:spPr>
        <a:solidFill>
          <a:srgbClr val="FFFFFF"/>
        </a:solidFill>
        <a:ln w="25400">
          <a:noFill/>
        </a:ln>
      </c:spPr>
    </c:plotArea>
    <c:legend>
      <c:legendPos val="b"/>
      <c:layout>
        <c:manualLayout>
          <c:xMode val="edge"/>
          <c:yMode val="edge"/>
          <c:x val="7.8796774343654022E-2"/>
          <c:y val="7.0415490823862698E-2"/>
          <c:w val="0.84517983477222225"/>
          <c:h val="6.8050114937493231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32321102633178872"/>
          <c:y val="9.4643869244183181E-4"/>
        </c:manualLayout>
      </c:layout>
      <c:overlay val="0"/>
      <c:spPr>
        <a:noFill/>
        <a:ln w="25400">
          <a:noFill/>
        </a:ln>
      </c:spPr>
    </c:title>
    <c:autoTitleDeleted val="0"/>
    <c:plotArea>
      <c:layout>
        <c:manualLayout>
          <c:layoutTarget val="inner"/>
          <c:xMode val="edge"/>
          <c:yMode val="edge"/>
          <c:x val="0.10923299273644924"/>
          <c:y val="9.0234297900028779E-2"/>
          <c:w val="0.87708838915048948"/>
          <c:h val="0.77058187268105927"/>
        </c:manualLayout>
      </c:layout>
      <c:barChart>
        <c:barDir val="col"/>
        <c:grouping val="clustered"/>
        <c:varyColors val="0"/>
        <c:ser>
          <c:idx val="0"/>
          <c:order val="0"/>
          <c:tx>
            <c:strRef>
              <c:f>'1.1'!$C$6</c:f>
              <c:strCache>
                <c:ptCount val="1"/>
                <c:pt idx="0">
                  <c:v>Amount</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900">
                    <a:solidFill>
                      <a:schemeClr val="tx1">
                        <a:lumMod val="75000"/>
                        <a:lumOff val="25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numRef>
              <c:f>'1.1'!$A$12:$A$22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'1.1'!$C$12:$C$22</c:f>
              <c:numCache>
                <c:formatCode>#,##0</c:formatCode>
                <c:ptCount val="11"/>
                <c:pt idx="0">
                  <c:v>9537700528</c:v>
                </c:pt>
                <c:pt idx="1">
                  <c:v>9846787045</c:v>
                </c:pt>
                <c:pt idx="2">
                  <c:v>10527113882</c:v>
                </c:pt>
                <c:pt idx="3">
                  <c:v>10586343685</c:v>
                </c:pt>
                <c:pt idx="4">
                  <c:v>11623977320</c:v>
                </c:pt>
                <c:pt idx="5">
                  <c:v>12071058964</c:v>
                </c:pt>
                <c:pt idx="6">
                  <c:v>11800977144.559999</c:v>
                </c:pt>
                <c:pt idx="7">
                  <c:v>12342418241.27</c:v>
                </c:pt>
                <c:pt idx="8">
                  <c:v>14112424787.530001</c:v>
                </c:pt>
                <c:pt idx="9">
                  <c:v>14172033140.65</c:v>
                </c:pt>
                <c:pt idx="10">
                  <c:v>14728931857.1</c:v>
                </c:pt>
              </c:numCache>
            </c:numRef>
          </c:val>
          <c:extLst>
            <c:ext xmlns:c16="http://schemas.microsoft.com/office/drawing/2014/chart" uri="{C3380CC4-5D6E-409C-BE32-E72D297353CC}">
              <c16:uniqueId val="{00000000-559C-4459-9869-AABE38F7692B}"/>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4447386360665669"/>
              <c:y val="0.9392015751443954"/>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noMultiLvlLbl val="0"/>
      </c:catAx>
      <c:valAx>
        <c:axId val="75303936"/>
        <c:scaling>
          <c:orientation val="minMax"/>
        </c:scaling>
        <c:delete val="0"/>
        <c:axPos val="l"/>
        <c:majorGridlines>
          <c:spPr>
            <a:ln w="3175">
              <a:solidFill>
                <a:schemeClr val="bg1">
                  <a:lumMod val="6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dispUnits>
          <c:builtInUnit val="billions"/>
          <c:dispUnitsLbl>
            <c:layout>
              <c:manualLayout>
                <c:xMode val="edge"/>
                <c:yMode val="edge"/>
                <c:x val="1.0655731671023301E-2"/>
                <c:y val="9.0234297900028779E-2"/>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017824297466"/>
          <c:y val="5.0859768719405375E-2"/>
          <c:w val="0.47940629745956997"/>
          <c:h val="0.77121865508816778"/>
        </c:manualLayout>
      </c:layout>
      <c:pieChart>
        <c:varyColors val="1"/>
        <c:ser>
          <c:idx val="0"/>
          <c:order val="0"/>
          <c:spPr>
            <a:solidFill>
              <a:srgbClr val="9999FF"/>
            </a:solidFill>
            <a:ln w="9525">
              <a:solidFill>
                <a:schemeClr val="bg1">
                  <a:lumMod val="50000"/>
                </a:schemeClr>
              </a:solidFill>
              <a:prstDash val="solid"/>
            </a:ln>
          </c:spPr>
          <c:dPt>
            <c:idx val="0"/>
            <c:bubble3D val="0"/>
            <c:explosion val="10"/>
            <c:extLst>
              <c:ext xmlns:c16="http://schemas.microsoft.com/office/drawing/2014/chart" uri="{C3380CC4-5D6E-409C-BE32-E72D297353CC}">
                <c16:uniqueId val="{00000001-524A-4E8F-9213-F66C938815E3}"/>
              </c:ext>
            </c:extLst>
          </c:dPt>
          <c:dPt>
            <c:idx val="1"/>
            <c:bubble3D val="0"/>
            <c:explosion val="10"/>
            <c:spPr>
              <a:solidFill>
                <a:srgbClr val="993366"/>
              </a:solidFill>
              <a:ln w="9525">
                <a:solidFill>
                  <a:schemeClr val="bg1">
                    <a:lumMod val="50000"/>
                  </a:schemeClr>
                </a:solidFill>
                <a:prstDash val="solid"/>
              </a:ln>
            </c:spPr>
            <c:extLst>
              <c:ext xmlns:c16="http://schemas.microsoft.com/office/drawing/2014/chart" uri="{C3380CC4-5D6E-409C-BE32-E72D297353CC}">
                <c16:uniqueId val="{00000003-524A-4E8F-9213-F66C938815E3}"/>
              </c:ext>
            </c:extLst>
          </c:dPt>
          <c:dPt>
            <c:idx val="2"/>
            <c:bubble3D val="0"/>
            <c:explosion val="10"/>
            <c:spPr>
              <a:solidFill>
                <a:srgbClr val="FFFFCC"/>
              </a:solidFill>
              <a:ln w="9525">
                <a:solidFill>
                  <a:schemeClr val="bg1">
                    <a:lumMod val="50000"/>
                  </a:schemeClr>
                </a:solidFill>
                <a:prstDash val="solid"/>
              </a:ln>
            </c:spPr>
            <c:extLst>
              <c:ext xmlns:c16="http://schemas.microsoft.com/office/drawing/2014/chart" uri="{C3380CC4-5D6E-409C-BE32-E72D297353CC}">
                <c16:uniqueId val="{00000005-524A-4E8F-9213-F66C938815E3}"/>
              </c:ext>
            </c:extLst>
          </c:dPt>
          <c:dLbls>
            <c:dLbl>
              <c:idx val="0"/>
              <c:layout>
                <c:manualLayout>
                  <c:x val="4.6115666669741283E-2"/>
                  <c:y val="-0.4280252425498506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24A-4E8F-9213-F66C938815E3}"/>
                </c:ext>
              </c:extLst>
            </c:dLbl>
            <c:dLbl>
              <c:idx val="1"/>
              <c:layout>
                <c:manualLayout>
                  <c:x val="-1.5231281370943558E-2"/>
                  <c:y val="-4.5705242374737602E-2"/>
                </c:manualLayout>
              </c:layout>
              <c:spPr>
                <a:noFill/>
                <a:ln w="25400">
                  <a:noFill/>
                </a:ln>
                <a:effectLst/>
              </c:spPr>
              <c:txPr>
                <a:bodyPr wrap="square" lIns="38100" tIns="19050" rIns="38100" bIns="19050" anchor="ctr">
                  <a:spAutoFit/>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524A-4E8F-9213-F66C938815E3}"/>
                </c:ext>
              </c:extLst>
            </c:dLbl>
            <c:dLbl>
              <c:idx val="2"/>
              <c:layout>
                <c:manualLayout>
                  <c:x val="-6.9420856751984311E-2"/>
                  <c:y val="-2.337850764259137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648651257599596"/>
                      <c:h val="0.25506604390495075"/>
                    </c:manualLayout>
                  </c15:layout>
                </c:ext>
                <c:ext xmlns:c16="http://schemas.microsoft.com/office/drawing/2014/chart" uri="{C3380CC4-5D6E-409C-BE32-E72D297353CC}">
                  <c16:uniqueId val="{00000005-524A-4E8F-9213-F66C938815E3}"/>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'1.3'!$D$5:$F$5</c:f>
              <c:strCache>
                <c:ptCount val="3"/>
                <c:pt idx="0">
                  <c:v>Single 
Returns</c:v>
                </c:pt>
                <c:pt idx="1">
                  <c:v>Married 
Filing Joint </c:v>
                </c:pt>
                <c:pt idx="2">
                  <c:v>Married 
Filing Separately </c:v>
                </c:pt>
              </c:strCache>
            </c:strRef>
          </c:cat>
          <c:val>
            <c:numRef>
              <c:f>'1.3'!$D$31:$F$31</c:f>
              <c:numCache>
                <c:formatCode>#,##0</c:formatCode>
                <c:ptCount val="3"/>
                <c:pt idx="0">
                  <c:v>2462598</c:v>
                </c:pt>
                <c:pt idx="1">
                  <c:v>1488020</c:v>
                </c:pt>
                <c:pt idx="2">
                  <c:v>163551</c:v>
                </c:pt>
              </c:numCache>
            </c:numRef>
          </c:val>
          <c:extLst>
            <c:ext xmlns:c16="http://schemas.microsoft.com/office/drawing/2014/chart" uri="{C3380CC4-5D6E-409C-BE32-E72D297353CC}">
              <c16:uniqueId val="{00000006-524A-4E8F-9213-F66C938815E3}"/>
            </c:ext>
          </c:extLst>
        </c:ser>
        <c:dLbls>
          <c:showLegendKey val="0"/>
          <c:showVal val="0"/>
          <c:showCatName val="1"/>
          <c:showSerName val="0"/>
          <c:showPercent val="1"/>
          <c:showBubbleSize val="0"/>
          <c:showLeaderLines val="0"/>
        </c:dLbls>
        <c:firstSliceAng val="150"/>
      </c:pieChart>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12688962450612"/>
          <c:y val="0.16681477430023781"/>
          <c:w val="0.55124181742764555"/>
          <c:h val="0.97608991365930409"/>
        </c:manualLayout>
      </c:layout>
      <c:pieChart>
        <c:varyColors val="1"/>
        <c:ser>
          <c:idx val="0"/>
          <c:order val="0"/>
          <c:spPr>
            <a:solidFill>
              <a:srgbClr val="9999FF"/>
            </a:solidFill>
            <a:ln w="9525">
              <a:solidFill>
                <a:schemeClr val="bg1">
                  <a:lumMod val="50000"/>
                </a:schemeClr>
              </a:solidFill>
              <a:prstDash val="solid"/>
            </a:ln>
          </c:spPr>
          <c:explosion val="10"/>
          <c:dPt>
            <c:idx val="1"/>
            <c:bubble3D val="0"/>
            <c:spPr>
              <a:solidFill>
                <a:srgbClr val="993366"/>
              </a:solidFill>
              <a:ln w="9525">
                <a:solidFill>
                  <a:schemeClr val="bg1">
                    <a:lumMod val="50000"/>
                  </a:schemeClr>
                </a:solidFill>
                <a:prstDash val="solid"/>
              </a:ln>
            </c:spPr>
            <c:extLst>
              <c:ext xmlns:c16="http://schemas.microsoft.com/office/drawing/2014/chart" uri="{C3380CC4-5D6E-409C-BE32-E72D297353CC}">
                <c16:uniqueId val="{00000001-CE55-47D9-B13A-2583F3984488}"/>
              </c:ext>
            </c:extLst>
          </c:dPt>
          <c:dPt>
            <c:idx val="2"/>
            <c:bubble3D val="0"/>
            <c:spPr>
              <a:solidFill>
                <a:srgbClr val="FFFFCC"/>
              </a:solidFill>
              <a:ln w="9525">
                <a:solidFill>
                  <a:schemeClr val="bg1">
                    <a:lumMod val="50000"/>
                  </a:schemeClr>
                </a:solidFill>
                <a:prstDash val="solid"/>
              </a:ln>
            </c:spPr>
            <c:extLst>
              <c:ext xmlns:c16="http://schemas.microsoft.com/office/drawing/2014/chart" uri="{C3380CC4-5D6E-409C-BE32-E72D297353CC}">
                <c16:uniqueId val="{00000003-CE55-47D9-B13A-2583F3984488}"/>
              </c:ext>
            </c:extLst>
          </c:dPt>
          <c:dPt>
            <c:idx val="3"/>
            <c:bubble3D val="0"/>
            <c:spPr>
              <a:solidFill>
                <a:srgbClr val="CCFFFF"/>
              </a:solidFill>
              <a:ln w="9525">
                <a:solidFill>
                  <a:schemeClr val="bg1">
                    <a:lumMod val="50000"/>
                  </a:schemeClr>
                </a:solidFill>
                <a:prstDash val="solid"/>
              </a:ln>
            </c:spPr>
            <c:extLst>
              <c:ext xmlns:c16="http://schemas.microsoft.com/office/drawing/2014/chart" uri="{C3380CC4-5D6E-409C-BE32-E72D297353CC}">
                <c16:uniqueId val="{00000005-CE55-47D9-B13A-2583F3984488}"/>
              </c:ext>
            </c:extLst>
          </c:dPt>
          <c:dLbls>
            <c:dLbl>
              <c:idx val="0"/>
              <c:layout>
                <c:manualLayout>
                  <c:x val="-0.15714204880052476"/>
                  <c:y val="-0.1937836453728459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CE55-47D9-B13A-2583F3984488}"/>
                </c:ext>
              </c:extLst>
            </c:dLbl>
            <c:dLbl>
              <c:idx val="1"/>
              <c:layout>
                <c:manualLayout>
                  <c:x val="-3.6545689516751342E-2"/>
                  <c:y val="-0.10660671015403218"/>
                </c:manualLayout>
              </c:layout>
              <c:numFmt formatCode="0.0%" sourceLinked="0"/>
              <c:spPr>
                <a:noFill/>
                <a:ln w="25400">
                  <a:noFill/>
                </a:ln>
                <a:effectLst/>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E55-47D9-B13A-2583F3984488}"/>
                </c:ext>
              </c:extLst>
            </c:dLbl>
            <c:dLbl>
              <c:idx val="2"/>
              <c:layout>
                <c:manualLayout>
                  <c:x val="-2.0813767997974325E-2"/>
                  <c:y val="5.5488902219556088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E55-47D9-B13A-2583F3984488}"/>
                </c:ext>
              </c:extLst>
            </c:dLbl>
            <c:dLbl>
              <c:idx val="3"/>
              <c:layout>
                <c:manualLayout>
                  <c:x val="4.1852910843091201E-2"/>
                  <c:y val="2.9937319622689636E-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E55-47D9-B13A-2583F3984488}"/>
                </c:ext>
              </c:extLst>
            </c:dLbl>
            <c:numFmt formatCode="0.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'1.4'!$E$5:$H$5</c:f>
              <c:strCache>
                <c:ptCount val="4"/>
                <c:pt idx="0">
                  <c:v>Personal</c:v>
                </c:pt>
                <c:pt idx="1">
                  <c:v>Dependent</c:v>
                </c:pt>
                <c:pt idx="2">
                  <c:v>Age</c:v>
                </c:pt>
                <c:pt idx="3">
                  <c:v>Blindness</c:v>
                </c:pt>
              </c:strCache>
            </c:strRef>
          </c:cat>
          <c:val>
            <c:numRef>
              <c:f>'1.4'!$E$31:$H$31</c:f>
              <c:numCache>
                <c:formatCode>#,##0</c:formatCode>
                <c:ptCount val="4"/>
                <c:pt idx="0">
                  <c:v>5612042</c:v>
                </c:pt>
                <c:pt idx="1">
                  <c:v>2162587</c:v>
                </c:pt>
                <c:pt idx="2">
                  <c:v>1050144</c:v>
                </c:pt>
                <c:pt idx="3">
                  <c:v>9000</c:v>
                </c:pt>
              </c:numCache>
            </c:numRef>
          </c:val>
          <c:extLst>
            <c:ext xmlns:c16="http://schemas.microsoft.com/office/drawing/2014/chart" uri="{C3380CC4-5D6E-409C-BE32-E72D297353CC}">
              <c16:uniqueId val="{00000007-CE55-47D9-B13A-2583F3984488}"/>
            </c:ext>
          </c:extLst>
        </c:ser>
        <c:dLbls>
          <c:showLegendKey val="0"/>
          <c:showVal val="0"/>
          <c:showCatName val="1"/>
          <c:showSerName val="0"/>
          <c:showPercent val="1"/>
          <c:showBubbleSize val="0"/>
          <c:showLeaderLines val="0"/>
        </c:dLbls>
        <c:firstSliceAng val="314"/>
      </c:pieChart>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57703960636"/>
          <c:y val="4.1485746924121531E-3"/>
        </c:manualLayout>
      </c:layout>
      <c:overlay val="0"/>
      <c:spPr>
        <a:noFill/>
        <a:ln w="25400">
          <a:noFill/>
        </a:ln>
      </c:spPr>
    </c:title>
    <c:autoTitleDeleted val="0"/>
    <c:plotArea>
      <c:layout>
        <c:manualLayout>
          <c:layoutTarget val="inner"/>
          <c:xMode val="edge"/>
          <c:yMode val="edge"/>
          <c:x val="0.10323210201618688"/>
          <c:y val="9.4760952808360097E-2"/>
          <c:w val="0.87008042804938779"/>
          <c:h val="0.76004204137695242"/>
        </c:manualLayout>
      </c:layout>
      <c:barChart>
        <c:barDir val="col"/>
        <c:grouping val="clustered"/>
        <c:varyColors val="0"/>
        <c:ser>
          <c:idx val="1"/>
          <c:order val="0"/>
          <c:tx>
            <c:strRef>
              <c:f>'1.8-1.9'!$C$28</c:f>
              <c:strCache>
                <c:ptCount val="1"/>
                <c:pt idx="0">
                  <c:v>Total</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38100" tIns="19050" rIns="38100" bIns="19050" anchor="ctr">
                <a:spAutoFit/>
              </a:bodyPr>
              <a:lstStyle/>
              <a:p>
                <a:pPr>
                  <a:defRPr>
                    <a:solidFill>
                      <a:schemeClr val="tx1">
                        <a:lumMod val="75000"/>
                        <a:lumOff val="2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'1.8-1.9'!$B$30:$B$40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'1.8-1.9'!$C$30:$C$40</c:f>
              <c:numCache>
                <c:formatCode>#,##0</c:formatCode>
                <c:ptCount val="11"/>
                <c:pt idx="0">
                  <c:v>18578293.82</c:v>
                </c:pt>
                <c:pt idx="1">
                  <c:v>18104923.309999999</c:v>
                </c:pt>
                <c:pt idx="2">
                  <c:v>17368776.620000001</c:v>
                </c:pt>
                <c:pt idx="3">
                  <c:v>18211926.469999999</c:v>
                </c:pt>
                <c:pt idx="4">
                  <c:v>19469019.920000002</c:v>
                </c:pt>
                <c:pt idx="5">
                  <c:v>19206043.66</c:v>
                </c:pt>
                <c:pt idx="6">
                  <c:v>16359793.289999999</c:v>
                </c:pt>
                <c:pt idx="7">
                  <c:v>17431562.34</c:v>
                </c:pt>
                <c:pt idx="8">
                  <c:v>16204019.57</c:v>
                </c:pt>
                <c:pt idx="9">
                  <c:v>17428289.379999999</c:v>
                </c:pt>
                <c:pt idx="10">
                  <c:v>18570711.949999999</c:v>
                </c:pt>
              </c:numCache>
            </c:numRef>
          </c:val>
          <c:extLst>
            <c:ext xmlns:c16="http://schemas.microsoft.com/office/drawing/2014/chart" uri="{C3380CC4-5D6E-409C-BE32-E72D297353CC}">
              <c16:uniqueId val="{00000000-9B35-46B5-9661-4A35C994072E}"/>
            </c:ext>
          </c:extLst>
        </c:ser>
        <c:dLbls>
          <c:showLegendKey val="0"/>
          <c:showVal val="0"/>
          <c:showCatName val="0"/>
          <c:showSerName val="0"/>
          <c:showPercent val="0"/>
          <c:showBubbleSize val="0"/>
        </c:dLbls>
        <c:gapWidth val="75"/>
        <c:axId val="80388096"/>
        <c:axId val="80390016"/>
      </c:bar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833272147251691"/>
              <c:y val="0.92529107436699942"/>
            </c:manualLayout>
          </c:layout>
          <c:overlay val="0"/>
          <c:spPr>
            <a:noFill/>
            <a:ln w="25400">
              <a:noFill/>
            </a:ln>
          </c:spPr>
        </c:title>
        <c:numFmt formatCode="General" sourceLinked="1"/>
        <c:majorTickMark val="out"/>
        <c:minorTickMark val="none"/>
        <c:tickLblPos val="low"/>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 val="autoZero"/>
        <c:auto val="1"/>
        <c:lblAlgn val="ctr"/>
        <c:lblOffset val="100"/>
        <c:noMultiLvlLbl val="0"/>
      </c:catAx>
      <c:valAx>
        <c:axId val="80390016"/>
        <c:scaling>
          <c:orientation val="minMax"/>
        </c:scaling>
        <c:delete val="0"/>
        <c:axPos val="l"/>
        <c:majorGridlines>
          <c:spPr>
            <a:ln w="3175">
              <a:solidFill>
                <a:schemeClr val="bg1">
                  <a:lumMod val="50000"/>
                </a:schemeClr>
              </a:solidFill>
              <a:prstDash val="dash"/>
            </a:ln>
          </c:spPr>
        </c:majorGridlines>
        <c:numFmt formatCode="&quot;$&quot;#,##0" sourceLinked="0"/>
        <c:majorTickMark val="out"/>
        <c:minorTickMark val="none"/>
        <c:tickLblPos val="nextTo"/>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dispUnits>
          <c:builtInUnit val="millions"/>
          <c:dispUnitsLbl>
            <c:layout>
              <c:manualLayout>
                <c:xMode val="edge"/>
                <c:yMode val="edge"/>
                <c:x val="7.4052037707505215E-3"/>
                <c:y val="0.19345327947996141"/>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14</xdr:col>
      <xdr:colOff>342196</xdr:colOff>
      <xdr:row>23</xdr:row>
      <xdr:rowOff>84666</xdr:rowOff>
    </xdr:from>
    <xdr:to>
      <xdr:col>20</xdr:col>
      <xdr:colOff>513645</xdr:colOff>
      <xdr:row>44</xdr:row>
      <xdr:rowOff>10373</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243417</xdr:colOff>
      <xdr:row>0</xdr:row>
      <xdr:rowOff>52917</xdr:rowOff>
    </xdr:from>
    <xdr:to>
      <xdr:col>20</xdr:col>
      <xdr:colOff>476250</xdr:colOff>
      <xdr:row>21</xdr:row>
      <xdr:rowOff>148167</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278130</xdr:colOff>
      <xdr:row>33</xdr:row>
      <xdr:rowOff>52917</xdr:rowOff>
    </xdr:from>
    <xdr:to>
      <xdr:col>13</xdr:col>
      <xdr:colOff>582083</xdr:colOff>
      <xdr:row>55</xdr:row>
      <xdr:rowOff>10583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215899</xdr:colOff>
      <xdr:row>29</xdr:row>
      <xdr:rowOff>63500</xdr:rowOff>
    </xdr:from>
    <xdr:to>
      <xdr:col>6</xdr:col>
      <xdr:colOff>149224</xdr:colOff>
      <xdr:row>46</xdr:row>
      <xdr:rowOff>57150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2" name="Line 1"/>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3" name="Line 2"/>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4" name="Line 3"/>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5" name="Line 4"/>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8</xdr:col>
      <xdr:colOff>0</xdr:colOff>
      <xdr:row>0</xdr:row>
      <xdr:rowOff>0</xdr:rowOff>
    </xdr:from>
    <xdr:to>
      <xdr:col>11</xdr:col>
      <xdr:colOff>800100</xdr:colOff>
      <xdr:row>1</xdr:row>
      <xdr:rowOff>123825</xdr:rowOff>
    </xdr:to>
    <xdr:sp macro="" textlink="">
      <xdr:nvSpPr>
        <xdr:cNvPr id="6" name="TextBox 5"/>
        <xdr:cNvSpPr txBox="1"/>
      </xdr:nvSpPr>
      <xdr:spPr>
        <a:xfrm>
          <a:off x="8220075" y="0"/>
          <a:ext cx="2819400" cy="3143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C00000"/>
              </a:solidFill>
              <a:latin typeface="Arial Narrow" panose="020B0606020202030204" pitchFamily="34" charset="0"/>
            </a:rPr>
            <a:t>Report Property Tax Surveys on M drive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50800</xdr:colOff>
      <xdr:row>3</xdr:row>
      <xdr:rowOff>44451</xdr:rowOff>
    </xdr:from>
    <xdr:to>
      <xdr:col>5</xdr:col>
      <xdr:colOff>1403349</xdr:colOff>
      <xdr:row>21</xdr:row>
      <xdr:rowOff>168275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226449</xdr:colOff>
      <xdr:row>20</xdr:row>
      <xdr:rowOff>147214</xdr:rowOff>
    </xdr:from>
    <xdr:to>
      <xdr:col>18</xdr:col>
      <xdr:colOff>274073</xdr:colOff>
      <xdr:row>41</xdr:row>
      <xdr:rowOff>30477</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130968</xdr:colOff>
      <xdr:row>1</xdr:row>
      <xdr:rowOff>169334</xdr:rowOff>
    </xdr:from>
    <xdr:to>
      <xdr:col>18</xdr:col>
      <xdr:colOff>185578</xdr:colOff>
      <xdr:row>19</xdr:row>
      <xdr:rowOff>119060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27</xdr:col>
      <xdr:colOff>89959</xdr:colOff>
      <xdr:row>2</xdr:row>
      <xdr:rowOff>71439</xdr:rowOff>
    </xdr:from>
    <xdr:to>
      <xdr:col>36</xdr:col>
      <xdr:colOff>739882</xdr:colOff>
      <xdr:row>20</xdr:row>
      <xdr:rowOff>20282</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142877</xdr:colOff>
      <xdr:row>1</xdr:row>
      <xdr:rowOff>89959</xdr:rowOff>
    </xdr:from>
    <xdr:to>
      <xdr:col>4</xdr:col>
      <xdr:colOff>5849409</xdr:colOff>
      <xdr:row>25</xdr:row>
      <xdr:rowOff>91017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10586</xdr:colOff>
      <xdr:row>5</xdr:row>
      <xdr:rowOff>52914</xdr:rowOff>
    </xdr:from>
    <xdr:to>
      <xdr:col>9</xdr:col>
      <xdr:colOff>328083</xdr:colOff>
      <xdr:row>21</xdr:row>
      <xdr:rowOff>148167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97579</xdr:colOff>
      <xdr:row>4</xdr:row>
      <xdr:rowOff>275168</xdr:rowOff>
    </xdr:from>
    <xdr:to>
      <xdr:col>11</xdr:col>
      <xdr:colOff>529166</xdr:colOff>
      <xdr:row>25</xdr:row>
      <xdr:rowOff>74084</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368300</xdr:colOff>
      <xdr:row>24</xdr:row>
      <xdr:rowOff>25400</xdr:rowOff>
    </xdr:from>
    <xdr:to>
      <xdr:col>10</xdr:col>
      <xdr:colOff>158750</xdr:colOff>
      <xdr:row>41</xdr:row>
      <xdr:rowOff>122767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231775</xdr:colOff>
      <xdr:row>2</xdr:row>
      <xdr:rowOff>187325</xdr:rowOff>
    </xdr:from>
    <xdr:to>
      <xdr:col>11</xdr:col>
      <xdr:colOff>742950</xdr:colOff>
      <xdr:row>20</xdr:row>
      <xdr:rowOff>590550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45296</xdr:colOff>
      <xdr:row>37</xdr:row>
      <xdr:rowOff>31749</xdr:rowOff>
    </xdr:from>
    <xdr:to>
      <xdr:col>12</xdr:col>
      <xdr:colOff>158750</xdr:colOff>
      <xdr:row>63</xdr:row>
      <xdr:rowOff>31749</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659130</xdr:colOff>
      <xdr:row>36</xdr:row>
      <xdr:rowOff>9525</xdr:rowOff>
    </xdr:from>
    <xdr:to>
      <xdr:col>10</xdr:col>
      <xdr:colOff>781050</xdr:colOff>
      <xdr:row>57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344631</xdr:colOff>
      <xdr:row>16</xdr:row>
      <xdr:rowOff>63500</xdr:rowOff>
    </xdr:from>
    <xdr:to>
      <xdr:col>13</xdr:col>
      <xdr:colOff>192232</xdr:colOff>
      <xdr:row>24</xdr:row>
      <xdr:rowOff>127000</xdr:rowOff>
    </xdr:to>
    <xdr:sp macro="" textlink="">
      <xdr:nvSpPr>
        <xdr:cNvPr id="3" name="TextBox 2"/>
        <xdr:cNvSpPr txBox="1"/>
      </xdr:nvSpPr>
      <xdr:spPr>
        <a:xfrm>
          <a:off x="7840806" y="3206750"/>
          <a:ext cx="4514851" cy="1206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C00000"/>
              </a:solidFill>
              <a:latin typeface="Arial Narrow" panose="020B0606020202030204" pitchFamily="34" charset="0"/>
            </a:rPr>
            <a:t>Cells in blue have been re-checked... grayed cells converted to formulas</a:t>
          </a:r>
        </a:p>
        <a:p>
          <a:r>
            <a:rPr lang="en-US" sz="1200">
              <a:solidFill>
                <a:srgbClr val="C00000"/>
              </a:solidFill>
              <a:latin typeface="Arial Narrow" panose="020B0606020202030204" pitchFamily="34" charset="0"/>
            </a:rPr>
            <a:t>Cells with red comment maker</a:t>
          </a:r>
          <a:r>
            <a:rPr lang="en-US" sz="1200" baseline="0">
              <a:solidFill>
                <a:srgbClr val="C00000"/>
              </a:solidFill>
              <a:latin typeface="Arial Narrow" panose="020B0606020202030204" pitchFamily="34" charset="0"/>
            </a:rPr>
            <a:t> have been adjusted per latest available data (vs original data noted in comment)</a:t>
          </a:r>
        </a:p>
        <a:p>
          <a:endParaRPr lang="en-US" sz="1200" baseline="0">
            <a:solidFill>
              <a:srgbClr val="C00000"/>
            </a:solidFill>
            <a:latin typeface="Arial Narrow" panose="020B0606020202030204" pitchFamily="34" charset="0"/>
          </a:endParaRPr>
        </a:p>
        <a:p>
          <a:r>
            <a:rPr lang="en-US" sz="1200" baseline="0">
              <a:solidFill>
                <a:srgbClr val="C00000"/>
              </a:solidFill>
              <a:latin typeface="Arial Narrow" panose="020B0606020202030204" pitchFamily="34" charset="0"/>
            </a:rPr>
            <a:t>...The most significant changes are in the HMO fund, which are made to capture "missing" collections that should go that HMO fund</a:t>
          </a:r>
          <a:endParaRPr lang="en-US" sz="1200">
            <a:solidFill>
              <a:srgbClr val="C00000"/>
            </a:solidFill>
            <a:latin typeface="Arial Narrow" panose="020B0606020202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4">
          <cell r="V34">
            <v>1998</v>
          </cell>
        </row>
      </sheetData>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37.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coopercenter.org/" TargetMode="External"/><Relationship Id="rId2" Type="http://schemas.openxmlformats.org/officeDocument/2006/relationships/hyperlink" Target="http://www.tax.virginia.gov/" TargetMode="External"/><Relationship Id="rId1" Type="http://schemas.openxmlformats.org/officeDocument/2006/relationships/printerSettings" Target="../printerSettings/printerSettings63.bin"/><Relationship Id="rId4"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5"/>
  <sheetData>
    <row r="1" spans="1:8" ht="15.5">
      <c r="A1" s="431"/>
      <c r="B1" s="55"/>
      <c r="C1" s="55"/>
      <c r="D1" s="55"/>
      <c r="E1" s="55"/>
      <c r="F1" s="55"/>
      <c r="G1" s="55"/>
      <c r="H1" s="55"/>
    </row>
    <row r="2" spans="1:8" ht="15.5">
      <c r="A2" s="55"/>
      <c r="B2" s="55"/>
      <c r="C2" s="55"/>
      <c r="D2" s="55"/>
      <c r="E2" s="55"/>
      <c r="F2" s="55"/>
      <c r="G2" s="55"/>
      <c r="H2" s="55"/>
    </row>
    <row r="3" spans="1:8" ht="15.5">
      <c r="A3" s="55"/>
      <c r="B3" s="55"/>
      <c r="C3" s="55"/>
      <c r="D3" s="55"/>
      <c r="E3" s="55"/>
      <c r="F3" s="55"/>
      <c r="G3" s="55"/>
      <c r="H3" s="55"/>
    </row>
    <row r="4" spans="1:8" ht="15.5">
      <c r="A4" s="55"/>
      <c r="B4" s="55"/>
      <c r="C4" s="55"/>
      <c r="D4" s="55"/>
      <c r="E4" s="55"/>
      <c r="F4" s="55"/>
      <c r="G4" s="55"/>
      <c r="H4" s="55"/>
    </row>
    <row r="5" spans="1:8" ht="20">
      <c r="A5" s="1901" t="s">
        <v>896</v>
      </c>
      <c r="B5" s="1901"/>
      <c r="C5" s="1901"/>
      <c r="D5" s="1901"/>
      <c r="E5" s="1901"/>
      <c r="F5" s="1901"/>
      <c r="G5" s="1901"/>
      <c r="H5" s="1901"/>
    </row>
    <row r="6" spans="1:8" ht="20">
      <c r="A6" s="56"/>
      <c r="B6" s="57"/>
      <c r="C6" s="57"/>
      <c r="D6" s="57"/>
      <c r="E6" s="57"/>
      <c r="F6" s="57"/>
      <c r="G6" s="57"/>
      <c r="H6" s="57"/>
    </row>
    <row r="7" spans="1:8" ht="20">
      <c r="A7" s="1901" t="s">
        <v>251</v>
      </c>
      <c r="B7" s="1901"/>
      <c r="C7" s="1901"/>
      <c r="D7" s="1901"/>
      <c r="E7" s="1901"/>
      <c r="F7" s="1901"/>
      <c r="G7" s="1901"/>
      <c r="H7" s="1901"/>
    </row>
    <row r="8" spans="1:8" ht="20">
      <c r="A8" s="56"/>
      <c r="B8" s="57"/>
      <c r="C8" s="57"/>
      <c r="D8" s="57"/>
      <c r="E8" s="57"/>
      <c r="F8" s="57"/>
      <c r="G8" s="57"/>
      <c r="H8" s="57"/>
    </row>
    <row r="9" spans="1:8" ht="20">
      <c r="A9" s="1901" t="s">
        <v>1267</v>
      </c>
      <c r="B9" s="1901"/>
      <c r="C9" s="1901"/>
      <c r="D9" s="1901"/>
      <c r="E9" s="1901"/>
      <c r="F9" s="1901"/>
      <c r="G9" s="1901"/>
      <c r="H9" s="1901"/>
    </row>
    <row r="10" spans="1:8" ht="15.5">
      <c r="A10" s="58"/>
      <c r="B10" s="59"/>
      <c r="C10" s="59"/>
      <c r="D10" s="59"/>
      <c r="E10" s="59"/>
      <c r="F10" s="59"/>
      <c r="G10" s="59"/>
      <c r="H10" s="59"/>
    </row>
    <row r="11" spans="1:8" ht="15.5">
      <c r="A11" s="58"/>
      <c r="B11" s="59"/>
      <c r="C11" s="59"/>
      <c r="D11" s="59"/>
      <c r="E11" s="59"/>
      <c r="F11" s="59"/>
      <c r="G11" s="59"/>
      <c r="H11" s="59"/>
    </row>
    <row r="12" spans="1:8" ht="17.5">
      <c r="A12" s="1900" t="s">
        <v>252</v>
      </c>
      <c r="B12" s="1900"/>
      <c r="C12" s="1900"/>
      <c r="D12" s="1900"/>
      <c r="E12" s="1900"/>
      <c r="F12" s="1900"/>
      <c r="G12" s="1900"/>
      <c r="H12" s="1900"/>
    </row>
    <row r="13" spans="1:8" ht="17.5">
      <c r="A13" s="1900" t="s">
        <v>253</v>
      </c>
      <c r="B13" s="1900"/>
      <c r="C13" s="1900"/>
      <c r="D13" s="1900"/>
      <c r="E13" s="1900"/>
      <c r="F13" s="1900"/>
      <c r="G13" s="1900"/>
      <c r="H13" s="1900"/>
    </row>
    <row r="14" spans="1:8" ht="17.5">
      <c r="A14" s="60"/>
      <c r="B14" s="60"/>
      <c r="C14" s="60"/>
      <c r="D14" s="60"/>
      <c r="E14" s="60"/>
      <c r="F14" s="60"/>
      <c r="G14" s="60"/>
      <c r="H14" s="60"/>
    </row>
    <row r="15" spans="1:8" ht="17.5">
      <c r="A15" s="60"/>
      <c r="B15" s="60"/>
      <c r="C15" s="60"/>
      <c r="D15" s="60"/>
      <c r="E15" s="60"/>
      <c r="F15" s="60"/>
      <c r="G15" s="60"/>
      <c r="H15" s="60"/>
    </row>
    <row r="16" spans="1:8" ht="17.5">
      <c r="A16" s="1900" t="s">
        <v>1268</v>
      </c>
      <c r="B16" s="1900"/>
      <c r="C16" s="1900"/>
      <c r="D16" s="1900"/>
      <c r="E16" s="1900"/>
      <c r="F16" s="1900"/>
      <c r="G16" s="1900"/>
      <c r="H16" s="1900"/>
    </row>
    <row r="17" spans="1:8" ht="17.5">
      <c r="A17" s="60"/>
      <c r="B17" s="60"/>
      <c r="C17" s="60"/>
      <c r="D17" s="60"/>
      <c r="E17" s="60"/>
      <c r="F17" s="60"/>
      <c r="G17" s="60"/>
      <c r="H17" s="60"/>
    </row>
    <row r="18" spans="1:8" ht="17.5">
      <c r="A18" s="1900" t="s">
        <v>1269</v>
      </c>
      <c r="B18" s="1900"/>
      <c r="C18" s="1900"/>
      <c r="D18" s="1900"/>
      <c r="E18" s="1900"/>
      <c r="F18" s="1900"/>
      <c r="G18" s="1900"/>
      <c r="H18" s="1900"/>
    </row>
    <row r="19" spans="1:8" ht="17.5">
      <c r="A19" s="60"/>
      <c r="B19" s="60"/>
      <c r="C19" s="60"/>
      <c r="D19" s="60"/>
      <c r="E19" s="60"/>
      <c r="F19" s="60"/>
      <c r="G19" s="60"/>
      <c r="H19" s="60"/>
    </row>
    <row r="20" spans="1:8" ht="17.5">
      <c r="A20" s="1900" t="s">
        <v>254</v>
      </c>
      <c r="B20" s="1900"/>
      <c r="C20" s="1900"/>
      <c r="D20" s="1900"/>
      <c r="E20" s="1900"/>
      <c r="F20" s="1900"/>
      <c r="G20" s="1900"/>
      <c r="H20" s="1900"/>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2"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81"/>
  <sheetViews>
    <sheetView showOutlineSymbols="0" zoomScaleNormal="100" zoomScaleSheetLayoutView="80" workbookViewId="0">
      <pane ySplit="3590" topLeftCell="A144"/>
      <selection pane="bottomLeft" activeCell="A176" sqref="A176:A189"/>
    </sheetView>
  </sheetViews>
  <sheetFormatPr defaultColWidth="10.7265625" defaultRowHeight="15.5"/>
  <cols>
    <col min="1" max="1" width="15" style="212" customWidth="1"/>
    <col min="2" max="2" width="6.6328125" style="1109" hidden="1" customWidth="1"/>
    <col min="3" max="3" width="12.7265625" style="212" bestFit="1" customWidth="1"/>
    <col min="4" max="4" width="15.81640625" style="212" customWidth="1"/>
    <col min="5" max="5" width="2.7265625" style="212" customWidth="1"/>
    <col min="6" max="7" width="12" style="212" bestFit="1" customWidth="1"/>
    <col min="8" max="8" width="17.54296875" style="212" customWidth="1"/>
    <col min="9" max="9" width="12.7265625" style="212" bestFit="1" customWidth="1"/>
    <col min="10" max="10" width="2.54296875" style="212" customWidth="1"/>
    <col min="11" max="11" width="12" style="335" bestFit="1" customWidth="1"/>
    <col min="12" max="12" width="14.7265625" style="335" customWidth="1"/>
    <col min="13" max="13" width="16.6328125" style="335" customWidth="1"/>
    <col min="14" max="15" width="2.7265625" style="212" customWidth="1"/>
    <col min="16" max="16384" width="10.7265625" style="212"/>
  </cols>
  <sheetData>
    <row r="1" spans="1:15" ht="17.149999999999999" customHeight="1">
      <c r="A1" s="198" t="s">
        <v>609</v>
      </c>
      <c r="B1" s="1103"/>
      <c r="C1" s="274"/>
      <c r="D1" s="204"/>
      <c r="E1" s="204"/>
      <c r="F1" s="274"/>
      <c r="G1" s="274"/>
      <c r="H1" s="204"/>
      <c r="I1" s="274"/>
      <c r="J1" s="274"/>
      <c r="K1" s="275"/>
      <c r="L1" s="275"/>
      <c r="M1" s="276"/>
      <c r="O1" s="939" t="s">
        <v>1018</v>
      </c>
    </row>
    <row r="2" spans="1:15" ht="15" customHeight="1">
      <c r="A2" s="201" t="s">
        <v>793</v>
      </c>
      <c r="B2" s="1103"/>
      <c r="C2" s="274"/>
      <c r="D2" s="204"/>
      <c r="E2" s="204"/>
      <c r="F2" s="274"/>
      <c r="G2" s="274"/>
      <c r="H2" s="204"/>
      <c r="I2" s="274"/>
      <c r="J2" s="274"/>
      <c r="K2" s="277"/>
      <c r="L2" s="277"/>
      <c r="M2" s="249"/>
    </row>
    <row r="3" spans="1:15" ht="15" customHeight="1">
      <c r="A3" s="1114" t="s">
        <v>1216</v>
      </c>
      <c r="B3" s="1104"/>
      <c r="C3" s="279"/>
      <c r="D3" s="219"/>
      <c r="E3" s="219"/>
      <c r="F3" s="279"/>
      <c r="G3" s="279"/>
      <c r="H3" s="219"/>
      <c r="I3" s="279"/>
      <c r="J3" s="279"/>
      <c r="K3" s="277"/>
      <c r="L3" s="277"/>
      <c r="M3" s="249"/>
    </row>
    <row r="4" spans="1:15" ht="3" customHeight="1">
      <c r="A4" s="217"/>
      <c r="B4" s="1105"/>
      <c r="C4" s="279"/>
      <c r="D4" s="219"/>
      <c r="E4" s="219"/>
      <c r="F4" s="279"/>
      <c r="G4" s="279"/>
      <c r="H4" s="219"/>
      <c r="I4" s="279"/>
      <c r="J4" s="279"/>
      <c r="K4" s="277"/>
      <c r="L4" s="277"/>
      <c r="M4" s="249"/>
      <c r="N4" s="280"/>
      <c r="O4" s="280"/>
    </row>
    <row r="5" spans="1:15" ht="3" customHeight="1" thickBot="1">
      <c r="A5" s="217"/>
      <c r="B5" s="1106"/>
      <c r="C5" s="279"/>
      <c r="D5" s="219"/>
      <c r="E5" s="219"/>
      <c r="F5" s="279"/>
      <c r="G5" s="279"/>
      <c r="H5" s="219"/>
      <c r="I5" s="279"/>
      <c r="J5" s="279"/>
      <c r="K5" s="277"/>
      <c r="L5" s="277"/>
      <c r="M5" s="249"/>
      <c r="N5" s="280"/>
      <c r="O5" s="280"/>
    </row>
    <row r="6" spans="1:15" ht="13.15" customHeight="1">
      <c r="A6" s="925"/>
      <c r="B6" s="1107"/>
      <c r="C6" s="1089" t="s">
        <v>322</v>
      </c>
      <c r="D6" s="1089"/>
      <c r="E6" s="282"/>
      <c r="F6" s="937" t="s">
        <v>323</v>
      </c>
      <c r="G6" s="1090"/>
      <c r="H6" s="1090"/>
      <c r="I6" s="1090"/>
      <c r="J6" s="283"/>
      <c r="K6" s="1091" t="s">
        <v>610</v>
      </c>
      <c r="L6" s="1091"/>
      <c r="M6" s="1092"/>
    </row>
    <row r="7" spans="1:15" ht="25" customHeight="1">
      <c r="A7" s="1101" t="s">
        <v>21</v>
      </c>
      <c r="B7" s="1102" t="s">
        <v>963</v>
      </c>
      <c r="C7" s="1095" t="s">
        <v>611</v>
      </c>
      <c r="D7" s="1094" t="s">
        <v>19</v>
      </c>
      <c r="E7" s="1094"/>
      <c r="F7" s="1096" t="s">
        <v>321</v>
      </c>
      <c r="G7" s="1095" t="s">
        <v>320</v>
      </c>
      <c r="H7" s="1094" t="s">
        <v>19</v>
      </c>
      <c r="I7" s="1097" t="s">
        <v>1217</v>
      </c>
      <c r="J7" s="1098"/>
      <c r="K7" s="1099" t="s">
        <v>612</v>
      </c>
      <c r="L7" s="1100" t="s">
        <v>1218</v>
      </c>
      <c r="M7" s="1093" t="s">
        <v>1219</v>
      </c>
    </row>
    <row r="8" spans="1:15" ht="24" customHeight="1">
      <c r="A8" s="172" t="s">
        <v>327</v>
      </c>
      <c r="B8" s="1108" t="s">
        <v>1082</v>
      </c>
      <c r="C8" s="166">
        <v>42913</v>
      </c>
      <c r="D8" s="297">
        <v>38844766.219999999</v>
      </c>
      <c r="E8" s="297"/>
      <c r="F8" s="298">
        <v>17520</v>
      </c>
      <c r="G8" s="169">
        <v>1849</v>
      </c>
      <c r="H8" s="297">
        <v>255933788.59</v>
      </c>
      <c r="I8" s="169">
        <v>19369</v>
      </c>
      <c r="J8" s="299"/>
      <c r="K8" s="248">
        <v>11620</v>
      </c>
      <c r="L8" s="246">
        <v>6961</v>
      </c>
      <c r="M8" s="275">
        <v>788</v>
      </c>
    </row>
    <row r="9" spans="1:15" ht="13.15" customHeight="1">
      <c r="A9" s="196" t="s">
        <v>331</v>
      </c>
      <c r="B9" s="1109" t="s">
        <v>1083</v>
      </c>
      <c r="C9" s="166">
        <v>114791</v>
      </c>
      <c r="D9" s="169">
        <v>103167108.7</v>
      </c>
      <c r="E9" s="169"/>
      <c r="F9" s="298">
        <v>41892</v>
      </c>
      <c r="G9" s="169">
        <v>8640</v>
      </c>
      <c r="H9" s="169">
        <v>580817083.71000004</v>
      </c>
      <c r="I9" s="169">
        <v>50532</v>
      </c>
      <c r="J9" s="299"/>
      <c r="K9" s="248">
        <v>28314</v>
      </c>
      <c r="L9" s="246">
        <v>20658</v>
      </c>
      <c r="M9" s="275">
        <v>1560</v>
      </c>
    </row>
    <row r="10" spans="1:15" ht="13.15" customHeight="1">
      <c r="A10" s="196" t="s">
        <v>335</v>
      </c>
      <c r="B10" s="1109" t="s">
        <v>1084</v>
      </c>
      <c r="C10" s="166">
        <v>16400</v>
      </c>
      <c r="D10" s="169">
        <v>14870022.73</v>
      </c>
      <c r="E10" s="169"/>
      <c r="F10" s="298">
        <v>6981</v>
      </c>
      <c r="G10" s="169">
        <v>320</v>
      </c>
      <c r="H10" s="169">
        <v>55701534.590000004</v>
      </c>
      <c r="I10" s="169">
        <v>7301</v>
      </c>
      <c r="J10" s="299"/>
      <c r="K10" s="248">
        <v>4021</v>
      </c>
      <c r="L10" s="246">
        <v>3068</v>
      </c>
      <c r="M10" s="275">
        <v>212</v>
      </c>
    </row>
    <row r="11" spans="1:15" ht="13.15" customHeight="1">
      <c r="A11" s="196" t="s">
        <v>339</v>
      </c>
      <c r="B11" s="1109" t="s">
        <v>1085</v>
      </c>
      <c r="C11" s="166">
        <v>13933</v>
      </c>
      <c r="D11" s="169">
        <v>12684228.73</v>
      </c>
      <c r="E11" s="169"/>
      <c r="F11" s="298">
        <v>5767</v>
      </c>
      <c r="G11" s="169">
        <v>476</v>
      </c>
      <c r="H11" s="169">
        <v>51824916.630000003</v>
      </c>
      <c r="I11" s="169">
        <v>6243</v>
      </c>
      <c r="J11" s="299"/>
      <c r="K11" s="248">
        <v>3513</v>
      </c>
      <c r="L11" s="246">
        <v>2560</v>
      </c>
      <c r="M11" s="275">
        <v>170</v>
      </c>
    </row>
    <row r="12" spans="1:15" ht="13.15" customHeight="1">
      <c r="A12" s="196" t="s">
        <v>343</v>
      </c>
      <c r="B12" s="1109" t="s">
        <v>1086</v>
      </c>
      <c r="C12" s="166">
        <v>30777</v>
      </c>
      <c r="D12" s="169">
        <v>27929151.079999998</v>
      </c>
      <c r="E12" s="169"/>
      <c r="F12" s="298">
        <v>13134</v>
      </c>
      <c r="G12" s="169">
        <v>670</v>
      </c>
      <c r="H12" s="169">
        <v>98997436.650000006</v>
      </c>
      <c r="I12" s="169">
        <v>13804</v>
      </c>
      <c r="J12" s="299"/>
      <c r="K12" s="248">
        <v>7959</v>
      </c>
      <c r="L12" s="246">
        <v>5515</v>
      </c>
      <c r="M12" s="275">
        <v>330</v>
      </c>
    </row>
    <row r="13" spans="1:15" ht="24" customHeight="1">
      <c r="A13" s="196" t="s">
        <v>347</v>
      </c>
      <c r="B13" s="1109" t="s">
        <v>1087</v>
      </c>
      <c r="C13" s="166">
        <v>16495</v>
      </c>
      <c r="D13" s="169">
        <v>14992433.6</v>
      </c>
      <c r="E13" s="169"/>
      <c r="F13" s="298">
        <v>6703</v>
      </c>
      <c r="G13" s="169">
        <v>394</v>
      </c>
      <c r="H13" s="169">
        <v>53908505.399999999</v>
      </c>
      <c r="I13" s="169">
        <v>7097</v>
      </c>
      <c r="J13" s="299"/>
      <c r="K13" s="248">
        <v>3874</v>
      </c>
      <c r="L13" s="246">
        <v>3016</v>
      </c>
      <c r="M13" s="275">
        <v>207</v>
      </c>
    </row>
    <row r="14" spans="1:15" ht="13.15" customHeight="1">
      <c r="A14" s="196" t="s">
        <v>351</v>
      </c>
      <c r="B14" s="1109" t="s">
        <v>1088</v>
      </c>
      <c r="C14" s="166">
        <v>233304</v>
      </c>
      <c r="D14" s="169">
        <v>209230962.77000001</v>
      </c>
      <c r="E14" s="169"/>
      <c r="F14" s="298">
        <v>100131</v>
      </c>
      <c r="G14" s="169">
        <v>29054</v>
      </c>
      <c r="H14" s="169">
        <v>1462486944.9400001</v>
      </c>
      <c r="I14" s="169">
        <v>129185</v>
      </c>
      <c r="J14" s="299"/>
      <c r="K14" s="248">
        <v>88746</v>
      </c>
      <c r="L14" s="246">
        <v>35511</v>
      </c>
      <c r="M14" s="275">
        <v>4928</v>
      </c>
    </row>
    <row r="15" spans="1:15" ht="13.15" customHeight="1">
      <c r="A15" s="196" t="s">
        <v>355</v>
      </c>
      <c r="B15" s="1109" t="s">
        <v>1089</v>
      </c>
      <c r="C15" s="166">
        <v>82285</v>
      </c>
      <c r="D15" s="169">
        <v>74562629.400000006</v>
      </c>
      <c r="E15" s="169"/>
      <c r="F15" s="298">
        <v>33731</v>
      </c>
      <c r="G15" s="169">
        <v>2474</v>
      </c>
      <c r="H15" s="169">
        <v>289393568.73000002</v>
      </c>
      <c r="I15" s="169">
        <v>36205</v>
      </c>
      <c r="J15" s="299"/>
      <c r="K15" s="248">
        <v>19560</v>
      </c>
      <c r="L15" s="246">
        <v>15783</v>
      </c>
      <c r="M15" s="275">
        <v>862</v>
      </c>
    </row>
    <row r="16" spans="1:15" ht="13.15" customHeight="1">
      <c r="A16" s="196" t="s">
        <v>359</v>
      </c>
      <c r="B16" s="1109" t="s">
        <v>1090</v>
      </c>
      <c r="C16" s="166">
        <v>4816</v>
      </c>
      <c r="D16" s="169">
        <v>4353053.41</v>
      </c>
      <c r="E16" s="169"/>
      <c r="F16" s="298">
        <v>2106</v>
      </c>
      <c r="G16" s="169">
        <v>119</v>
      </c>
      <c r="H16" s="169">
        <v>25204720.390000001</v>
      </c>
      <c r="I16" s="169">
        <v>2225</v>
      </c>
      <c r="J16" s="299"/>
      <c r="K16" s="248">
        <v>1259</v>
      </c>
      <c r="L16" s="246">
        <v>905</v>
      </c>
      <c r="M16" s="275">
        <v>61</v>
      </c>
    </row>
    <row r="17" spans="1:13" ht="13.15" customHeight="1">
      <c r="A17" s="196" t="s">
        <v>363</v>
      </c>
      <c r="B17" s="1109" t="s">
        <v>1091</v>
      </c>
      <c r="C17" s="166">
        <v>85967</v>
      </c>
      <c r="D17" s="169">
        <v>77641937.390000001</v>
      </c>
      <c r="E17" s="169"/>
      <c r="F17" s="298">
        <v>33040</v>
      </c>
      <c r="G17" s="169">
        <v>3443</v>
      </c>
      <c r="H17" s="169">
        <v>343133893.56</v>
      </c>
      <c r="I17" s="169">
        <v>36483</v>
      </c>
      <c r="J17" s="299"/>
      <c r="K17" s="248">
        <v>18216</v>
      </c>
      <c r="L17" s="246">
        <v>17301</v>
      </c>
      <c r="M17" s="275">
        <v>966</v>
      </c>
    </row>
    <row r="18" spans="1:13" ht="24" customHeight="1">
      <c r="A18" s="196" t="s">
        <v>367</v>
      </c>
      <c r="B18" s="1109" t="s">
        <v>1092</v>
      </c>
      <c r="C18" s="166">
        <v>5690</v>
      </c>
      <c r="D18" s="169">
        <v>5156434.42</v>
      </c>
      <c r="E18" s="169"/>
      <c r="F18" s="298">
        <v>2405</v>
      </c>
      <c r="G18" s="169">
        <v>82</v>
      </c>
      <c r="H18" s="169">
        <v>19467574.449999999</v>
      </c>
      <c r="I18" s="169">
        <v>2487</v>
      </c>
      <c r="J18" s="299"/>
      <c r="K18" s="248">
        <v>1226</v>
      </c>
      <c r="L18" s="246">
        <v>1175</v>
      </c>
      <c r="M18" s="275">
        <v>86</v>
      </c>
    </row>
    <row r="19" spans="1:13" ht="13.15" customHeight="1">
      <c r="A19" s="196" t="s">
        <v>371</v>
      </c>
      <c r="B19" s="1109" t="s">
        <v>1093</v>
      </c>
      <c r="C19" s="166">
        <v>36272</v>
      </c>
      <c r="D19" s="169">
        <v>32809816.370000001</v>
      </c>
      <c r="E19" s="169"/>
      <c r="F19" s="298">
        <v>13841</v>
      </c>
      <c r="G19" s="169">
        <v>1486</v>
      </c>
      <c r="H19" s="169">
        <v>138726268.56999999</v>
      </c>
      <c r="I19" s="169">
        <v>15327</v>
      </c>
      <c r="J19" s="299"/>
      <c r="K19" s="248">
        <v>7456</v>
      </c>
      <c r="L19" s="246">
        <v>7472</v>
      </c>
      <c r="M19" s="275">
        <v>399</v>
      </c>
    </row>
    <row r="20" spans="1:13" ht="13.15" customHeight="1">
      <c r="A20" s="196" t="s">
        <v>375</v>
      </c>
      <c r="B20" s="1109" t="s">
        <v>1094</v>
      </c>
      <c r="C20" s="166">
        <v>13827</v>
      </c>
      <c r="D20" s="169">
        <v>12550521.9</v>
      </c>
      <c r="E20" s="169"/>
      <c r="F20" s="298">
        <v>6164</v>
      </c>
      <c r="G20" s="169">
        <v>421</v>
      </c>
      <c r="H20" s="169">
        <v>46313899.57</v>
      </c>
      <c r="I20" s="169">
        <v>6585</v>
      </c>
      <c r="J20" s="299"/>
      <c r="K20" s="248">
        <v>4472</v>
      </c>
      <c r="L20" s="246">
        <v>1875</v>
      </c>
      <c r="M20" s="275">
        <v>238</v>
      </c>
    </row>
    <row r="21" spans="1:13" ht="13.15" customHeight="1">
      <c r="A21" s="196" t="s">
        <v>379</v>
      </c>
      <c r="B21" s="1109" t="s">
        <v>1095</v>
      </c>
      <c r="C21" s="166">
        <v>15016</v>
      </c>
      <c r="D21" s="169">
        <v>13701337.41</v>
      </c>
      <c r="E21" s="169"/>
      <c r="F21" s="298">
        <v>6411</v>
      </c>
      <c r="G21" s="169">
        <v>126</v>
      </c>
      <c r="H21" s="169">
        <v>47075965.270000003</v>
      </c>
      <c r="I21" s="169">
        <v>6537</v>
      </c>
      <c r="J21" s="299"/>
      <c r="K21" s="248">
        <v>3315</v>
      </c>
      <c r="L21" s="246">
        <v>3068</v>
      </c>
      <c r="M21" s="275">
        <v>154</v>
      </c>
    </row>
    <row r="22" spans="1:13" ht="13.15" customHeight="1">
      <c r="A22" s="196" t="s">
        <v>383</v>
      </c>
      <c r="B22" s="1109" t="s">
        <v>1096</v>
      </c>
      <c r="C22" s="166">
        <v>13969</v>
      </c>
      <c r="D22" s="169">
        <v>12707723.58</v>
      </c>
      <c r="E22" s="169"/>
      <c r="F22" s="298">
        <v>6093</v>
      </c>
      <c r="G22" s="169">
        <v>315</v>
      </c>
      <c r="H22" s="169">
        <v>48734379.289999999</v>
      </c>
      <c r="I22" s="169">
        <v>6408</v>
      </c>
      <c r="J22" s="299"/>
      <c r="K22" s="248">
        <v>4018</v>
      </c>
      <c r="L22" s="246">
        <v>2163</v>
      </c>
      <c r="M22" s="275">
        <v>227</v>
      </c>
    </row>
    <row r="23" spans="1:13" ht="24" customHeight="1">
      <c r="A23" s="196" t="s">
        <v>387</v>
      </c>
      <c r="B23" s="1109" t="s">
        <v>1097</v>
      </c>
      <c r="C23" s="166">
        <v>54046</v>
      </c>
      <c r="D23" s="169">
        <v>49104038.609999999</v>
      </c>
      <c r="E23" s="169"/>
      <c r="F23" s="298">
        <v>23276</v>
      </c>
      <c r="G23" s="169">
        <v>1166</v>
      </c>
      <c r="H23" s="248">
        <v>176688520.59</v>
      </c>
      <c r="I23" s="169">
        <v>24442</v>
      </c>
      <c r="J23" s="299"/>
      <c r="K23" s="248">
        <v>13977</v>
      </c>
      <c r="L23" s="246">
        <v>9812</v>
      </c>
      <c r="M23" s="275">
        <v>653</v>
      </c>
    </row>
    <row r="24" spans="1:13" ht="13.15" customHeight="1">
      <c r="A24" s="196" t="s">
        <v>389</v>
      </c>
      <c r="B24" s="1109" t="s">
        <v>1098</v>
      </c>
      <c r="C24" s="166">
        <v>30326</v>
      </c>
      <c r="D24" s="169">
        <v>27612583.280000001</v>
      </c>
      <c r="E24" s="169"/>
      <c r="F24" s="298">
        <v>12593</v>
      </c>
      <c r="G24" s="169">
        <v>1466</v>
      </c>
      <c r="H24" s="169">
        <v>110694884.92</v>
      </c>
      <c r="I24" s="169">
        <v>14059</v>
      </c>
      <c r="J24" s="299"/>
      <c r="K24" s="248">
        <v>8558</v>
      </c>
      <c r="L24" s="246">
        <v>5037</v>
      </c>
      <c r="M24" s="275">
        <v>464</v>
      </c>
    </row>
    <row r="25" spans="1:13" ht="13.15" customHeight="1">
      <c r="A25" s="196" t="s">
        <v>392</v>
      </c>
      <c r="B25" s="1109" t="s">
        <v>1099</v>
      </c>
      <c r="C25" s="166">
        <v>28085</v>
      </c>
      <c r="D25" s="169">
        <v>25433598.239999998</v>
      </c>
      <c r="E25" s="169"/>
      <c r="F25" s="298">
        <v>12197</v>
      </c>
      <c r="G25" s="169">
        <v>354</v>
      </c>
      <c r="H25" s="169">
        <v>94064091.170000002</v>
      </c>
      <c r="I25" s="169">
        <v>12551</v>
      </c>
      <c r="J25" s="299"/>
      <c r="K25" s="248">
        <v>6659</v>
      </c>
      <c r="L25" s="246">
        <v>5516</v>
      </c>
      <c r="M25" s="275">
        <v>376</v>
      </c>
    </row>
    <row r="26" spans="1:13" ht="13.15" customHeight="1">
      <c r="A26" s="196" t="s">
        <v>395</v>
      </c>
      <c r="B26" s="1109" t="s">
        <v>1100</v>
      </c>
      <c r="C26" s="166">
        <v>6902</v>
      </c>
      <c r="D26" s="169">
        <v>6255472.6299999999</v>
      </c>
      <c r="E26" s="169"/>
      <c r="F26" s="298">
        <v>3025</v>
      </c>
      <c r="G26" s="169">
        <v>294</v>
      </c>
      <c r="H26" s="169">
        <v>25865549.18</v>
      </c>
      <c r="I26" s="169">
        <v>3319</v>
      </c>
      <c r="J26" s="299"/>
      <c r="K26" s="248">
        <v>2047</v>
      </c>
      <c r="L26" s="246">
        <v>1155</v>
      </c>
      <c r="M26" s="275">
        <v>117</v>
      </c>
    </row>
    <row r="27" spans="1:13" ht="13.15" customHeight="1">
      <c r="A27" s="196" t="s">
        <v>398</v>
      </c>
      <c r="B27" s="1109" t="s">
        <v>1101</v>
      </c>
      <c r="C27" s="166">
        <v>11463</v>
      </c>
      <c r="D27" s="169">
        <v>10408927.970000001</v>
      </c>
      <c r="E27" s="169"/>
      <c r="F27" s="298">
        <v>4812</v>
      </c>
      <c r="G27" s="169">
        <v>230</v>
      </c>
      <c r="H27" s="169">
        <v>37483136.579999998</v>
      </c>
      <c r="I27" s="169">
        <v>5042</v>
      </c>
      <c r="J27" s="299"/>
      <c r="K27" s="248">
        <v>2953</v>
      </c>
      <c r="L27" s="246">
        <v>1932</v>
      </c>
      <c r="M27" s="275">
        <v>157</v>
      </c>
    </row>
    <row r="28" spans="1:13" ht="24" customHeight="1">
      <c r="A28" s="196" t="s">
        <v>400</v>
      </c>
      <c r="B28" s="1109" t="s">
        <v>1102</v>
      </c>
      <c r="C28" s="166">
        <v>379567</v>
      </c>
      <c r="D28" s="169">
        <v>344453051.39999998</v>
      </c>
      <c r="E28" s="169"/>
      <c r="F28" s="298">
        <v>144979</v>
      </c>
      <c r="G28" s="169">
        <v>23699</v>
      </c>
      <c r="H28" s="169">
        <v>1516699673.28</v>
      </c>
      <c r="I28" s="169">
        <v>168678</v>
      </c>
      <c r="J28" s="299"/>
      <c r="K28" s="248">
        <v>98212</v>
      </c>
      <c r="L28" s="246">
        <v>65188</v>
      </c>
      <c r="M28" s="275">
        <v>5278</v>
      </c>
    </row>
    <row r="29" spans="1:13" ht="13.15" customHeight="1">
      <c r="A29" s="196" t="s">
        <v>403</v>
      </c>
      <c r="B29" s="1109" t="s">
        <v>1103</v>
      </c>
      <c r="C29" s="166">
        <v>16693</v>
      </c>
      <c r="D29" s="169">
        <v>15072806.220000001</v>
      </c>
      <c r="E29" s="169"/>
      <c r="F29" s="298">
        <v>6177</v>
      </c>
      <c r="G29" s="169">
        <v>1269</v>
      </c>
      <c r="H29" s="169">
        <v>71824714.810000002</v>
      </c>
      <c r="I29" s="169">
        <v>7446</v>
      </c>
      <c r="J29" s="299"/>
      <c r="K29" s="248">
        <v>4091</v>
      </c>
      <c r="L29" s="246">
        <v>3146</v>
      </c>
      <c r="M29" s="275">
        <v>209</v>
      </c>
    </row>
    <row r="30" spans="1:13" ht="13.15" customHeight="1">
      <c r="A30" s="196" t="s">
        <v>405</v>
      </c>
      <c r="B30" s="1109" t="s">
        <v>1104</v>
      </c>
      <c r="C30" s="166">
        <v>5120</v>
      </c>
      <c r="D30" s="169">
        <v>4641055.75</v>
      </c>
      <c r="E30" s="169"/>
      <c r="F30" s="298">
        <v>2152</v>
      </c>
      <c r="G30" s="169">
        <v>97</v>
      </c>
      <c r="H30" s="169">
        <v>18336783.670000002</v>
      </c>
      <c r="I30" s="169">
        <v>2249</v>
      </c>
      <c r="J30" s="299"/>
      <c r="K30" s="248">
        <v>1144</v>
      </c>
      <c r="L30" s="246">
        <v>1060</v>
      </c>
      <c r="M30" s="275">
        <v>45</v>
      </c>
    </row>
    <row r="31" spans="1:13" ht="13.15" customHeight="1">
      <c r="A31" s="196" t="s">
        <v>408</v>
      </c>
      <c r="B31" s="1109" t="s">
        <v>1105</v>
      </c>
      <c r="C31" s="166">
        <v>54359</v>
      </c>
      <c r="D31" s="169">
        <v>49428029.950000003</v>
      </c>
      <c r="E31" s="169"/>
      <c r="F31" s="298">
        <v>20708</v>
      </c>
      <c r="G31" s="169">
        <v>3078</v>
      </c>
      <c r="H31" s="169">
        <v>208367327.41</v>
      </c>
      <c r="I31" s="169">
        <v>23786</v>
      </c>
      <c r="J31" s="299"/>
      <c r="K31" s="248">
        <v>13529</v>
      </c>
      <c r="L31" s="246">
        <v>9580</v>
      </c>
      <c r="M31" s="275">
        <v>677</v>
      </c>
    </row>
    <row r="32" spans="1:13" ht="13.15" customHeight="1">
      <c r="A32" s="196" t="s">
        <v>411</v>
      </c>
      <c r="B32" s="1109" t="s">
        <v>1106</v>
      </c>
      <c r="C32" s="166">
        <v>9535</v>
      </c>
      <c r="D32" s="169">
        <v>8661487.6600000001</v>
      </c>
      <c r="E32" s="169"/>
      <c r="F32" s="298">
        <v>4039</v>
      </c>
      <c r="G32" s="169">
        <v>295</v>
      </c>
      <c r="H32" s="169">
        <v>32636099.550000001</v>
      </c>
      <c r="I32" s="169">
        <v>4334</v>
      </c>
      <c r="J32" s="299"/>
      <c r="K32" s="248">
        <v>2576</v>
      </c>
      <c r="L32" s="246">
        <v>1576</v>
      </c>
      <c r="M32" s="275">
        <v>182</v>
      </c>
    </row>
    <row r="33" spans="1:15" ht="24" customHeight="1">
      <c r="A33" s="196" t="s">
        <v>414</v>
      </c>
      <c r="B33" s="1109" t="s">
        <v>1107</v>
      </c>
      <c r="C33" s="166">
        <v>10947</v>
      </c>
      <c r="D33" s="169">
        <v>9979416.1799999997</v>
      </c>
      <c r="E33" s="169"/>
      <c r="F33" s="298">
        <v>4652</v>
      </c>
      <c r="G33" s="169">
        <v>53</v>
      </c>
      <c r="H33" s="169">
        <v>44774638.5</v>
      </c>
      <c r="I33" s="169">
        <v>4705</v>
      </c>
      <c r="J33" s="299"/>
      <c r="K33" s="248">
        <v>2442</v>
      </c>
      <c r="L33" s="246">
        <v>2152</v>
      </c>
      <c r="M33" s="275">
        <v>111</v>
      </c>
    </row>
    <row r="34" spans="1:15" ht="13.15" customHeight="1">
      <c r="A34" s="196" t="s">
        <v>417</v>
      </c>
      <c r="B34" s="1109" t="s">
        <v>1108</v>
      </c>
      <c r="C34" s="166">
        <v>27064</v>
      </c>
      <c r="D34" s="169">
        <v>24650078.710000001</v>
      </c>
      <c r="E34" s="169"/>
      <c r="F34" s="298">
        <v>11427</v>
      </c>
      <c r="G34" s="169">
        <v>1125</v>
      </c>
      <c r="H34" s="169">
        <v>96230843.75</v>
      </c>
      <c r="I34" s="169">
        <v>12552</v>
      </c>
      <c r="J34" s="299"/>
      <c r="K34" s="248">
        <v>7825</v>
      </c>
      <c r="L34" s="246">
        <v>4316</v>
      </c>
      <c r="M34" s="275">
        <v>411</v>
      </c>
    </row>
    <row r="35" spans="1:15" ht="13.15" customHeight="1">
      <c r="A35" s="196" t="s">
        <v>420</v>
      </c>
      <c r="B35" s="1109" t="s">
        <v>1109</v>
      </c>
      <c r="C35" s="166">
        <v>10965</v>
      </c>
      <c r="D35" s="169">
        <v>9930965.8300000001</v>
      </c>
      <c r="E35" s="169"/>
      <c r="F35" s="298">
        <v>4653</v>
      </c>
      <c r="G35" s="169">
        <v>455</v>
      </c>
      <c r="H35" s="248">
        <v>41884013.32</v>
      </c>
      <c r="I35" s="169">
        <v>5108</v>
      </c>
      <c r="J35" s="299"/>
      <c r="K35" s="248">
        <v>3235</v>
      </c>
      <c r="L35" s="246">
        <v>1693</v>
      </c>
      <c r="M35" s="275">
        <v>180</v>
      </c>
    </row>
    <row r="36" spans="1:15" ht="13.15" customHeight="1">
      <c r="A36" s="197" t="s">
        <v>423</v>
      </c>
      <c r="B36" s="1088" t="s">
        <v>1110</v>
      </c>
      <c r="C36" s="166">
        <v>1197489</v>
      </c>
      <c r="D36" s="169">
        <v>1085610573.7</v>
      </c>
      <c r="E36" s="169"/>
      <c r="F36" s="298">
        <v>407209</v>
      </c>
      <c r="G36" s="169">
        <v>140418</v>
      </c>
      <c r="H36" s="169">
        <v>7447103378.1099997</v>
      </c>
      <c r="I36" s="169">
        <v>547627</v>
      </c>
      <c r="J36" s="299"/>
      <c r="K36" s="248">
        <v>310535</v>
      </c>
      <c r="L36" s="246">
        <v>217078</v>
      </c>
      <c r="M36" s="275">
        <v>20014</v>
      </c>
    </row>
    <row r="37" spans="1:15" ht="13.15" customHeight="1">
      <c r="A37" s="197" t="s">
        <v>426</v>
      </c>
      <c r="B37" s="1088" t="s">
        <v>1111</v>
      </c>
      <c r="C37" s="169">
        <v>79113</v>
      </c>
      <c r="D37" s="169">
        <v>71860914.569999993</v>
      </c>
      <c r="E37" s="169"/>
      <c r="F37" s="298">
        <v>26690</v>
      </c>
      <c r="G37" s="169">
        <v>7928</v>
      </c>
      <c r="H37" s="169">
        <v>433076754.57999998</v>
      </c>
      <c r="I37" s="169">
        <v>34618</v>
      </c>
      <c r="J37" s="299"/>
      <c r="K37" s="248">
        <v>18687</v>
      </c>
      <c r="L37" s="248">
        <v>14876</v>
      </c>
      <c r="M37" s="277">
        <v>1055</v>
      </c>
      <c r="N37" s="280"/>
      <c r="O37" s="280"/>
    </row>
    <row r="38" spans="1:15" ht="24" customHeight="1">
      <c r="A38" s="196" t="s">
        <v>429</v>
      </c>
      <c r="B38" s="1109" t="s">
        <v>1112</v>
      </c>
      <c r="C38" s="166">
        <v>15419</v>
      </c>
      <c r="D38" s="297">
        <v>13964028.34</v>
      </c>
      <c r="E38" s="297"/>
      <c r="F38" s="298">
        <v>6430</v>
      </c>
      <c r="G38" s="169">
        <v>279</v>
      </c>
      <c r="H38" s="297">
        <v>51204463.770000003</v>
      </c>
      <c r="I38" s="169">
        <v>6709</v>
      </c>
      <c r="J38" s="299"/>
      <c r="K38" s="248">
        <v>3451</v>
      </c>
      <c r="L38" s="246">
        <v>3112</v>
      </c>
      <c r="M38" s="275">
        <v>146</v>
      </c>
    </row>
    <row r="39" spans="1:15" ht="13.15" customHeight="1">
      <c r="A39" s="196" t="s">
        <v>431</v>
      </c>
      <c r="B39" s="1109" t="s">
        <v>1113</v>
      </c>
      <c r="C39" s="166">
        <v>28208</v>
      </c>
      <c r="D39" s="169">
        <v>25479201.780000001</v>
      </c>
      <c r="E39" s="169"/>
      <c r="F39" s="298">
        <v>11177</v>
      </c>
      <c r="G39" s="169">
        <v>1095</v>
      </c>
      <c r="H39" s="169">
        <v>97738824.709999993</v>
      </c>
      <c r="I39" s="169">
        <v>12272</v>
      </c>
      <c r="J39" s="299"/>
      <c r="K39" s="248">
        <v>6468</v>
      </c>
      <c r="L39" s="246">
        <v>5365</v>
      </c>
      <c r="M39" s="275">
        <v>439</v>
      </c>
    </row>
    <row r="40" spans="1:15" ht="13.15" customHeight="1">
      <c r="A40" s="196" t="s">
        <v>434</v>
      </c>
      <c r="B40" s="1109" t="s">
        <v>1114</v>
      </c>
      <c r="C40" s="166">
        <v>55128</v>
      </c>
      <c r="D40" s="169">
        <v>49782608.579999998</v>
      </c>
      <c r="E40" s="169"/>
      <c r="F40" s="298">
        <v>22286</v>
      </c>
      <c r="G40" s="169">
        <v>1615</v>
      </c>
      <c r="H40" s="169">
        <v>192026759.19999999</v>
      </c>
      <c r="I40" s="169">
        <v>23901</v>
      </c>
      <c r="J40" s="299"/>
      <c r="K40" s="248">
        <v>12727</v>
      </c>
      <c r="L40" s="246">
        <v>10510</v>
      </c>
      <c r="M40" s="275">
        <v>664</v>
      </c>
    </row>
    <row r="41" spans="1:15" ht="13.15" customHeight="1">
      <c r="A41" s="196" t="s">
        <v>436</v>
      </c>
      <c r="B41" s="1109" t="s">
        <v>1115</v>
      </c>
      <c r="C41" s="166">
        <v>101736</v>
      </c>
      <c r="D41" s="169">
        <v>92053013.510000005</v>
      </c>
      <c r="E41" s="169"/>
      <c r="F41" s="298">
        <v>39597</v>
      </c>
      <c r="G41" s="169">
        <v>5441</v>
      </c>
      <c r="H41" s="169">
        <v>401861066.66000003</v>
      </c>
      <c r="I41" s="169">
        <v>45038</v>
      </c>
      <c r="J41" s="299"/>
      <c r="K41" s="248">
        <v>24960</v>
      </c>
      <c r="L41" s="246">
        <v>18752</v>
      </c>
      <c r="M41" s="275">
        <v>1326</v>
      </c>
    </row>
    <row r="42" spans="1:15" ht="13.15" customHeight="1">
      <c r="A42" s="196" t="s">
        <v>439</v>
      </c>
      <c r="B42" s="1109" t="s">
        <v>1116</v>
      </c>
      <c r="C42" s="166">
        <v>16643</v>
      </c>
      <c r="D42" s="169">
        <v>15092426.08</v>
      </c>
      <c r="E42" s="169"/>
      <c r="F42" s="298">
        <v>7236</v>
      </c>
      <c r="G42" s="169">
        <v>244</v>
      </c>
      <c r="H42" s="169">
        <v>52495886.630000003</v>
      </c>
      <c r="I42" s="169">
        <v>7480</v>
      </c>
      <c r="J42" s="299"/>
      <c r="K42" s="248">
        <v>4169</v>
      </c>
      <c r="L42" s="246">
        <v>3087</v>
      </c>
      <c r="M42" s="275">
        <v>224</v>
      </c>
    </row>
    <row r="43" spans="1:15" ht="17.149999999999999" customHeight="1">
      <c r="A43" s="208" t="s">
        <v>613</v>
      </c>
      <c r="B43" s="1105"/>
      <c r="C43" s="279"/>
      <c r="D43" s="279"/>
      <c r="E43" s="279"/>
      <c r="F43" s="279"/>
      <c r="G43" s="279"/>
      <c r="H43" s="279"/>
      <c r="I43" s="279"/>
      <c r="J43" s="279"/>
      <c r="K43" s="277"/>
      <c r="L43" s="277"/>
      <c r="M43" s="277"/>
      <c r="N43" s="280"/>
      <c r="O43" s="280"/>
    </row>
    <row r="44" spans="1:15" ht="15" customHeight="1">
      <c r="A44" s="300" t="str">
        <f>A2</f>
        <v>Exemptions, Standard and Itemized Deductions, and Number of Returns by Filing Status/Locality</v>
      </c>
      <c r="B44" s="1105"/>
      <c r="C44" s="279"/>
      <c r="D44" s="279"/>
      <c r="E44" s="279"/>
      <c r="F44" s="279"/>
      <c r="G44" s="279"/>
      <c r="H44" s="279"/>
      <c r="I44" s="279"/>
      <c r="J44" s="279"/>
      <c r="K44" s="277"/>
      <c r="L44" s="277"/>
      <c r="M44" s="277"/>
    </row>
    <row r="45" spans="1:15" ht="15" customHeight="1">
      <c r="A45" s="1114" t="str">
        <f>A$3</f>
        <v>Taxable Year 2020</v>
      </c>
      <c r="B45" s="1104"/>
      <c r="C45" s="279"/>
      <c r="D45" s="279"/>
      <c r="E45" s="279"/>
      <c r="F45" s="279"/>
      <c r="G45" s="279"/>
      <c r="H45" s="279"/>
      <c r="I45" s="279"/>
      <c r="J45" s="279"/>
      <c r="K45" s="277"/>
      <c r="L45" s="277"/>
      <c r="M45" s="277"/>
    </row>
    <row r="46" spans="1:15" ht="3" customHeight="1">
      <c r="A46" s="280"/>
      <c r="B46" s="1088"/>
      <c r="C46" s="301"/>
      <c r="D46" s="301"/>
      <c r="E46" s="301"/>
      <c r="F46" s="301"/>
      <c r="G46" s="301"/>
      <c r="H46" s="301"/>
      <c r="I46" s="301"/>
      <c r="J46" s="301"/>
      <c r="K46" s="302"/>
      <c r="L46" s="302"/>
      <c r="M46" s="302"/>
    </row>
    <row r="47" spans="1:15" ht="3" customHeight="1" thickBot="1">
      <c r="A47" s="217"/>
      <c r="B47" s="1106"/>
      <c r="C47" s="279"/>
      <c r="D47" s="219"/>
      <c r="E47" s="219"/>
      <c r="F47" s="279"/>
      <c r="G47" s="279"/>
      <c r="H47" s="219"/>
      <c r="I47" s="279"/>
      <c r="J47" s="279"/>
      <c r="K47" s="277"/>
      <c r="L47" s="277"/>
      <c r="M47" s="249"/>
      <c r="N47" s="280"/>
      <c r="O47" s="280"/>
    </row>
    <row r="48" spans="1:15" ht="13.15" customHeight="1">
      <c r="A48" s="925"/>
      <c r="B48" s="1107"/>
      <c r="C48" s="1089" t="s">
        <v>322</v>
      </c>
      <c r="D48" s="1089"/>
      <c r="E48" s="282"/>
      <c r="F48" s="937" t="s">
        <v>323</v>
      </c>
      <c r="G48" s="1090"/>
      <c r="H48" s="1090"/>
      <c r="I48" s="1090"/>
      <c r="J48" s="283"/>
      <c r="K48" s="1091" t="s">
        <v>610</v>
      </c>
      <c r="L48" s="1091"/>
      <c r="M48" s="1092"/>
    </row>
    <row r="49" spans="1:13" ht="25" customHeight="1">
      <c r="A49" s="1101" t="s">
        <v>21</v>
      </c>
      <c r="B49" s="1102" t="s">
        <v>963</v>
      </c>
      <c r="C49" s="1095" t="s">
        <v>611</v>
      </c>
      <c r="D49" s="1094" t="s">
        <v>19</v>
      </c>
      <c r="E49" s="1094"/>
      <c r="F49" s="1096" t="s">
        <v>321</v>
      </c>
      <c r="G49" s="1095" t="s">
        <v>320</v>
      </c>
      <c r="H49" s="1094" t="s">
        <v>19</v>
      </c>
      <c r="I49" s="1097" t="s">
        <v>1217</v>
      </c>
      <c r="J49" s="1098"/>
      <c r="K49" s="1099" t="s">
        <v>612</v>
      </c>
      <c r="L49" s="1100" t="s">
        <v>1218</v>
      </c>
      <c r="M49" s="1093" t="s">
        <v>1219</v>
      </c>
    </row>
    <row r="50" spans="1:13" ht="24" customHeight="1">
      <c r="A50" s="196" t="s">
        <v>442</v>
      </c>
      <c r="B50" s="1109" t="s">
        <v>1117</v>
      </c>
      <c r="C50" s="166">
        <v>39696</v>
      </c>
      <c r="D50" s="169">
        <v>35913077.32</v>
      </c>
      <c r="E50" s="169"/>
      <c r="F50" s="298">
        <v>16245</v>
      </c>
      <c r="G50" s="169">
        <v>1639</v>
      </c>
      <c r="H50" s="169">
        <v>144424044.43000001</v>
      </c>
      <c r="I50" s="169">
        <v>17884</v>
      </c>
      <c r="J50" s="299"/>
      <c r="K50" s="248">
        <v>9779</v>
      </c>
      <c r="L50" s="246">
        <v>7534</v>
      </c>
      <c r="M50" s="275">
        <v>571</v>
      </c>
    </row>
    <row r="51" spans="1:13" ht="13.15" customHeight="1">
      <c r="A51" s="196" t="s">
        <v>444</v>
      </c>
      <c r="B51" s="1109" t="s">
        <v>1118</v>
      </c>
      <c r="C51" s="166">
        <v>27953</v>
      </c>
      <c r="D51" s="169">
        <v>25200887.050000001</v>
      </c>
      <c r="E51" s="169"/>
      <c r="F51" s="298">
        <v>9539</v>
      </c>
      <c r="G51" s="169">
        <v>2410</v>
      </c>
      <c r="H51" s="169">
        <v>154987345.27000001</v>
      </c>
      <c r="I51" s="169">
        <v>11949</v>
      </c>
      <c r="J51" s="299"/>
      <c r="K51" s="248">
        <v>5813</v>
      </c>
      <c r="L51" s="246">
        <v>5775</v>
      </c>
      <c r="M51" s="275">
        <v>361</v>
      </c>
    </row>
    <row r="52" spans="1:13" ht="13.15" customHeight="1">
      <c r="A52" s="196" t="s">
        <v>446</v>
      </c>
      <c r="B52" s="1109" t="s">
        <v>1119</v>
      </c>
      <c r="C52" s="166">
        <v>14855</v>
      </c>
      <c r="D52" s="169">
        <v>13419815.119999999</v>
      </c>
      <c r="E52" s="169"/>
      <c r="F52" s="298">
        <v>6406</v>
      </c>
      <c r="G52" s="169">
        <v>202</v>
      </c>
      <c r="H52" s="169">
        <v>47587024.899999999</v>
      </c>
      <c r="I52" s="169">
        <v>6608</v>
      </c>
      <c r="J52" s="299"/>
      <c r="K52" s="248">
        <v>3443</v>
      </c>
      <c r="L52" s="246">
        <v>2941</v>
      </c>
      <c r="M52" s="275">
        <v>224</v>
      </c>
    </row>
    <row r="53" spans="1:13" ht="13.15" customHeight="1">
      <c r="A53" s="196" t="s">
        <v>449</v>
      </c>
      <c r="B53" s="1109" t="s">
        <v>1120</v>
      </c>
      <c r="C53" s="166">
        <v>20748</v>
      </c>
      <c r="D53" s="169">
        <v>18846552.059999999</v>
      </c>
      <c r="E53" s="169"/>
      <c r="F53" s="298">
        <v>8320</v>
      </c>
      <c r="G53" s="169">
        <v>761</v>
      </c>
      <c r="H53" s="169">
        <v>74253443.109999999</v>
      </c>
      <c r="I53" s="169">
        <v>9081</v>
      </c>
      <c r="J53" s="299"/>
      <c r="K53" s="248">
        <v>4956</v>
      </c>
      <c r="L53" s="246">
        <v>3855</v>
      </c>
      <c r="M53" s="275">
        <v>270</v>
      </c>
    </row>
    <row r="54" spans="1:13" ht="13.15" customHeight="1">
      <c r="A54" s="196" t="s">
        <v>452</v>
      </c>
      <c r="B54" s="1109" t="s">
        <v>1121</v>
      </c>
      <c r="C54" s="166">
        <v>11229</v>
      </c>
      <c r="D54" s="169">
        <v>10242102.630000001</v>
      </c>
      <c r="E54" s="169"/>
      <c r="F54" s="298">
        <v>5032</v>
      </c>
      <c r="G54" s="169">
        <v>445</v>
      </c>
      <c r="H54" s="169">
        <v>47343189.490000002</v>
      </c>
      <c r="I54" s="169">
        <v>5477</v>
      </c>
      <c r="J54" s="299"/>
      <c r="K54" s="248">
        <v>3886</v>
      </c>
      <c r="L54" s="246">
        <v>1345</v>
      </c>
      <c r="M54" s="275">
        <v>246</v>
      </c>
    </row>
    <row r="55" spans="1:13" ht="24" customHeight="1">
      <c r="A55" s="196" t="s">
        <v>328</v>
      </c>
      <c r="B55" s="1109" t="s">
        <v>1122</v>
      </c>
      <c r="C55" s="166">
        <v>33211</v>
      </c>
      <c r="D55" s="169">
        <v>30147970.800000001</v>
      </c>
      <c r="E55" s="169"/>
      <c r="F55" s="298">
        <v>14587</v>
      </c>
      <c r="G55" s="169">
        <v>639</v>
      </c>
      <c r="H55" s="169">
        <v>104889061.06999999</v>
      </c>
      <c r="I55" s="169">
        <v>15226</v>
      </c>
      <c r="J55" s="299"/>
      <c r="K55" s="248">
        <v>9563</v>
      </c>
      <c r="L55" s="246">
        <v>5089</v>
      </c>
      <c r="M55" s="275">
        <v>574</v>
      </c>
    </row>
    <row r="56" spans="1:13" ht="13.15" customHeight="1">
      <c r="A56" s="196" t="s">
        <v>332</v>
      </c>
      <c r="B56" s="1109" t="s">
        <v>1123</v>
      </c>
      <c r="C56" s="166">
        <v>120397</v>
      </c>
      <c r="D56" s="169">
        <v>109275796.59999999</v>
      </c>
      <c r="E56" s="169"/>
      <c r="F56" s="298">
        <v>44410</v>
      </c>
      <c r="G56" s="169">
        <v>7609</v>
      </c>
      <c r="H56" s="248">
        <v>497545848.10000002</v>
      </c>
      <c r="I56" s="169">
        <v>52019</v>
      </c>
      <c r="J56" s="299"/>
      <c r="K56" s="248">
        <v>27417</v>
      </c>
      <c r="L56" s="246">
        <v>23225</v>
      </c>
      <c r="M56" s="275">
        <v>1377</v>
      </c>
    </row>
    <row r="57" spans="1:13" ht="13.15" customHeight="1">
      <c r="A57" s="196" t="s">
        <v>336</v>
      </c>
      <c r="B57" s="1109" t="s">
        <v>1124</v>
      </c>
      <c r="C57" s="166">
        <v>339176</v>
      </c>
      <c r="D57" s="169">
        <v>308083010.92000002</v>
      </c>
      <c r="E57" s="169"/>
      <c r="F57" s="298">
        <v>138648</v>
      </c>
      <c r="G57" s="169">
        <v>21866</v>
      </c>
      <c r="H57" s="169">
        <v>1393881596.5</v>
      </c>
      <c r="I57" s="169">
        <v>160514</v>
      </c>
      <c r="J57" s="299"/>
      <c r="K57" s="248">
        <v>102645</v>
      </c>
      <c r="L57" s="246">
        <v>52792</v>
      </c>
      <c r="M57" s="275">
        <v>5077</v>
      </c>
    </row>
    <row r="58" spans="1:13" ht="13.15" customHeight="1">
      <c r="A58" s="196" t="s">
        <v>340</v>
      </c>
      <c r="B58" s="1109" t="s">
        <v>1125</v>
      </c>
      <c r="C58" s="166">
        <v>49301</v>
      </c>
      <c r="D58" s="169">
        <v>44806303.270000003</v>
      </c>
      <c r="E58" s="169"/>
      <c r="F58" s="298">
        <v>22174</v>
      </c>
      <c r="G58" s="169">
        <v>814</v>
      </c>
      <c r="H58" s="169">
        <v>157040249.15000001</v>
      </c>
      <c r="I58" s="169">
        <v>22988</v>
      </c>
      <c r="J58" s="299"/>
      <c r="K58" s="248">
        <v>14333</v>
      </c>
      <c r="L58" s="246">
        <v>7934</v>
      </c>
      <c r="M58" s="275">
        <v>721</v>
      </c>
    </row>
    <row r="59" spans="1:13" ht="13.15" customHeight="1">
      <c r="A59" s="196" t="s">
        <v>344</v>
      </c>
      <c r="B59" s="1109" t="s">
        <v>1126</v>
      </c>
      <c r="C59" s="166">
        <v>2590</v>
      </c>
      <c r="D59" s="169">
        <v>2319543.79</v>
      </c>
      <c r="E59" s="169"/>
      <c r="F59" s="298">
        <v>1017</v>
      </c>
      <c r="G59" s="169">
        <v>56</v>
      </c>
      <c r="H59" s="169">
        <v>8774706.6600000001</v>
      </c>
      <c r="I59" s="169">
        <v>1073</v>
      </c>
      <c r="J59" s="299"/>
      <c r="K59" s="248">
        <v>501</v>
      </c>
      <c r="L59" s="246">
        <v>537</v>
      </c>
      <c r="M59" s="309">
        <v>35</v>
      </c>
    </row>
    <row r="60" spans="1:13" ht="24" customHeight="1">
      <c r="A60" s="196" t="s">
        <v>348</v>
      </c>
      <c r="B60" s="1109" t="s">
        <v>1127</v>
      </c>
      <c r="C60" s="166">
        <v>40640</v>
      </c>
      <c r="D60" s="169">
        <v>36794127.380000003</v>
      </c>
      <c r="E60" s="169"/>
      <c r="F60" s="298">
        <v>15126</v>
      </c>
      <c r="G60" s="169">
        <v>2678</v>
      </c>
      <c r="H60" s="169">
        <v>172291669.77000001</v>
      </c>
      <c r="I60" s="169">
        <v>17804</v>
      </c>
      <c r="J60" s="299"/>
      <c r="K60" s="248">
        <v>9463</v>
      </c>
      <c r="L60" s="246">
        <v>7692</v>
      </c>
      <c r="M60" s="275">
        <v>649</v>
      </c>
    </row>
    <row r="61" spans="1:13" ht="13.15" customHeight="1">
      <c r="A61" s="196" t="s">
        <v>352</v>
      </c>
      <c r="B61" s="1109" t="s">
        <v>1128</v>
      </c>
      <c r="C61" s="166">
        <v>89366</v>
      </c>
      <c r="D61" s="169">
        <v>79799263.590000004</v>
      </c>
      <c r="E61" s="169"/>
      <c r="F61" s="298">
        <v>30579</v>
      </c>
      <c r="G61" s="169">
        <v>6489</v>
      </c>
      <c r="H61" s="169">
        <v>399991483.05000001</v>
      </c>
      <c r="I61" s="169">
        <v>37068</v>
      </c>
      <c r="J61" s="299"/>
      <c r="K61" s="248">
        <v>18978</v>
      </c>
      <c r="L61" s="246">
        <v>16935</v>
      </c>
      <c r="M61" s="275">
        <v>1155</v>
      </c>
    </row>
    <row r="62" spans="1:13" ht="13.15" customHeight="1">
      <c r="A62" s="196" t="s">
        <v>356</v>
      </c>
      <c r="B62" s="1109" t="s">
        <v>1129</v>
      </c>
      <c r="C62" s="166">
        <v>6989</v>
      </c>
      <c r="D62" s="169">
        <v>6351164.4900000002</v>
      </c>
      <c r="E62" s="169"/>
      <c r="F62" s="298">
        <v>3058</v>
      </c>
      <c r="G62" s="169">
        <v>212</v>
      </c>
      <c r="H62" s="169">
        <v>23834285.469999999</v>
      </c>
      <c r="I62" s="169">
        <v>3270</v>
      </c>
      <c r="J62" s="299"/>
      <c r="K62" s="248">
        <v>1958</v>
      </c>
      <c r="L62" s="246">
        <v>1187</v>
      </c>
      <c r="M62" s="275">
        <v>125</v>
      </c>
    </row>
    <row r="63" spans="1:13" ht="13.15" customHeight="1">
      <c r="A63" s="196" t="s">
        <v>360</v>
      </c>
      <c r="B63" s="1109" t="s">
        <v>1130</v>
      </c>
      <c r="C63" s="166">
        <v>28417</v>
      </c>
      <c r="D63" s="169">
        <v>25741447.539999999</v>
      </c>
      <c r="E63" s="169"/>
      <c r="F63" s="298">
        <v>10491</v>
      </c>
      <c r="G63" s="169">
        <v>2040</v>
      </c>
      <c r="H63" s="169">
        <v>116268568.76000001</v>
      </c>
      <c r="I63" s="169">
        <v>12531</v>
      </c>
      <c r="J63" s="299"/>
      <c r="K63" s="248">
        <v>6861</v>
      </c>
      <c r="L63" s="246">
        <v>5124</v>
      </c>
      <c r="M63" s="275">
        <v>546</v>
      </c>
    </row>
    <row r="64" spans="1:13" ht="13.15" customHeight="1">
      <c r="A64" s="196" t="s">
        <v>364</v>
      </c>
      <c r="B64" s="1109" t="s">
        <v>1131</v>
      </c>
      <c r="C64" s="166">
        <v>18764</v>
      </c>
      <c r="D64" s="169">
        <v>17094331.670000002</v>
      </c>
      <c r="E64" s="169"/>
      <c r="F64" s="298">
        <v>7730</v>
      </c>
      <c r="G64" s="169">
        <v>707</v>
      </c>
      <c r="H64" s="169">
        <v>70013194.590000004</v>
      </c>
      <c r="I64" s="169">
        <v>8437</v>
      </c>
      <c r="J64" s="299"/>
      <c r="K64" s="248">
        <v>4669</v>
      </c>
      <c r="L64" s="246">
        <v>3508</v>
      </c>
      <c r="M64" s="275">
        <v>260</v>
      </c>
    </row>
    <row r="65" spans="1:15" ht="24" customHeight="1">
      <c r="A65" s="196" t="s">
        <v>368</v>
      </c>
      <c r="B65" s="1109" t="s">
        <v>1132</v>
      </c>
      <c r="C65" s="166">
        <v>12768</v>
      </c>
      <c r="D65" s="169">
        <v>11383882.57</v>
      </c>
      <c r="E65" s="169"/>
      <c r="F65" s="298">
        <v>4615</v>
      </c>
      <c r="G65" s="169">
        <v>887</v>
      </c>
      <c r="H65" s="169">
        <v>76077839.900000006</v>
      </c>
      <c r="I65" s="169">
        <v>5502</v>
      </c>
      <c r="J65" s="299"/>
      <c r="K65" s="248">
        <v>3203</v>
      </c>
      <c r="L65" s="246">
        <v>2146</v>
      </c>
      <c r="M65" s="275">
        <v>153</v>
      </c>
    </row>
    <row r="66" spans="1:15" ht="13.15" customHeight="1">
      <c r="A66" s="196" t="s">
        <v>372</v>
      </c>
      <c r="B66" s="1109" t="s">
        <v>1133</v>
      </c>
      <c r="C66" s="166">
        <v>17955</v>
      </c>
      <c r="D66" s="169">
        <v>16293055.130000001</v>
      </c>
      <c r="E66" s="169"/>
      <c r="F66" s="298">
        <v>7674</v>
      </c>
      <c r="G66" s="169">
        <v>150</v>
      </c>
      <c r="H66" s="169">
        <v>54905183.189999998</v>
      </c>
      <c r="I66" s="169">
        <v>7824</v>
      </c>
      <c r="J66" s="299"/>
      <c r="K66" s="248">
        <v>4256</v>
      </c>
      <c r="L66" s="246">
        <v>3334</v>
      </c>
      <c r="M66" s="275">
        <v>234</v>
      </c>
    </row>
    <row r="67" spans="1:15" ht="13.15" customHeight="1">
      <c r="A67" s="196" t="s">
        <v>376</v>
      </c>
      <c r="B67" s="1109" t="s">
        <v>1134</v>
      </c>
      <c r="C67" s="166">
        <v>459584</v>
      </c>
      <c r="D67" s="169">
        <v>419199089.25</v>
      </c>
      <c r="E67" s="169"/>
      <c r="F67" s="298">
        <v>137176</v>
      </c>
      <c r="G67" s="169">
        <v>57719</v>
      </c>
      <c r="H67" s="169">
        <v>2555951443.6700001</v>
      </c>
      <c r="I67" s="169">
        <v>194895</v>
      </c>
      <c r="J67" s="299"/>
      <c r="K67" s="248">
        <v>98169</v>
      </c>
      <c r="L67" s="246">
        <v>90309</v>
      </c>
      <c r="M67" s="275">
        <v>6417</v>
      </c>
    </row>
    <row r="68" spans="1:15" ht="13.15" customHeight="1">
      <c r="A68" s="196" t="s">
        <v>380</v>
      </c>
      <c r="B68" s="1109" t="s">
        <v>1135</v>
      </c>
      <c r="C68" s="166">
        <v>39226</v>
      </c>
      <c r="D68" s="169">
        <v>35532962.009999998</v>
      </c>
      <c r="E68" s="169"/>
      <c r="F68" s="298">
        <v>15698</v>
      </c>
      <c r="G68" s="169">
        <v>1793</v>
      </c>
      <c r="H68" s="169">
        <v>143194557.91999999</v>
      </c>
      <c r="I68" s="169">
        <v>17491</v>
      </c>
      <c r="J68" s="299"/>
      <c r="K68" s="248">
        <v>9599</v>
      </c>
      <c r="L68" s="246">
        <v>7325</v>
      </c>
      <c r="M68" s="275">
        <v>567</v>
      </c>
    </row>
    <row r="69" spans="1:15" ht="13.15" customHeight="1">
      <c r="A69" s="196" t="s">
        <v>384</v>
      </c>
      <c r="B69" s="1109" t="s">
        <v>1136</v>
      </c>
      <c r="C69" s="166">
        <v>10421</v>
      </c>
      <c r="D69" s="169">
        <v>9443018.5899999999</v>
      </c>
      <c r="E69" s="169"/>
      <c r="F69" s="298">
        <v>4422</v>
      </c>
      <c r="G69" s="169">
        <v>216</v>
      </c>
      <c r="H69" s="169">
        <v>34694611.979999997</v>
      </c>
      <c r="I69" s="169">
        <v>4638</v>
      </c>
      <c r="J69" s="299"/>
      <c r="K69" s="248">
        <v>2871</v>
      </c>
      <c r="L69" s="246">
        <v>1633</v>
      </c>
      <c r="M69" s="275">
        <v>134</v>
      </c>
    </row>
    <row r="70" spans="1:15" ht="24" customHeight="1">
      <c r="A70" s="196" t="s">
        <v>388</v>
      </c>
      <c r="B70" s="1109" t="s">
        <v>1137</v>
      </c>
      <c r="C70" s="166">
        <v>13757</v>
      </c>
      <c r="D70" s="169">
        <v>12492136.939999999</v>
      </c>
      <c r="E70" s="169"/>
      <c r="F70" s="298">
        <v>5522</v>
      </c>
      <c r="G70" s="169">
        <v>526</v>
      </c>
      <c r="H70" s="169">
        <v>50991448.530000001</v>
      </c>
      <c r="I70" s="169">
        <v>6048</v>
      </c>
      <c r="J70" s="299"/>
      <c r="K70" s="248">
        <v>3262</v>
      </c>
      <c r="L70" s="246">
        <v>2623</v>
      </c>
      <c r="M70" s="275">
        <v>163</v>
      </c>
    </row>
    <row r="71" spans="1:15" ht="13.15" customHeight="1">
      <c r="A71" s="196" t="s">
        <v>390</v>
      </c>
      <c r="B71" s="1109" t="s">
        <v>1138</v>
      </c>
      <c r="C71" s="166">
        <v>9718</v>
      </c>
      <c r="D71" s="169">
        <v>8716579.2300000004</v>
      </c>
      <c r="E71" s="169"/>
      <c r="F71" s="298">
        <v>3762</v>
      </c>
      <c r="G71" s="169">
        <v>403</v>
      </c>
      <c r="H71" s="169">
        <v>36916667.340000004</v>
      </c>
      <c r="I71" s="169">
        <v>4165</v>
      </c>
      <c r="J71" s="299"/>
      <c r="K71" s="248">
        <v>2193</v>
      </c>
      <c r="L71" s="246">
        <v>1858</v>
      </c>
      <c r="M71" s="275">
        <v>114</v>
      </c>
    </row>
    <row r="72" spans="1:15" ht="13.15" customHeight="1">
      <c r="A72" s="196" t="s">
        <v>393</v>
      </c>
      <c r="B72" s="1109" t="s">
        <v>1139</v>
      </c>
      <c r="C72" s="166">
        <v>32196</v>
      </c>
      <c r="D72" s="169">
        <v>29103898.18</v>
      </c>
      <c r="E72" s="169"/>
      <c r="F72" s="298">
        <v>13609</v>
      </c>
      <c r="G72" s="169">
        <v>934</v>
      </c>
      <c r="H72" s="169">
        <v>125312745.59</v>
      </c>
      <c r="I72" s="169">
        <v>14543</v>
      </c>
      <c r="J72" s="299"/>
      <c r="K72" s="248">
        <v>8953</v>
      </c>
      <c r="L72" s="246">
        <v>5114</v>
      </c>
      <c r="M72" s="275">
        <v>476</v>
      </c>
    </row>
    <row r="73" spans="1:15" ht="13.15" customHeight="1">
      <c r="A73" s="197" t="s">
        <v>396</v>
      </c>
      <c r="B73" s="1088" t="s">
        <v>1140</v>
      </c>
      <c r="C73" s="169">
        <v>11700</v>
      </c>
      <c r="D73" s="169">
        <v>10483690.710000001</v>
      </c>
      <c r="E73" s="169"/>
      <c r="F73" s="298">
        <v>4605</v>
      </c>
      <c r="G73" s="169">
        <v>474</v>
      </c>
      <c r="H73" s="248">
        <v>44210714.079999998</v>
      </c>
      <c r="I73" s="169">
        <v>5079</v>
      </c>
      <c r="J73" s="299"/>
      <c r="K73" s="248">
        <v>2791</v>
      </c>
      <c r="L73" s="248">
        <v>2130</v>
      </c>
      <c r="M73" s="277">
        <v>158</v>
      </c>
    </row>
    <row r="74" spans="1:15" ht="13.15" customHeight="1">
      <c r="A74" s="197" t="s">
        <v>399</v>
      </c>
      <c r="B74" s="1088" t="s">
        <v>1141</v>
      </c>
      <c r="C74" s="169">
        <v>78300</v>
      </c>
      <c r="D74" s="169">
        <v>70848814.430000007</v>
      </c>
      <c r="E74" s="169"/>
      <c r="F74" s="298">
        <v>34635</v>
      </c>
      <c r="G74" s="169">
        <v>3208</v>
      </c>
      <c r="H74" s="169">
        <v>315410073.41000003</v>
      </c>
      <c r="I74" s="169">
        <v>37843</v>
      </c>
      <c r="J74" s="299"/>
      <c r="K74" s="248">
        <v>22652</v>
      </c>
      <c r="L74" s="248">
        <v>13965</v>
      </c>
      <c r="M74" s="277">
        <v>1226</v>
      </c>
      <c r="N74" s="280"/>
      <c r="O74" s="280"/>
    </row>
    <row r="75" spans="1:15" ht="24" customHeight="1">
      <c r="A75" s="196" t="s">
        <v>401</v>
      </c>
      <c r="B75" s="1109" t="s">
        <v>1142</v>
      </c>
      <c r="C75" s="166">
        <v>17078</v>
      </c>
      <c r="D75" s="297">
        <v>15357973.32</v>
      </c>
      <c r="E75" s="297"/>
      <c r="F75" s="298">
        <v>6832</v>
      </c>
      <c r="G75" s="169">
        <v>670</v>
      </c>
      <c r="H75" s="297">
        <v>61601156.119999997</v>
      </c>
      <c r="I75" s="169">
        <v>7502</v>
      </c>
      <c r="J75" s="299"/>
      <c r="K75" s="248">
        <v>4172</v>
      </c>
      <c r="L75" s="246">
        <v>3124</v>
      </c>
      <c r="M75" s="275">
        <v>206</v>
      </c>
    </row>
    <row r="76" spans="1:15" ht="13.15" customHeight="1">
      <c r="A76" s="196" t="s">
        <v>404</v>
      </c>
      <c r="B76" s="1109" t="s">
        <v>1143</v>
      </c>
      <c r="C76" s="166">
        <v>26030</v>
      </c>
      <c r="D76" s="169">
        <v>23531109.170000002</v>
      </c>
      <c r="E76" s="169"/>
      <c r="F76" s="298">
        <v>9583</v>
      </c>
      <c r="G76" s="169">
        <v>1597</v>
      </c>
      <c r="H76" s="169">
        <v>110705803.23</v>
      </c>
      <c r="I76" s="169">
        <v>11180</v>
      </c>
      <c r="J76" s="299"/>
      <c r="K76" s="248">
        <v>5422</v>
      </c>
      <c r="L76" s="246">
        <v>5382</v>
      </c>
      <c r="M76" s="275">
        <v>376</v>
      </c>
    </row>
    <row r="77" spans="1:15" ht="13.15" customHeight="1">
      <c r="A77" s="196" t="s">
        <v>406</v>
      </c>
      <c r="B77" s="1109" t="s">
        <v>1144</v>
      </c>
      <c r="C77" s="166">
        <v>12373</v>
      </c>
      <c r="D77" s="169">
        <v>11110165.85</v>
      </c>
      <c r="E77" s="169"/>
      <c r="F77" s="298">
        <v>5117</v>
      </c>
      <c r="G77" s="169">
        <v>509</v>
      </c>
      <c r="H77" s="169">
        <v>44742114.609999999</v>
      </c>
      <c r="I77" s="169">
        <v>5626</v>
      </c>
      <c r="J77" s="299"/>
      <c r="K77" s="248">
        <v>3530</v>
      </c>
      <c r="L77" s="246">
        <v>1904</v>
      </c>
      <c r="M77" s="275">
        <v>192</v>
      </c>
    </row>
    <row r="78" spans="1:15" ht="13.15" customHeight="1">
      <c r="A78" s="196" t="s">
        <v>409</v>
      </c>
      <c r="B78" s="1109" t="s">
        <v>1145</v>
      </c>
      <c r="C78" s="166">
        <v>13948</v>
      </c>
      <c r="D78" s="169">
        <v>12425824.41</v>
      </c>
      <c r="E78" s="169"/>
      <c r="F78" s="298">
        <v>5139</v>
      </c>
      <c r="G78" s="169">
        <v>737</v>
      </c>
      <c r="H78" s="169">
        <v>53211400.240000002</v>
      </c>
      <c r="I78" s="169">
        <v>5876</v>
      </c>
      <c r="J78" s="299"/>
      <c r="K78" s="248">
        <v>3213</v>
      </c>
      <c r="L78" s="246">
        <v>2462</v>
      </c>
      <c r="M78" s="275">
        <v>201</v>
      </c>
    </row>
    <row r="79" spans="1:15" ht="13.15" customHeight="1">
      <c r="A79" s="196" t="s">
        <v>412</v>
      </c>
      <c r="B79" s="1109" t="s">
        <v>1146</v>
      </c>
      <c r="C79" s="166">
        <v>13144</v>
      </c>
      <c r="D79" s="169">
        <v>11946496.800000001</v>
      </c>
      <c r="E79" s="169"/>
      <c r="F79" s="298">
        <v>5730</v>
      </c>
      <c r="G79" s="169">
        <v>311</v>
      </c>
      <c r="H79" s="169">
        <v>42731363.289999999</v>
      </c>
      <c r="I79" s="169">
        <v>6041</v>
      </c>
      <c r="J79" s="299"/>
      <c r="K79" s="248">
        <v>3885</v>
      </c>
      <c r="L79" s="246">
        <v>1957</v>
      </c>
      <c r="M79" s="275">
        <v>199</v>
      </c>
    </row>
    <row r="80" spans="1:15" ht="24" customHeight="1">
      <c r="A80" s="196" t="s">
        <v>415</v>
      </c>
      <c r="B80" s="1109" t="s">
        <v>1147</v>
      </c>
      <c r="C80" s="166">
        <v>40750</v>
      </c>
      <c r="D80" s="169">
        <v>36862546.719999999</v>
      </c>
      <c r="E80" s="169"/>
      <c r="F80" s="298">
        <v>16077</v>
      </c>
      <c r="G80" s="169">
        <v>2010</v>
      </c>
      <c r="H80" s="169">
        <v>177772631.28999999</v>
      </c>
      <c r="I80" s="169">
        <v>18087</v>
      </c>
      <c r="J80" s="299"/>
      <c r="K80" s="248">
        <v>10189</v>
      </c>
      <c r="L80" s="246">
        <v>7312</v>
      </c>
      <c r="M80" s="275">
        <v>586</v>
      </c>
    </row>
    <row r="81" spans="1:15" ht="13.15" customHeight="1">
      <c r="A81" s="196" t="s">
        <v>418</v>
      </c>
      <c r="B81" s="1109" t="s">
        <v>1148</v>
      </c>
      <c r="C81" s="166">
        <v>23615</v>
      </c>
      <c r="D81" s="169">
        <v>21444527.800000001</v>
      </c>
      <c r="E81" s="169"/>
      <c r="F81" s="298">
        <v>10282</v>
      </c>
      <c r="G81" s="169">
        <v>503</v>
      </c>
      <c r="H81" s="169">
        <v>114999103.73</v>
      </c>
      <c r="I81" s="169">
        <v>10785</v>
      </c>
      <c r="J81" s="299"/>
      <c r="K81" s="248">
        <v>6251</v>
      </c>
      <c r="L81" s="246">
        <v>4265</v>
      </c>
      <c r="M81" s="275">
        <v>269</v>
      </c>
    </row>
    <row r="82" spans="1:15" ht="13.15" customHeight="1">
      <c r="A82" s="196" t="s">
        <v>421</v>
      </c>
      <c r="B82" s="1109" t="s">
        <v>1149</v>
      </c>
      <c r="C82" s="166">
        <v>16319</v>
      </c>
      <c r="D82" s="169">
        <v>14761199.109999999</v>
      </c>
      <c r="E82" s="169"/>
      <c r="F82" s="298">
        <v>6974</v>
      </c>
      <c r="G82" s="169">
        <v>245</v>
      </c>
      <c r="H82" s="169">
        <v>52213551.700000003</v>
      </c>
      <c r="I82" s="169">
        <v>7219</v>
      </c>
      <c r="J82" s="299"/>
      <c r="K82" s="248">
        <v>3903</v>
      </c>
      <c r="L82" s="246">
        <v>3125</v>
      </c>
      <c r="M82" s="275">
        <v>191</v>
      </c>
    </row>
    <row r="83" spans="1:15" ht="13.15" customHeight="1">
      <c r="A83" s="196" t="s">
        <v>424</v>
      </c>
      <c r="B83" s="1109" t="s">
        <v>1150</v>
      </c>
      <c r="C83" s="166">
        <v>60046</v>
      </c>
      <c r="D83" s="169">
        <v>54485442.43</v>
      </c>
      <c r="E83" s="169"/>
      <c r="F83" s="298">
        <v>25551</v>
      </c>
      <c r="G83" s="169">
        <v>1421</v>
      </c>
      <c r="H83" s="169">
        <v>199605931.69999999</v>
      </c>
      <c r="I83" s="169">
        <v>26972</v>
      </c>
      <c r="J83" s="299"/>
      <c r="K83" s="248">
        <v>15500</v>
      </c>
      <c r="L83" s="246">
        <v>10585</v>
      </c>
      <c r="M83" s="275">
        <v>887</v>
      </c>
    </row>
    <row r="84" spans="1:15" ht="13.15" customHeight="1">
      <c r="A84" s="196" t="s">
        <v>427</v>
      </c>
      <c r="B84" s="1109" t="s">
        <v>1151</v>
      </c>
      <c r="C84" s="166">
        <v>33618</v>
      </c>
      <c r="D84" s="169">
        <v>30483884.629999999</v>
      </c>
      <c r="E84" s="169"/>
      <c r="F84" s="298">
        <v>12035</v>
      </c>
      <c r="G84" s="169">
        <v>2110</v>
      </c>
      <c r="H84" s="169">
        <v>136181714.94</v>
      </c>
      <c r="I84" s="169">
        <v>14145</v>
      </c>
      <c r="J84" s="299"/>
      <c r="K84" s="248">
        <v>6774</v>
      </c>
      <c r="L84" s="246">
        <v>6995</v>
      </c>
      <c r="M84" s="275">
        <v>376</v>
      </c>
    </row>
    <row r="85" spans="1:15" ht="17.149999999999999" customHeight="1">
      <c r="A85" s="208" t="s">
        <v>613</v>
      </c>
      <c r="B85" s="1105"/>
      <c r="C85" s="279"/>
      <c r="D85" s="279"/>
      <c r="E85" s="279"/>
      <c r="F85" s="279"/>
      <c r="G85" s="279"/>
      <c r="H85" s="279"/>
      <c r="I85" s="279"/>
      <c r="J85" s="279"/>
      <c r="K85" s="277"/>
      <c r="L85" s="277"/>
      <c r="M85" s="277"/>
      <c r="N85" s="280"/>
      <c r="O85" s="280"/>
    </row>
    <row r="86" spans="1:15" ht="15" customHeight="1">
      <c r="A86" s="300" t="str">
        <f>A44</f>
        <v>Exemptions, Standard and Itemized Deductions, and Number of Returns by Filing Status/Locality</v>
      </c>
      <c r="B86" s="1105"/>
      <c r="C86" s="279"/>
      <c r="D86" s="279"/>
      <c r="E86" s="279"/>
      <c r="F86" s="279"/>
      <c r="G86" s="279"/>
      <c r="H86" s="279"/>
      <c r="I86" s="279"/>
      <c r="J86" s="279"/>
      <c r="K86" s="277"/>
      <c r="L86" s="277"/>
      <c r="M86" s="277"/>
    </row>
    <row r="87" spans="1:15" ht="15" customHeight="1">
      <c r="A87" s="1114" t="str">
        <f>A$3</f>
        <v>Taxable Year 2020</v>
      </c>
      <c r="B87" s="1104"/>
      <c r="C87" s="279"/>
      <c r="D87" s="279"/>
      <c r="E87" s="279"/>
      <c r="F87" s="279"/>
      <c r="G87" s="279"/>
      <c r="H87" s="279"/>
      <c r="I87" s="279"/>
      <c r="J87" s="279"/>
      <c r="K87" s="302"/>
      <c r="L87" s="302"/>
      <c r="M87" s="302"/>
    </row>
    <row r="88" spans="1:15" ht="3" customHeight="1">
      <c r="A88" s="217"/>
      <c r="B88" s="1105"/>
      <c r="C88" s="301"/>
      <c r="D88" s="301"/>
      <c r="E88" s="301"/>
      <c r="F88" s="301"/>
      <c r="G88" s="301"/>
      <c r="H88" s="301"/>
      <c r="I88" s="301"/>
      <c r="J88" s="301"/>
      <c r="K88" s="302"/>
      <c r="L88" s="302"/>
      <c r="M88" s="302"/>
    </row>
    <row r="89" spans="1:15" ht="3" customHeight="1" thickBot="1">
      <c r="A89" s="217"/>
      <c r="B89" s="1106"/>
      <c r="C89" s="279"/>
      <c r="D89" s="219"/>
      <c r="E89" s="219"/>
      <c r="F89" s="279"/>
      <c r="G89" s="279"/>
      <c r="H89" s="219"/>
      <c r="I89" s="279"/>
      <c r="J89" s="279"/>
      <c r="K89" s="277"/>
      <c r="L89" s="277"/>
      <c r="M89" s="249"/>
      <c r="N89" s="280"/>
      <c r="O89" s="280"/>
    </row>
    <row r="90" spans="1:15" ht="13.15" customHeight="1">
      <c r="A90" s="925"/>
      <c r="B90" s="1107"/>
      <c r="C90" s="1089" t="s">
        <v>322</v>
      </c>
      <c r="D90" s="1089"/>
      <c r="E90" s="282"/>
      <c r="F90" s="937" t="s">
        <v>323</v>
      </c>
      <c r="G90" s="1090"/>
      <c r="H90" s="1090"/>
      <c r="I90" s="1090"/>
      <c r="J90" s="283"/>
      <c r="K90" s="1091" t="s">
        <v>610</v>
      </c>
      <c r="L90" s="1091"/>
      <c r="M90" s="1092"/>
    </row>
    <row r="91" spans="1:15" ht="25" customHeight="1">
      <c r="A91" s="1101" t="s">
        <v>21</v>
      </c>
      <c r="B91" s="1102" t="s">
        <v>963</v>
      </c>
      <c r="C91" s="1095" t="s">
        <v>611</v>
      </c>
      <c r="D91" s="1094" t="s">
        <v>19</v>
      </c>
      <c r="E91" s="1094"/>
      <c r="F91" s="1096" t="s">
        <v>321</v>
      </c>
      <c r="G91" s="1095" t="s">
        <v>320</v>
      </c>
      <c r="H91" s="1094" t="s">
        <v>19</v>
      </c>
      <c r="I91" s="1097" t="s">
        <v>1217</v>
      </c>
      <c r="J91" s="1098"/>
      <c r="K91" s="1099" t="s">
        <v>612</v>
      </c>
      <c r="L91" s="1100" t="s">
        <v>1218</v>
      </c>
      <c r="M91" s="1093" t="s">
        <v>1219</v>
      </c>
    </row>
    <row r="92" spans="1:15" ht="24" customHeight="1">
      <c r="A92" s="196" t="s">
        <v>430</v>
      </c>
      <c r="B92" s="1109" t="s">
        <v>1152</v>
      </c>
      <c r="C92" s="166">
        <v>17292</v>
      </c>
      <c r="D92" s="169">
        <v>15662060.539999999</v>
      </c>
      <c r="E92" s="169"/>
      <c r="F92" s="298">
        <v>7584</v>
      </c>
      <c r="G92" s="169">
        <v>488</v>
      </c>
      <c r="H92" s="169">
        <v>59462514.810000002</v>
      </c>
      <c r="I92" s="169">
        <v>8072</v>
      </c>
      <c r="J92" s="299"/>
      <c r="K92" s="248">
        <v>5203</v>
      </c>
      <c r="L92" s="246">
        <v>2600</v>
      </c>
      <c r="M92" s="275">
        <v>269</v>
      </c>
    </row>
    <row r="93" spans="1:15" ht="13.15" customHeight="1">
      <c r="A93" s="196" t="s">
        <v>432</v>
      </c>
      <c r="B93" s="1109" t="s">
        <v>1153</v>
      </c>
      <c r="C93" s="166">
        <v>33203</v>
      </c>
      <c r="D93" s="169">
        <v>30101404.670000002</v>
      </c>
      <c r="E93" s="169"/>
      <c r="F93" s="298">
        <v>13424</v>
      </c>
      <c r="G93" s="169">
        <v>1552</v>
      </c>
      <c r="H93" s="169">
        <v>124549903.34</v>
      </c>
      <c r="I93" s="169">
        <v>14976</v>
      </c>
      <c r="J93" s="299"/>
      <c r="K93" s="248">
        <v>8745</v>
      </c>
      <c r="L93" s="246">
        <v>5586</v>
      </c>
      <c r="M93" s="275">
        <v>645</v>
      </c>
    </row>
    <row r="94" spans="1:15" ht="13.15" customHeight="1">
      <c r="A94" s="196" t="s">
        <v>435</v>
      </c>
      <c r="B94" s="1109" t="s">
        <v>1154</v>
      </c>
      <c r="C94" s="166">
        <v>490846</v>
      </c>
      <c r="D94" s="169">
        <v>447910882.51999998</v>
      </c>
      <c r="E94" s="169"/>
      <c r="F94" s="298">
        <v>172986</v>
      </c>
      <c r="G94" s="169">
        <v>49878</v>
      </c>
      <c r="H94" s="169">
        <v>2365610090.6900001</v>
      </c>
      <c r="I94" s="169">
        <v>222864</v>
      </c>
      <c r="J94" s="299"/>
      <c r="K94" s="248">
        <v>132003</v>
      </c>
      <c r="L94" s="246">
        <v>82787</v>
      </c>
      <c r="M94" s="275">
        <v>8074</v>
      </c>
    </row>
    <row r="95" spans="1:15" ht="13.15" customHeight="1">
      <c r="A95" s="196" t="s">
        <v>437</v>
      </c>
      <c r="B95" s="1109" t="s">
        <v>1155</v>
      </c>
      <c r="C95" s="166">
        <v>30920</v>
      </c>
      <c r="D95" s="169">
        <v>28056416.27</v>
      </c>
      <c r="E95" s="169"/>
      <c r="F95" s="298">
        <v>13745</v>
      </c>
      <c r="G95" s="169">
        <v>562</v>
      </c>
      <c r="H95" s="169">
        <v>102069187.5</v>
      </c>
      <c r="I95" s="169">
        <v>14307</v>
      </c>
      <c r="J95" s="299"/>
      <c r="K95" s="248">
        <v>8256</v>
      </c>
      <c r="L95" s="246">
        <v>5709</v>
      </c>
      <c r="M95" s="275">
        <v>342</v>
      </c>
    </row>
    <row r="96" spans="1:15" ht="13.15" customHeight="1">
      <c r="A96" s="196" t="s">
        <v>440</v>
      </c>
      <c r="B96" s="1109" t="s">
        <v>1156</v>
      </c>
      <c r="C96" s="166">
        <v>8169</v>
      </c>
      <c r="D96" s="169">
        <v>7337576.7800000003</v>
      </c>
      <c r="E96" s="169"/>
      <c r="F96" s="298">
        <v>2965</v>
      </c>
      <c r="G96" s="169">
        <v>637</v>
      </c>
      <c r="H96" s="169">
        <v>40641505.140000001</v>
      </c>
      <c r="I96" s="169">
        <v>3602</v>
      </c>
      <c r="J96" s="299"/>
      <c r="K96" s="248">
        <v>1965</v>
      </c>
      <c r="L96" s="246">
        <v>1509</v>
      </c>
      <c r="M96" s="275">
        <v>128</v>
      </c>
    </row>
    <row r="97" spans="1:15" ht="24" customHeight="1">
      <c r="A97" s="196" t="s">
        <v>370</v>
      </c>
      <c r="B97" s="1109" t="s">
        <v>1157</v>
      </c>
      <c r="C97" s="246">
        <v>14013</v>
      </c>
      <c r="D97" s="248">
        <v>12754522.76</v>
      </c>
      <c r="E97" s="248"/>
      <c r="F97" s="310">
        <v>5203</v>
      </c>
      <c r="G97" s="248">
        <v>1019</v>
      </c>
      <c r="H97" s="248">
        <v>101652638.44</v>
      </c>
      <c r="I97" s="248">
        <v>6222</v>
      </c>
      <c r="J97" s="311"/>
      <c r="K97" s="248">
        <v>3481</v>
      </c>
      <c r="L97" s="246">
        <v>2407</v>
      </c>
      <c r="M97" s="275">
        <v>334</v>
      </c>
    </row>
    <row r="98" spans="1:15" ht="13.15" customHeight="1">
      <c r="A98" s="196" t="s">
        <v>374</v>
      </c>
      <c r="B98" s="1109" t="s">
        <v>1158</v>
      </c>
      <c r="C98" s="166">
        <v>105623</v>
      </c>
      <c r="D98" s="169">
        <v>95388074.310000002</v>
      </c>
      <c r="E98" s="169"/>
      <c r="F98" s="298">
        <v>42249</v>
      </c>
      <c r="G98" s="169">
        <v>4118</v>
      </c>
      <c r="H98" s="169">
        <v>396462489.23000002</v>
      </c>
      <c r="I98" s="169">
        <v>46367</v>
      </c>
      <c r="J98" s="299"/>
      <c r="K98" s="248">
        <v>25630</v>
      </c>
      <c r="L98" s="246">
        <v>19566</v>
      </c>
      <c r="M98" s="275">
        <v>1171</v>
      </c>
    </row>
    <row r="99" spans="1:15" ht="13.15" customHeight="1">
      <c r="A99" s="196" t="s">
        <v>447</v>
      </c>
      <c r="B99" s="1109" t="s">
        <v>1159</v>
      </c>
      <c r="C99" s="166">
        <v>22504</v>
      </c>
      <c r="D99" s="169">
        <v>20279721.109999999</v>
      </c>
      <c r="E99" s="169"/>
      <c r="F99" s="298">
        <v>9185</v>
      </c>
      <c r="G99" s="169">
        <v>702</v>
      </c>
      <c r="H99" s="169">
        <v>79328231.5</v>
      </c>
      <c r="I99" s="169">
        <v>9887</v>
      </c>
      <c r="J99" s="299"/>
      <c r="K99" s="248">
        <v>5414</v>
      </c>
      <c r="L99" s="246">
        <v>4219</v>
      </c>
      <c r="M99" s="275">
        <v>254</v>
      </c>
    </row>
    <row r="100" spans="1:15" ht="13.15" customHeight="1">
      <c r="A100" s="196" t="s">
        <v>450</v>
      </c>
      <c r="B100" s="1109" t="s">
        <v>1160</v>
      </c>
      <c r="C100" s="166">
        <v>89046</v>
      </c>
      <c r="D100" s="169">
        <v>80806091.069999993</v>
      </c>
      <c r="E100" s="169"/>
      <c r="F100" s="298">
        <v>35676</v>
      </c>
      <c r="G100" s="169">
        <v>3069</v>
      </c>
      <c r="H100" s="169">
        <v>335408931.42000002</v>
      </c>
      <c r="I100" s="169">
        <v>38745</v>
      </c>
      <c r="J100" s="299"/>
      <c r="K100" s="248">
        <v>21018</v>
      </c>
      <c r="L100" s="246">
        <v>16824</v>
      </c>
      <c r="M100" s="275">
        <v>903</v>
      </c>
    </row>
    <row r="101" spans="1:15" ht="13.15" customHeight="1">
      <c r="A101" s="196" t="s">
        <v>453</v>
      </c>
      <c r="B101" s="1109" t="s">
        <v>1161</v>
      </c>
      <c r="C101" s="166">
        <v>21790</v>
      </c>
      <c r="D101" s="169">
        <v>19866729.870000001</v>
      </c>
      <c r="E101" s="169"/>
      <c r="F101" s="298">
        <v>9350</v>
      </c>
      <c r="G101" s="169">
        <v>202</v>
      </c>
      <c r="H101" s="169">
        <v>67175225.719999999</v>
      </c>
      <c r="I101" s="169">
        <v>9552</v>
      </c>
      <c r="J101" s="299"/>
      <c r="K101" s="248">
        <v>4846</v>
      </c>
      <c r="L101" s="246">
        <v>4485</v>
      </c>
      <c r="M101" s="275">
        <v>221</v>
      </c>
    </row>
    <row r="102" spans="1:15" ht="24" customHeight="1">
      <c r="A102" s="196" t="s">
        <v>329</v>
      </c>
      <c r="B102" s="1109" t="s">
        <v>1162</v>
      </c>
      <c r="C102" s="166">
        <v>19499</v>
      </c>
      <c r="D102" s="169">
        <v>17651632.050000001</v>
      </c>
      <c r="E102" s="169"/>
      <c r="F102" s="298">
        <v>8400</v>
      </c>
      <c r="G102" s="169">
        <v>219</v>
      </c>
      <c r="H102" s="169">
        <v>60932108.07</v>
      </c>
      <c r="I102" s="169">
        <v>8619</v>
      </c>
      <c r="J102" s="299"/>
      <c r="K102" s="248">
        <v>4376</v>
      </c>
      <c r="L102" s="246">
        <v>3812</v>
      </c>
      <c r="M102" s="275">
        <v>431</v>
      </c>
    </row>
    <row r="103" spans="1:15" ht="13.15" customHeight="1">
      <c r="A103" s="196" t="s">
        <v>333</v>
      </c>
      <c r="B103" s="1109" t="s">
        <v>1163</v>
      </c>
      <c r="C103" s="166">
        <v>47044</v>
      </c>
      <c r="D103" s="169">
        <v>42590760.359999999</v>
      </c>
      <c r="E103" s="169"/>
      <c r="F103" s="298">
        <v>19768</v>
      </c>
      <c r="G103" s="169">
        <v>1554</v>
      </c>
      <c r="H103" s="248">
        <v>159110723.77000001</v>
      </c>
      <c r="I103" s="169">
        <v>21322</v>
      </c>
      <c r="J103" s="299"/>
      <c r="K103" s="248">
        <v>12607</v>
      </c>
      <c r="L103" s="246">
        <v>8197</v>
      </c>
      <c r="M103" s="275">
        <v>518</v>
      </c>
    </row>
    <row r="104" spans="1:15" ht="13.15" customHeight="1">
      <c r="A104" s="196" t="s">
        <v>337</v>
      </c>
      <c r="B104" s="1109" t="s">
        <v>1164</v>
      </c>
      <c r="C104" s="166">
        <v>27114</v>
      </c>
      <c r="D104" s="169">
        <v>24638079.82</v>
      </c>
      <c r="E104" s="169"/>
      <c r="F104" s="298">
        <v>12055</v>
      </c>
      <c r="G104" s="169">
        <v>338</v>
      </c>
      <c r="H104" s="169">
        <v>84989082.989999995</v>
      </c>
      <c r="I104" s="169">
        <v>12393</v>
      </c>
      <c r="J104" s="299"/>
      <c r="K104" s="248">
        <v>7085</v>
      </c>
      <c r="L104" s="246">
        <v>4957</v>
      </c>
      <c r="M104" s="275">
        <v>351</v>
      </c>
    </row>
    <row r="105" spans="1:15" ht="13.15" customHeight="1">
      <c r="A105" s="196" t="s">
        <v>341</v>
      </c>
      <c r="B105" s="1109" t="s">
        <v>1165</v>
      </c>
      <c r="C105" s="166">
        <v>18147</v>
      </c>
      <c r="D105" s="169">
        <v>16486463.42</v>
      </c>
      <c r="E105" s="169"/>
      <c r="F105" s="298">
        <v>7518</v>
      </c>
      <c r="G105" s="169">
        <v>686</v>
      </c>
      <c r="H105" s="169">
        <v>65354986.710000001</v>
      </c>
      <c r="I105" s="169">
        <v>8204</v>
      </c>
      <c r="J105" s="299"/>
      <c r="K105" s="248">
        <v>4844</v>
      </c>
      <c r="L105" s="246">
        <v>3067</v>
      </c>
      <c r="M105" s="275">
        <v>293</v>
      </c>
    </row>
    <row r="106" spans="1:15" ht="13.15" customHeight="1">
      <c r="A106" s="196" t="s">
        <v>345</v>
      </c>
      <c r="B106" s="1109" t="s">
        <v>1166</v>
      </c>
      <c r="C106" s="166">
        <v>145180</v>
      </c>
      <c r="D106" s="169">
        <v>131825260.22</v>
      </c>
      <c r="E106" s="169"/>
      <c r="F106" s="298">
        <v>54735</v>
      </c>
      <c r="G106" s="169">
        <v>10158</v>
      </c>
      <c r="H106" s="169">
        <v>606062649.71000004</v>
      </c>
      <c r="I106" s="169">
        <v>64893</v>
      </c>
      <c r="J106" s="299"/>
      <c r="K106" s="248">
        <v>37364</v>
      </c>
      <c r="L106" s="246">
        <v>25426</v>
      </c>
      <c r="M106" s="275">
        <v>2103</v>
      </c>
    </row>
    <row r="107" spans="1:15" ht="24" customHeight="1">
      <c r="A107" s="196" t="s">
        <v>349</v>
      </c>
      <c r="B107" s="1109" t="s">
        <v>1167</v>
      </c>
      <c r="C107" s="166">
        <v>156572</v>
      </c>
      <c r="D107" s="169">
        <v>142283170.59999999</v>
      </c>
      <c r="E107" s="169"/>
      <c r="F107" s="298">
        <v>53857</v>
      </c>
      <c r="G107" s="169">
        <v>14548</v>
      </c>
      <c r="H107" s="169">
        <v>701400835.02999997</v>
      </c>
      <c r="I107" s="169">
        <v>68405</v>
      </c>
      <c r="J107" s="299"/>
      <c r="K107" s="248">
        <v>37725</v>
      </c>
      <c r="L107" s="246">
        <v>28077</v>
      </c>
      <c r="M107" s="275">
        <v>2603</v>
      </c>
    </row>
    <row r="108" spans="1:15" ht="13.15" customHeight="1">
      <c r="A108" s="196" t="s">
        <v>353</v>
      </c>
      <c r="B108" s="1109" t="s">
        <v>1168</v>
      </c>
      <c r="C108" s="166">
        <v>7019</v>
      </c>
      <c r="D108" s="169">
        <v>6368256.1799999997</v>
      </c>
      <c r="E108" s="169"/>
      <c r="F108" s="298">
        <v>2973</v>
      </c>
      <c r="G108" s="169">
        <v>273</v>
      </c>
      <c r="H108" s="169">
        <v>26994194.710000001</v>
      </c>
      <c r="I108" s="169">
        <v>3246</v>
      </c>
      <c r="J108" s="299"/>
      <c r="K108" s="248">
        <v>1867</v>
      </c>
      <c r="L108" s="246">
        <v>1247</v>
      </c>
      <c r="M108" s="275">
        <v>132</v>
      </c>
    </row>
    <row r="109" spans="1:15" ht="13.15" customHeight="1">
      <c r="A109" s="196" t="s">
        <v>357</v>
      </c>
      <c r="B109" s="1109" t="s">
        <v>1169</v>
      </c>
      <c r="C109" s="166">
        <v>8603</v>
      </c>
      <c r="D109" s="169">
        <v>7823134.7199999997</v>
      </c>
      <c r="E109" s="169"/>
      <c r="F109" s="298">
        <v>3860</v>
      </c>
      <c r="G109" s="169">
        <v>354</v>
      </c>
      <c r="H109" s="169">
        <v>31061617.809999999</v>
      </c>
      <c r="I109" s="169">
        <v>4214</v>
      </c>
      <c r="J109" s="299"/>
      <c r="K109" s="248">
        <v>2905</v>
      </c>
      <c r="L109" s="246">
        <v>1168</v>
      </c>
      <c r="M109" s="275">
        <v>141</v>
      </c>
    </row>
    <row r="110" spans="1:15" ht="13.15" customHeight="1">
      <c r="A110" s="197" t="s">
        <v>361</v>
      </c>
      <c r="B110" s="1088" t="s">
        <v>1170</v>
      </c>
      <c r="C110" s="169">
        <v>36093</v>
      </c>
      <c r="D110" s="169">
        <v>32774217.100000001</v>
      </c>
      <c r="E110" s="169"/>
      <c r="F110" s="298">
        <v>15208</v>
      </c>
      <c r="G110" s="169">
        <v>471</v>
      </c>
      <c r="H110" s="169">
        <v>112082110.2</v>
      </c>
      <c r="I110" s="169">
        <v>15679</v>
      </c>
      <c r="J110" s="299"/>
      <c r="K110" s="248">
        <v>8250</v>
      </c>
      <c r="L110" s="248">
        <v>6999</v>
      </c>
      <c r="M110" s="277">
        <v>430</v>
      </c>
    </row>
    <row r="111" spans="1:15" ht="13.15" customHeight="1">
      <c r="A111" s="197" t="s">
        <v>365</v>
      </c>
      <c r="B111" s="1088" t="s">
        <v>1171</v>
      </c>
      <c r="C111" s="169">
        <v>41629</v>
      </c>
      <c r="D111" s="169">
        <v>37843725.729999997</v>
      </c>
      <c r="E111" s="169"/>
      <c r="F111" s="298">
        <v>17298</v>
      </c>
      <c r="G111" s="169">
        <v>2065</v>
      </c>
      <c r="H111" s="169">
        <v>185058460.34999999</v>
      </c>
      <c r="I111" s="169">
        <v>19363</v>
      </c>
      <c r="J111" s="299"/>
      <c r="K111" s="248">
        <v>11666</v>
      </c>
      <c r="L111" s="248">
        <v>7091</v>
      </c>
      <c r="M111" s="277">
        <v>606</v>
      </c>
      <c r="N111" s="280"/>
      <c r="O111" s="280"/>
    </row>
    <row r="112" spans="1:15" ht="24" customHeight="1">
      <c r="A112" s="172" t="s">
        <v>369</v>
      </c>
      <c r="B112" s="1108" t="s">
        <v>1172</v>
      </c>
      <c r="C112" s="166">
        <v>56945</v>
      </c>
      <c r="D112" s="297">
        <v>51505320.990000002</v>
      </c>
      <c r="E112" s="297"/>
      <c r="F112" s="298">
        <v>24077</v>
      </c>
      <c r="G112" s="169">
        <v>1326</v>
      </c>
      <c r="H112" s="297">
        <v>226003811.38999999</v>
      </c>
      <c r="I112" s="169">
        <v>25403</v>
      </c>
      <c r="J112" s="299"/>
      <c r="K112" s="248">
        <v>13314</v>
      </c>
      <c r="L112" s="246">
        <v>10856</v>
      </c>
      <c r="M112" s="275">
        <v>1233</v>
      </c>
    </row>
    <row r="113" spans="1:15" ht="13.15" customHeight="1">
      <c r="A113" s="196" t="s">
        <v>373</v>
      </c>
      <c r="B113" s="1109" t="s">
        <v>1173</v>
      </c>
      <c r="C113" s="166">
        <v>18994</v>
      </c>
      <c r="D113" s="169">
        <v>17081123.82</v>
      </c>
      <c r="E113" s="169"/>
      <c r="F113" s="298">
        <v>7775</v>
      </c>
      <c r="G113" s="169">
        <v>941</v>
      </c>
      <c r="H113" s="169">
        <v>72225073.390000001</v>
      </c>
      <c r="I113" s="169">
        <v>8716</v>
      </c>
      <c r="J113" s="299"/>
      <c r="K113" s="248">
        <v>5415</v>
      </c>
      <c r="L113" s="246">
        <v>2982</v>
      </c>
      <c r="M113" s="275">
        <v>319</v>
      </c>
    </row>
    <row r="114" spans="1:15" ht="13.15" customHeight="1">
      <c r="A114" s="196" t="s">
        <v>377</v>
      </c>
      <c r="B114" s="1109" t="s">
        <v>1174</v>
      </c>
      <c r="C114" s="166">
        <v>29834</v>
      </c>
      <c r="D114" s="169">
        <v>27189668.32</v>
      </c>
      <c r="E114" s="169"/>
      <c r="F114" s="298">
        <v>12959</v>
      </c>
      <c r="G114" s="248">
        <v>299</v>
      </c>
      <c r="H114" s="169">
        <v>93939724</v>
      </c>
      <c r="I114" s="169">
        <v>13258</v>
      </c>
      <c r="J114" s="299"/>
      <c r="K114" s="248">
        <v>7373</v>
      </c>
      <c r="L114" s="246">
        <v>5501</v>
      </c>
      <c r="M114" s="275">
        <v>384</v>
      </c>
    </row>
    <row r="115" spans="1:15" ht="13.15" customHeight="1">
      <c r="A115" s="196" t="s">
        <v>381</v>
      </c>
      <c r="B115" s="1109" t="s">
        <v>1175</v>
      </c>
      <c r="C115" s="166">
        <v>26829</v>
      </c>
      <c r="D115" s="169">
        <v>24344674.5</v>
      </c>
      <c r="E115" s="169"/>
      <c r="F115" s="298">
        <v>11787</v>
      </c>
      <c r="G115" s="169">
        <v>438</v>
      </c>
      <c r="H115" s="169">
        <v>85979905.870000005</v>
      </c>
      <c r="I115" s="169">
        <v>12225</v>
      </c>
      <c r="J115" s="299"/>
      <c r="K115" s="248">
        <v>6879</v>
      </c>
      <c r="L115" s="246">
        <v>4979</v>
      </c>
      <c r="M115" s="275">
        <v>367</v>
      </c>
    </row>
    <row r="116" spans="1:15" ht="13.15" customHeight="1">
      <c r="A116" s="197" t="s">
        <v>385</v>
      </c>
      <c r="B116" s="1088" t="s">
        <v>1176</v>
      </c>
      <c r="C116" s="169">
        <v>69945</v>
      </c>
      <c r="D116" s="169">
        <v>62961866.049999997</v>
      </c>
      <c r="E116" s="169"/>
      <c r="F116" s="298">
        <v>25364</v>
      </c>
      <c r="G116" s="169">
        <v>4406</v>
      </c>
      <c r="H116" s="169">
        <v>311258893.81</v>
      </c>
      <c r="I116" s="169">
        <v>29770</v>
      </c>
      <c r="J116" s="299"/>
      <c r="K116" s="248">
        <v>15196</v>
      </c>
      <c r="L116" s="246">
        <v>13534</v>
      </c>
      <c r="M116" s="277">
        <v>1040</v>
      </c>
    </row>
    <row r="117" spans="1:15" ht="10.75" customHeight="1">
      <c r="A117" s="197"/>
      <c r="B117" s="1088"/>
      <c r="C117" s="169"/>
      <c r="D117" s="312"/>
      <c r="E117" s="312"/>
      <c r="F117" s="313"/>
      <c r="G117" s="312"/>
      <c r="H117" s="312"/>
      <c r="I117" s="312"/>
      <c r="J117" s="314"/>
      <c r="K117" s="315"/>
      <c r="L117" s="248"/>
      <c r="M117" s="277"/>
    </row>
    <row r="118" spans="1:15" ht="13.15" customHeight="1">
      <c r="A118" s="214" t="s">
        <v>22</v>
      </c>
      <c r="B118" s="1110"/>
      <c r="C118" s="317">
        <f>SUM(C8:C42)+SUM(C50:C84)+SUM(C92:C116)</f>
        <v>6193994</v>
      </c>
      <c r="D118" s="215">
        <f>SUM(D8:D42)+SUM(D50:D84)+SUM(D92:D116)</f>
        <v>5616148931.9900007</v>
      </c>
      <c r="E118" s="318"/>
      <c r="F118" s="319">
        <f t="shared" ref="F118:I118" si="0">SUM(F8:F42)+SUM(F50:F84)+SUM(F92:F116)</f>
        <v>2329635</v>
      </c>
      <c r="G118" s="317">
        <f t="shared" si="0"/>
        <v>465763</v>
      </c>
      <c r="H118" s="215">
        <f t="shared" si="0"/>
        <v>29008148553.109997</v>
      </c>
      <c r="I118" s="317">
        <f t="shared" si="0"/>
        <v>2795398</v>
      </c>
      <c r="J118" s="320"/>
      <c r="K118" s="321">
        <f t="shared" ref="K118:M118" si="1">SUM(K8:K42)+SUM(K50:K84)+SUM(K92:K116)</f>
        <v>1594294</v>
      </c>
      <c r="L118" s="321">
        <f t="shared" si="1"/>
        <v>1108580</v>
      </c>
      <c r="M118" s="321">
        <f t="shared" si="1"/>
        <v>92524</v>
      </c>
    </row>
    <row r="119" spans="1:15" ht="16" customHeight="1">
      <c r="A119" s="208" t="s">
        <v>613</v>
      </c>
      <c r="B119" s="1105"/>
      <c r="C119" s="279"/>
      <c r="D119" s="279"/>
      <c r="E119" s="279"/>
      <c r="F119" s="279"/>
      <c r="G119" s="279"/>
      <c r="H119" s="279"/>
      <c r="I119" s="279"/>
      <c r="J119" s="279"/>
      <c r="K119" s="277"/>
      <c r="L119" s="277"/>
      <c r="M119" s="277"/>
      <c r="N119" s="280"/>
      <c r="O119" s="280"/>
    </row>
    <row r="120" spans="1:15" ht="14" customHeight="1">
      <c r="A120" s="300" t="str">
        <f>A86</f>
        <v>Exemptions, Standard and Itemized Deductions, and Number of Returns by Filing Status/Locality</v>
      </c>
      <c r="B120" s="1105"/>
      <c r="C120" s="279"/>
      <c r="D120" s="279"/>
      <c r="E120" s="279"/>
      <c r="F120" s="279"/>
      <c r="G120" s="279"/>
      <c r="H120" s="279"/>
      <c r="I120" s="279"/>
      <c r="J120" s="279"/>
      <c r="K120" s="277"/>
      <c r="L120" s="277"/>
      <c r="M120" s="277"/>
    </row>
    <row r="121" spans="1:15" ht="13" customHeight="1">
      <c r="A121" s="1114" t="str">
        <f>A$3</f>
        <v>Taxable Year 2020</v>
      </c>
      <c r="B121" s="1104"/>
      <c r="C121" s="279"/>
      <c r="D121" s="279"/>
      <c r="E121" s="279"/>
      <c r="F121" s="279"/>
      <c r="G121" s="279"/>
      <c r="H121" s="279"/>
      <c r="I121" s="279"/>
      <c r="J121" s="279"/>
      <c r="K121" s="277"/>
      <c r="L121" s="277"/>
      <c r="M121" s="277"/>
    </row>
    <row r="122" spans="1:15" ht="3" customHeight="1">
      <c r="A122" s="280"/>
      <c r="B122" s="1088"/>
      <c r="C122" s="301"/>
      <c r="D122" s="301"/>
      <c r="E122" s="301"/>
      <c r="F122" s="301"/>
      <c r="G122" s="301"/>
      <c r="H122" s="301"/>
      <c r="I122" s="301"/>
      <c r="J122" s="301"/>
      <c r="K122" s="302"/>
      <c r="L122" s="302"/>
      <c r="M122" s="302"/>
    </row>
    <row r="123" spans="1:15" ht="3" customHeight="1" thickBot="1">
      <c r="A123" s="217"/>
      <c r="B123" s="1106"/>
      <c r="C123" s="279"/>
      <c r="D123" s="219"/>
      <c r="E123" s="219"/>
      <c r="F123" s="279"/>
      <c r="G123" s="279"/>
      <c r="H123" s="219"/>
      <c r="I123" s="279"/>
      <c r="J123" s="279"/>
      <c r="K123" s="277"/>
      <c r="L123" s="277"/>
      <c r="M123" s="249"/>
      <c r="N123" s="280"/>
      <c r="O123" s="280"/>
    </row>
    <row r="124" spans="1:15" ht="12" customHeight="1">
      <c r="A124" s="925"/>
      <c r="B124" s="1107"/>
      <c r="C124" s="1089" t="s">
        <v>322</v>
      </c>
      <c r="D124" s="1089"/>
      <c r="E124" s="282"/>
      <c r="F124" s="937" t="s">
        <v>323</v>
      </c>
      <c r="G124" s="1090"/>
      <c r="H124" s="1090"/>
      <c r="I124" s="1090"/>
      <c r="J124" s="283"/>
      <c r="K124" s="1091" t="s">
        <v>610</v>
      </c>
      <c r="L124" s="1091"/>
      <c r="M124" s="1092"/>
    </row>
    <row r="125" spans="1:15" ht="25" customHeight="1">
      <c r="A125" s="1101" t="s">
        <v>23</v>
      </c>
      <c r="B125" s="1102" t="s">
        <v>963</v>
      </c>
      <c r="C125" s="1095" t="s">
        <v>611</v>
      </c>
      <c r="D125" s="1094" t="s">
        <v>19</v>
      </c>
      <c r="E125" s="1094"/>
      <c r="F125" s="1096" t="s">
        <v>321</v>
      </c>
      <c r="G125" s="1095" t="s">
        <v>320</v>
      </c>
      <c r="H125" s="1094" t="s">
        <v>19</v>
      </c>
      <c r="I125" s="1097" t="s">
        <v>1217</v>
      </c>
      <c r="J125" s="1098"/>
      <c r="K125" s="1099" t="s">
        <v>612</v>
      </c>
      <c r="L125" s="1100" t="s">
        <v>1218</v>
      </c>
      <c r="M125" s="1093" t="s">
        <v>1219</v>
      </c>
    </row>
    <row r="126" spans="1:15" ht="19" customHeight="1">
      <c r="A126" s="197" t="s">
        <v>402</v>
      </c>
      <c r="B126" s="1088" t="s">
        <v>1177</v>
      </c>
      <c r="C126" s="169">
        <v>160771</v>
      </c>
      <c r="D126" s="297">
        <v>144670363.09</v>
      </c>
      <c r="E126" s="297"/>
      <c r="F126" s="298">
        <v>66150</v>
      </c>
      <c r="G126" s="169">
        <v>20938</v>
      </c>
      <c r="H126" s="297">
        <v>1040596249.27</v>
      </c>
      <c r="I126" s="169">
        <v>87088</v>
      </c>
      <c r="J126" s="299"/>
      <c r="K126" s="248">
        <v>59223</v>
      </c>
      <c r="L126" s="248">
        <v>23825</v>
      </c>
      <c r="M126" s="277">
        <v>4040</v>
      </c>
    </row>
    <row r="127" spans="1:15" ht="12" customHeight="1">
      <c r="A127" s="196" t="s">
        <v>407</v>
      </c>
      <c r="B127" s="1109" t="s">
        <v>1178</v>
      </c>
      <c r="C127" s="166">
        <v>22364</v>
      </c>
      <c r="D127" s="169">
        <v>20354098.390000001</v>
      </c>
      <c r="E127" s="169"/>
      <c r="F127" s="298">
        <v>10611</v>
      </c>
      <c r="G127" s="169">
        <v>377</v>
      </c>
      <c r="H127" s="169">
        <v>84758214.819999993</v>
      </c>
      <c r="I127" s="169">
        <v>10988</v>
      </c>
      <c r="J127" s="299"/>
      <c r="K127" s="248">
        <v>6476</v>
      </c>
      <c r="L127" s="246">
        <v>3268</v>
      </c>
      <c r="M127" s="275">
        <v>1244</v>
      </c>
    </row>
    <row r="128" spans="1:15" ht="12" customHeight="1">
      <c r="A128" s="196" t="s">
        <v>410</v>
      </c>
      <c r="B128" s="1109" t="s">
        <v>1179</v>
      </c>
      <c r="C128" s="166">
        <v>6024</v>
      </c>
      <c r="D128" s="169">
        <v>5459900.7999999998</v>
      </c>
      <c r="E128" s="169"/>
      <c r="F128" s="298">
        <v>2696</v>
      </c>
      <c r="G128" s="169">
        <v>98</v>
      </c>
      <c r="H128" s="169">
        <v>18770913.649999999</v>
      </c>
      <c r="I128" s="169">
        <v>2794</v>
      </c>
      <c r="J128" s="299"/>
      <c r="K128" s="248">
        <v>1693</v>
      </c>
      <c r="L128" s="246">
        <v>1020</v>
      </c>
      <c r="M128" s="275">
        <v>81</v>
      </c>
    </row>
    <row r="129" spans="1:15" ht="12" customHeight="1">
      <c r="A129" s="196" t="s">
        <v>413</v>
      </c>
      <c r="B129" s="1109" t="s">
        <v>1180</v>
      </c>
      <c r="C129" s="166">
        <v>39376</v>
      </c>
      <c r="D129" s="169">
        <v>35512858.399999999</v>
      </c>
      <c r="E129" s="169"/>
      <c r="F129" s="298">
        <v>18662</v>
      </c>
      <c r="G129" s="169">
        <v>2535</v>
      </c>
      <c r="H129" s="248">
        <v>200392683.71000001</v>
      </c>
      <c r="I129" s="169">
        <v>21197</v>
      </c>
      <c r="J129" s="299"/>
      <c r="K129" s="248">
        <v>14705</v>
      </c>
      <c r="L129" s="246">
        <v>5734</v>
      </c>
      <c r="M129" s="275">
        <v>758</v>
      </c>
    </row>
    <row r="130" spans="1:15" ht="12" customHeight="1">
      <c r="A130" s="196" t="s">
        <v>416</v>
      </c>
      <c r="B130" s="1109" t="s">
        <v>1181</v>
      </c>
      <c r="C130" s="166">
        <v>239180</v>
      </c>
      <c r="D130" s="169">
        <v>217113943.90000001</v>
      </c>
      <c r="E130" s="169"/>
      <c r="F130" s="298">
        <v>93908</v>
      </c>
      <c r="G130" s="169">
        <v>16150</v>
      </c>
      <c r="H130" s="169">
        <v>978209776.25</v>
      </c>
      <c r="I130" s="169">
        <v>110058</v>
      </c>
      <c r="J130" s="299"/>
      <c r="K130" s="248">
        <v>65106</v>
      </c>
      <c r="L130" s="246">
        <v>39939</v>
      </c>
      <c r="M130" s="275">
        <v>5013</v>
      </c>
    </row>
    <row r="131" spans="1:15" ht="19" customHeight="1">
      <c r="A131" s="196" t="s">
        <v>419</v>
      </c>
      <c r="B131" s="1109" t="s">
        <v>1182</v>
      </c>
      <c r="C131" s="166">
        <v>18052</v>
      </c>
      <c r="D131" s="169">
        <v>16366351.48</v>
      </c>
      <c r="E131" s="169"/>
      <c r="F131" s="298">
        <v>7927</v>
      </c>
      <c r="G131" s="169">
        <v>637</v>
      </c>
      <c r="H131" s="169">
        <v>72394247.079999998</v>
      </c>
      <c r="I131" s="169">
        <v>8564</v>
      </c>
      <c r="J131" s="299"/>
      <c r="K131" s="248">
        <v>5750</v>
      </c>
      <c r="L131" s="246">
        <v>2602</v>
      </c>
      <c r="M131" s="275">
        <v>212</v>
      </c>
    </row>
    <row r="132" spans="1:15" ht="12" customHeight="1">
      <c r="A132" s="196" t="s">
        <v>422</v>
      </c>
      <c r="B132" s="1109" t="s">
        <v>1183</v>
      </c>
      <c r="C132" s="166">
        <v>5949</v>
      </c>
      <c r="D132" s="169">
        <v>5420400.1100000003</v>
      </c>
      <c r="E132" s="169"/>
      <c r="F132" s="298">
        <v>2813</v>
      </c>
      <c r="G132" s="169">
        <v>53</v>
      </c>
      <c r="H132" s="169">
        <v>34416772.159999996</v>
      </c>
      <c r="I132" s="169">
        <v>2866</v>
      </c>
      <c r="J132" s="299"/>
      <c r="K132" s="248">
        <v>1906</v>
      </c>
      <c r="L132" s="246">
        <v>872</v>
      </c>
      <c r="M132" s="275">
        <v>88</v>
      </c>
    </row>
    <row r="133" spans="1:15" ht="12" customHeight="1">
      <c r="A133" s="196" t="s">
        <v>425</v>
      </c>
      <c r="B133" s="1109" t="s">
        <v>1184</v>
      </c>
      <c r="C133" s="166">
        <v>41040</v>
      </c>
      <c r="D133" s="169">
        <v>37255625.789999999</v>
      </c>
      <c r="E133" s="169"/>
      <c r="F133" s="298">
        <v>18750</v>
      </c>
      <c r="G133" s="169">
        <v>1181</v>
      </c>
      <c r="H133" s="169">
        <v>138619853.08000001</v>
      </c>
      <c r="I133" s="169">
        <v>19931</v>
      </c>
      <c r="J133" s="299"/>
      <c r="K133" s="248">
        <v>14164</v>
      </c>
      <c r="L133" s="246">
        <v>4864</v>
      </c>
      <c r="M133" s="275">
        <v>903</v>
      </c>
    </row>
    <row r="134" spans="1:15" ht="12" customHeight="1">
      <c r="A134" s="196" t="s">
        <v>428</v>
      </c>
      <c r="B134" s="1109" t="s">
        <v>1185</v>
      </c>
      <c r="C134" s="166">
        <v>5250</v>
      </c>
      <c r="D134" s="169">
        <v>4800046.05</v>
      </c>
      <c r="E134" s="169"/>
      <c r="F134" s="298">
        <v>2467</v>
      </c>
      <c r="G134" s="169">
        <v>164</v>
      </c>
      <c r="H134" s="169">
        <v>17013261.890000001</v>
      </c>
      <c r="I134" s="169">
        <v>2631</v>
      </c>
      <c r="J134" s="299"/>
      <c r="K134" s="248">
        <v>2088</v>
      </c>
      <c r="L134" s="246">
        <v>442</v>
      </c>
      <c r="M134" s="275">
        <v>101</v>
      </c>
    </row>
    <row r="135" spans="1:15" ht="12" customHeight="1">
      <c r="A135" s="196" t="s">
        <v>423</v>
      </c>
      <c r="B135" s="1109" t="s">
        <v>1186</v>
      </c>
      <c r="C135" s="166">
        <v>32077</v>
      </c>
      <c r="D135" s="169">
        <v>29116866.52</v>
      </c>
      <c r="E135" s="169"/>
      <c r="F135" s="298">
        <v>11800</v>
      </c>
      <c r="G135" s="169">
        <v>3601</v>
      </c>
      <c r="H135" s="169">
        <v>186439760.19</v>
      </c>
      <c r="I135" s="169">
        <v>15401</v>
      </c>
      <c r="J135" s="299"/>
      <c r="K135" s="248">
        <v>9000</v>
      </c>
      <c r="L135" s="246">
        <v>5758</v>
      </c>
      <c r="M135" s="275">
        <v>643</v>
      </c>
    </row>
    <row r="136" spans="1:15" ht="19" customHeight="1">
      <c r="A136" s="196" t="s">
        <v>433</v>
      </c>
      <c r="B136" s="1109" t="s">
        <v>1187</v>
      </c>
      <c r="C136" s="166">
        <v>17715</v>
      </c>
      <c r="D136" s="169">
        <v>15967244.630000001</v>
      </c>
      <c r="E136" s="169"/>
      <c r="F136" s="298">
        <v>5746</v>
      </c>
      <c r="G136" s="169">
        <v>2276</v>
      </c>
      <c r="H136" s="169">
        <v>120122409.40000001</v>
      </c>
      <c r="I136" s="169">
        <v>8022</v>
      </c>
      <c r="J136" s="299"/>
      <c r="K136" s="248">
        <v>4523</v>
      </c>
      <c r="L136" s="246">
        <v>3148</v>
      </c>
      <c r="M136" s="275">
        <v>351</v>
      </c>
    </row>
    <row r="137" spans="1:15" ht="12" customHeight="1">
      <c r="A137" s="196" t="s">
        <v>24</v>
      </c>
      <c r="B137" s="1109" t="s">
        <v>1188</v>
      </c>
      <c r="C137" s="246">
        <v>7909</v>
      </c>
      <c r="D137" s="248">
        <v>7209673.3899999997</v>
      </c>
      <c r="E137" s="169"/>
      <c r="F137" s="298">
        <v>3395</v>
      </c>
      <c r="G137" s="169">
        <v>281</v>
      </c>
      <c r="H137" s="169">
        <v>27991967.510000002</v>
      </c>
      <c r="I137" s="169">
        <v>3676</v>
      </c>
      <c r="J137" s="299"/>
      <c r="K137" s="248">
        <v>2587</v>
      </c>
      <c r="L137" s="246">
        <v>953</v>
      </c>
      <c r="M137" s="275">
        <v>136</v>
      </c>
    </row>
    <row r="138" spans="1:15" ht="12" customHeight="1">
      <c r="A138" s="196" t="s">
        <v>438</v>
      </c>
      <c r="B138" s="1109" t="s">
        <v>1189</v>
      </c>
      <c r="C138" s="166">
        <v>27839</v>
      </c>
      <c r="D138" s="169">
        <v>25232691.52</v>
      </c>
      <c r="E138" s="169"/>
      <c r="F138" s="298">
        <v>12262</v>
      </c>
      <c r="G138" s="169">
        <v>1920</v>
      </c>
      <c r="H138" s="169">
        <v>130545097.98</v>
      </c>
      <c r="I138" s="169">
        <v>14182</v>
      </c>
      <c r="J138" s="299"/>
      <c r="K138" s="248">
        <v>9842</v>
      </c>
      <c r="L138" s="246">
        <v>3855</v>
      </c>
      <c r="M138" s="275">
        <v>485</v>
      </c>
    </row>
    <row r="139" spans="1:15" ht="12" customHeight="1">
      <c r="A139" s="196" t="s">
        <v>441</v>
      </c>
      <c r="B139" s="1109" t="s">
        <v>1190</v>
      </c>
      <c r="C139" s="166">
        <v>7180</v>
      </c>
      <c r="D139" s="169">
        <v>6537078.0999999996</v>
      </c>
      <c r="E139" s="169"/>
      <c r="F139" s="298">
        <v>3307</v>
      </c>
      <c r="G139" s="169">
        <v>123</v>
      </c>
      <c r="H139" s="169">
        <v>50622572.009999998</v>
      </c>
      <c r="I139" s="169">
        <v>3430</v>
      </c>
      <c r="J139" s="299"/>
      <c r="K139" s="248">
        <v>2209</v>
      </c>
      <c r="L139" s="246">
        <v>1119</v>
      </c>
      <c r="M139" s="275">
        <v>102</v>
      </c>
    </row>
    <row r="140" spans="1:15" ht="12" customHeight="1">
      <c r="A140" s="196" t="s">
        <v>443</v>
      </c>
      <c r="B140" s="1109" t="s">
        <v>1191</v>
      </c>
      <c r="C140" s="166">
        <v>118288</v>
      </c>
      <c r="D140" s="169">
        <v>107192224.42</v>
      </c>
      <c r="E140" s="169"/>
      <c r="F140" s="298">
        <v>53385</v>
      </c>
      <c r="G140" s="169">
        <v>5624</v>
      </c>
      <c r="H140" s="169">
        <v>441038392.52999997</v>
      </c>
      <c r="I140" s="169">
        <v>59009</v>
      </c>
      <c r="J140" s="299"/>
      <c r="K140" s="248">
        <v>41061</v>
      </c>
      <c r="L140" s="246">
        <v>15550</v>
      </c>
      <c r="M140" s="275">
        <v>2398</v>
      </c>
    </row>
    <row r="141" spans="1:15" ht="19" customHeight="1">
      <c r="A141" s="196" t="s">
        <v>445</v>
      </c>
      <c r="B141" s="1109" t="s">
        <v>1192</v>
      </c>
      <c r="C141" s="166">
        <v>37491</v>
      </c>
      <c r="D141" s="169">
        <v>34061625.130000003</v>
      </c>
      <c r="E141" s="169"/>
      <c r="F141" s="298">
        <v>17731</v>
      </c>
      <c r="G141" s="169">
        <v>1038</v>
      </c>
      <c r="H141" s="169">
        <v>130925031.12</v>
      </c>
      <c r="I141" s="169">
        <v>18769</v>
      </c>
      <c r="J141" s="299"/>
      <c r="K141" s="248">
        <v>13192</v>
      </c>
      <c r="L141" s="246">
        <v>5148</v>
      </c>
      <c r="M141" s="275">
        <v>429</v>
      </c>
    </row>
    <row r="142" spans="1:15" ht="12" customHeight="1">
      <c r="A142" s="196" t="s">
        <v>448</v>
      </c>
      <c r="B142" s="1109" t="s">
        <v>1193</v>
      </c>
      <c r="C142" s="166">
        <v>20669</v>
      </c>
      <c r="D142" s="169">
        <v>18846139.940000001</v>
      </c>
      <c r="E142" s="169"/>
      <c r="F142" s="298">
        <v>9762</v>
      </c>
      <c r="G142" s="169">
        <v>563</v>
      </c>
      <c r="H142" s="169">
        <v>75136123.069999993</v>
      </c>
      <c r="I142" s="169">
        <v>10325</v>
      </c>
      <c r="J142" s="299"/>
      <c r="K142" s="248">
        <v>7821</v>
      </c>
      <c r="L142" s="246">
        <v>2186</v>
      </c>
      <c r="M142" s="275">
        <v>318</v>
      </c>
    </row>
    <row r="143" spans="1:15" ht="12" customHeight="1">
      <c r="A143" s="197" t="s">
        <v>451</v>
      </c>
      <c r="B143" s="1088" t="s">
        <v>1194</v>
      </c>
      <c r="C143" s="169">
        <v>5753</v>
      </c>
      <c r="D143" s="169">
        <v>5117072.4800000004</v>
      </c>
      <c r="E143" s="169"/>
      <c r="F143" s="298">
        <v>2250</v>
      </c>
      <c r="G143" s="169">
        <v>346</v>
      </c>
      <c r="H143" s="169">
        <v>24161566.579999998</v>
      </c>
      <c r="I143" s="169">
        <v>2596</v>
      </c>
      <c r="J143" s="299"/>
      <c r="K143" s="248">
        <v>1597</v>
      </c>
      <c r="L143" s="248">
        <v>944</v>
      </c>
      <c r="M143" s="277">
        <v>55</v>
      </c>
    </row>
    <row r="144" spans="1:15" ht="12" customHeight="1">
      <c r="A144" s="197" t="s">
        <v>454</v>
      </c>
      <c r="B144" s="1088" t="s">
        <v>1195</v>
      </c>
      <c r="C144" s="169">
        <v>68071</v>
      </c>
      <c r="D144" s="169">
        <v>61608259.899999999</v>
      </c>
      <c r="E144" s="297"/>
      <c r="F144" s="298">
        <v>31027</v>
      </c>
      <c r="G144" s="169">
        <v>2321</v>
      </c>
      <c r="H144" s="169">
        <v>252554202.13</v>
      </c>
      <c r="I144" s="169">
        <v>33348</v>
      </c>
      <c r="J144" s="299"/>
      <c r="K144" s="248">
        <v>22373</v>
      </c>
      <c r="L144" s="248">
        <v>10045</v>
      </c>
      <c r="M144" s="277">
        <v>930</v>
      </c>
      <c r="N144" s="280"/>
      <c r="O144" s="280"/>
    </row>
    <row r="145" spans="1:15" ht="12" customHeight="1">
      <c r="A145" s="196" t="s">
        <v>330</v>
      </c>
      <c r="B145" s="1109" t="s">
        <v>1196</v>
      </c>
      <c r="C145" s="166">
        <v>44348</v>
      </c>
      <c r="D145" s="169">
        <v>40586967.18</v>
      </c>
      <c r="E145" s="169"/>
      <c r="F145" s="298">
        <v>18200</v>
      </c>
      <c r="G145" s="169">
        <v>3491</v>
      </c>
      <c r="H145" s="169">
        <v>227371621.16</v>
      </c>
      <c r="I145" s="169">
        <v>21691</v>
      </c>
      <c r="J145" s="299"/>
      <c r="K145" s="248">
        <v>14271</v>
      </c>
      <c r="L145" s="246">
        <v>6619</v>
      </c>
      <c r="M145" s="275">
        <v>801</v>
      </c>
      <c r="N145" s="280"/>
      <c r="O145" s="280"/>
    </row>
    <row r="146" spans="1:15" ht="19" customHeight="1">
      <c r="A146" s="196" t="s">
        <v>334</v>
      </c>
      <c r="B146" s="1109" t="s">
        <v>1197</v>
      </c>
      <c r="C146" s="166">
        <v>18430</v>
      </c>
      <c r="D146" s="297">
        <v>16902787.039999999</v>
      </c>
      <c r="E146" s="169"/>
      <c r="F146" s="298">
        <v>7863</v>
      </c>
      <c r="G146" s="169">
        <v>1319</v>
      </c>
      <c r="H146" s="297">
        <v>75380167.269999996</v>
      </c>
      <c r="I146" s="169">
        <v>9182</v>
      </c>
      <c r="J146" s="299"/>
      <c r="K146" s="248">
        <v>6151</v>
      </c>
      <c r="L146" s="246">
        <v>2726</v>
      </c>
      <c r="M146" s="275">
        <v>305</v>
      </c>
    </row>
    <row r="147" spans="1:15" ht="12" customHeight="1">
      <c r="A147" s="196" t="s">
        <v>338</v>
      </c>
      <c r="B147" s="1109" t="s">
        <v>1198</v>
      </c>
      <c r="C147" s="166">
        <v>13152</v>
      </c>
      <c r="D147" s="169">
        <v>11957777.51</v>
      </c>
      <c r="E147" s="169"/>
      <c r="F147" s="298">
        <v>6127</v>
      </c>
      <c r="G147" s="169">
        <v>318</v>
      </c>
      <c r="H147" s="169">
        <v>46530968.609999999</v>
      </c>
      <c r="I147" s="169">
        <v>6445</v>
      </c>
      <c r="J147" s="299"/>
      <c r="K147" s="248">
        <v>4635</v>
      </c>
      <c r="L147" s="246">
        <v>1566</v>
      </c>
      <c r="M147" s="275">
        <v>244</v>
      </c>
    </row>
    <row r="148" spans="1:15" ht="12" customHeight="1">
      <c r="A148" s="196" t="s">
        <v>342</v>
      </c>
      <c r="B148" s="1109" t="s">
        <v>1199</v>
      </c>
      <c r="C148" s="166">
        <v>159794</v>
      </c>
      <c r="D148" s="169">
        <v>145293959.53999999</v>
      </c>
      <c r="E148" s="169"/>
      <c r="F148" s="298">
        <v>73071</v>
      </c>
      <c r="G148" s="169">
        <v>7032</v>
      </c>
      <c r="H148" s="169">
        <v>599927942.66999996</v>
      </c>
      <c r="I148" s="169">
        <v>80103</v>
      </c>
      <c r="J148" s="299"/>
      <c r="K148" s="248">
        <v>56367</v>
      </c>
      <c r="L148" s="246">
        <v>20676</v>
      </c>
      <c r="M148" s="275">
        <v>3060</v>
      </c>
    </row>
    <row r="149" spans="1:15" ht="12" customHeight="1">
      <c r="A149" s="196" t="s">
        <v>346</v>
      </c>
      <c r="B149" s="1109" t="s">
        <v>1200</v>
      </c>
      <c r="C149" s="166">
        <v>179185</v>
      </c>
      <c r="D149" s="169">
        <v>162620380.52000001</v>
      </c>
      <c r="E149" s="169"/>
      <c r="F149" s="298">
        <v>84591</v>
      </c>
      <c r="G149" s="169">
        <v>8886</v>
      </c>
      <c r="H149" s="169">
        <v>787859926.5</v>
      </c>
      <c r="I149" s="169">
        <v>93477</v>
      </c>
      <c r="J149" s="299"/>
      <c r="K149" s="248">
        <v>67024</v>
      </c>
      <c r="L149" s="246">
        <v>22050</v>
      </c>
      <c r="M149" s="275">
        <v>4403</v>
      </c>
    </row>
    <row r="150" spans="1:15" ht="12" customHeight="1">
      <c r="A150" s="196" t="s">
        <v>350</v>
      </c>
      <c r="B150" s="1109" t="s">
        <v>1201</v>
      </c>
      <c r="C150" s="246">
        <v>4280</v>
      </c>
      <c r="D150" s="248">
        <v>3903052.38</v>
      </c>
      <c r="E150" s="169"/>
      <c r="F150" s="298">
        <v>1933</v>
      </c>
      <c r="G150" s="169">
        <v>54</v>
      </c>
      <c r="H150" s="169">
        <v>13073337.1</v>
      </c>
      <c r="I150" s="169">
        <v>1987</v>
      </c>
      <c r="J150" s="299"/>
      <c r="K150" s="248">
        <v>1205</v>
      </c>
      <c r="L150" s="246">
        <v>719</v>
      </c>
      <c r="M150" s="275">
        <v>63</v>
      </c>
    </row>
    <row r="151" spans="1:15" ht="19" customHeight="1">
      <c r="A151" s="196" t="s">
        <v>354</v>
      </c>
      <c r="B151" s="1109" t="s">
        <v>1202</v>
      </c>
      <c r="C151" s="166">
        <v>27289</v>
      </c>
      <c r="D151" s="169">
        <v>24833508.329999998</v>
      </c>
      <c r="E151" s="169"/>
      <c r="F151" s="298">
        <v>13729</v>
      </c>
      <c r="G151" s="169">
        <v>1051</v>
      </c>
      <c r="H151" s="169">
        <v>99629510.870000005</v>
      </c>
      <c r="I151" s="169">
        <v>14780</v>
      </c>
      <c r="J151" s="299"/>
      <c r="K151" s="248">
        <v>12287</v>
      </c>
      <c r="L151" s="246">
        <v>2045</v>
      </c>
      <c r="M151" s="275">
        <v>448</v>
      </c>
    </row>
    <row r="152" spans="1:15" ht="12" customHeight="1">
      <c r="A152" s="196" t="s">
        <v>358</v>
      </c>
      <c r="B152" s="1109" t="s">
        <v>1203</v>
      </c>
      <c r="C152" s="166">
        <v>13296</v>
      </c>
      <c r="D152" s="169">
        <v>12021143.74</v>
      </c>
      <c r="E152" s="169"/>
      <c r="F152" s="298">
        <v>4606</v>
      </c>
      <c r="G152" s="169">
        <v>936</v>
      </c>
      <c r="H152" s="169">
        <v>54670385.030000001</v>
      </c>
      <c r="I152" s="169">
        <v>5542</v>
      </c>
      <c r="J152" s="299"/>
      <c r="K152" s="248">
        <v>2719</v>
      </c>
      <c r="L152" s="246">
        <v>2673</v>
      </c>
      <c r="M152" s="275">
        <v>150</v>
      </c>
    </row>
    <row r="153" spans="1:15" ht="12" customHeight="1">
      <c r="A153" s="196" t="s">
        <v>362</v>
      </c>
      <c r="B153" s="1109" t="s">
        <v>1204</v>
      </c>
      <c r="C153" s="166">
        <v>82847</v>
      </c>
      <c r="D153" s="169">
        <v>75409307.920000002</v>
      </c>
      <c r="E153" s="169"/>
      <c r="F153" s="298">
        <v>37717</v>
      </c>
      <c r="G153" s="169">
        <v>4079</v>
      </c>
      <c r="H153" s="169">
        <v>318696129.77999997</v>
      </c>
      <c r="I153" s="169">
        <v>41796</v>
      </c>
      <c r="J153" s="299"/>
      <c r="K153" s="248">
        <v>30460</v>
      </c>
      <c r="L153" s="246">
        <v>9645</v>
      </c>
      <c r="M153" s="275">
        <v>1691</v>
      </c>
    </row>
    <row r="154" spans="1:15" ht="12" customHeight="1">
      <c r="A154" s="196" t="s">
        <v>366</v>
      </c>
      <c r="B154" s="1109" t="s">
        <v>1205</v>
      </c>
      <c r="C154" s="166">
        <v>11507</v>
      </c>
      <c r="D154" s="169">
        <v>10452066.109999999</v>
      </c>
      <c r="E154" s="169"/>
      <c r="F154" s="298">
        <v>5642</v>
      </c>
      <c r="G154" s="169">
        <v>234</v>
      </c>
      <c r="H154" s="169">
        <v>39839700.619999997</v>
      </c>
      <c r="I154" s="169">
        <v>5876</v>
      </c>
      <c r="J154" s="299"/>
      <c r="K154" s="248">
        <v>3909</v>
      </c>
      <c r="L154" s="246">
        <v>1775</v>
      </c>
      <c r="M154" s="275">
        <v>192</v>
      </c>
    </row>
    <row r="155" spans="1:15" ht="12" customHeight="1">
      <c r="A155" s="196" t="s">
        <v>370</v>
      </c>
      <c r="B155" s="1109" t="s">
        <v>1206</v>
      </c>
      <c r="C155" s="166">
        <f>188169-1</f>
        <v>188168</v>
      </c>
      <c r="D155" s="169">
        <v>170797230.99000001</v>
      </c>
      <c r="E155" s="169"/>
      <c r="F155" s="298">
        <f>95030-1</f>
        <v>95029</v>
      </c>
      <c r="G155" s="169">
        <v>12087</v>
      </c>
      <c r="H155" s="169">
        <v>989468152.90999997</v>
      </c>
      <c r="I155" s="169">
        <f>107117-1</f>
        <v>107116</v>
      </c>
      <c r="J155" s="299"/>
      <c r="K155" s="248">
        <v>82858</v>
      </c>
      <c r="L155" s="246">
        <v>20879</v>
      </c>
      <c r="M155" s="275">
        <v>3379</v>
      </c>
    </row>
    <row r="156" spans="1:15" ht="19" customHeight="1">
      <c r="A156" s="196" t="s">
        <v>25</v>
      </c>
      <c r="B156" s="1109" t="s">
        <v>1207</v>
      </c>
      <c r="C156" s="166">
        <v>90011</v>
      </c>
      <c r="D156" s="169">
        <v>81768551.790000007</v>
      </c>
      <c r="E156" s="169"/>
      <c r="F156" s="298">
        <v>43492</v>
      </c>
      <c r="G156" s="169">
        <v>2761</v>
      </c>
      <c r="H156" s="169">
        <v>331277380.75999999</v>
      </c>
      <c r="I156" s="169">
        <v>46253</v>
      </c>
      <c r="J156" s="299"/>
      <c r="K156" s="248">
        <v>33733</v>
      </c>
      <c r="L156" s="246">
        <v>11212</v>
      </c>
      <c r="M156" s="275">
        <v>1308</v>
      </c>
    </row>
    <row r="157" spans="1:15" ht="12" customHeight="1">
      <c r="A157" s="196" t="s">
        <v>378</v>
      </c>
      <c r="B157" s="1109" t="s">
        <v>1208</v>
      </c>
      <c r="C157" s="166">
        <v>26423</v>
      </c>
      <c r="D157" s="169">
        <v>23908759.09</v>
      </c>
      <c r="E157" s="169"/>
      <c r="F157" s="298">
        <v>11192</v>
      </c>
      <c r="G157" s="169">
        <v>980</v>
      </c>
      <c r="H157" s="169">
        <v>95834840.790000007</v>
      </c>
      <c r="I157" s="169">
        <v>12172</v>
      </c>
      <c r="J157" s="299"/>
      <c r="K157" s="248">
        <v>7398</v>
      </c>
      <c r="L157" s="246">
        <v>4445</v>
      </c>
      <c r="M157" s="275">
        <v>329</v>
      </c>
    </row>
    <row r="158" spans="1:15" ht="12" customHeight="1">
      <c r="A158" s="196" t="s">
        <v>382</v>
      </c>
      <c r="B158" s="1109" t="s">
        <v>1209</v>
      </c>
      <c r="C158" s="166">
        <v>25423</v>
      </c>
      <c r="D158" s="169">
        <v>22977964.280000001</v>
      </c>
      <c r="E158" s="169"/>
      <c r="F158" s="298">
        <v>11551</v>
      </c>
      <c r="G158" s="169">
        <v>717</v>
      </c>
      <c r="H158" s="169">
        <v>95123992.730000004</v>
      </c>
      <c r="I158" s="169">
        <v>12268</v>
      </c>
      <c r="J158" s="299"/>
      <c r="K158" s="248">
        <v>7915</v>
      </c>
      <c r="L158" s="246">
        <v>4011</v>
      </c>
      <c r="M158" s="275">
        <v>342</v>
      </c>
    </row>
    <row r="159" spans="1:15" ht="12" customHeight="1">
      <c r="A159" s="196" t="s">
        <v>386</v>
      </c>
      <c r="B159" s="1109" t="s">
        <v>1210</v>
      </c>
      <c r="C159" s="166">
        <v>89218</v>
      </c>
      <c r="D159" s="169">
        <v>80969874.829999998</v>
      </c>
      <c r="E159" s="169"/>
      <c r="F159" s="298">
        <v>34552</v>
      </c>
      <c r="G159" s="169">
        <v>6680</v>
      </c>
      <c r="H159" s="169">
        <v>379570242.12</v>
      </c>
      <c r="I159" s="169">
        <v>41232</v>
      </c>
      <c r="J159" s="299"/>
      <c r="K159" s="248">
        <v>24917</v>
      </c>
      <c r="L159" s="246">
        <v>14499</v>
      </c>
      <c r="M159" s="275">
        <v>1816</v>
      </c>
    </row>
    <row r="160" spans="1:15" ht="19" customHeight="1">
      <c r="A160" s="196" t="s">
        <v>26</v>
      </c>
      <c r="B160" s="1109" t="s">
        <v>1211</v>
      </c>
      <c r="C160" s="166">
        <v>430879</v>
      </c>
      <c r="D160" s="169">
        <v>389950642.13999999</v>
      </c>
      <c r="E160" s="169"/>
      <c r="F160" s="298">
        <v>177427</v>
      </c>
      <c r="G160" s="169">
        <v>28158</v>
      </c>
      <c r="H160" s="169">
        <v>1879354540.3699999</v>
      </c>
      <c r="I160" s="169">
        <v>205585</v>
      </c>
      <c r="J160" s="299"/>
      <c r="K160" s="248">
        <v>126048</v>
      </c>
      <c r="L160" s="246">
        <v>70668</v>
      </c>
      <c r="M160" s="275">
        <v>8869</v>
      </c>
    </row>
    <row r="161" spans="1:15" ht="12" customHeight="1">
      <c r="A161" s="196" t="s">
        <v>391</v>
      </c>
      <c r="B161" s="1109" t="s">
        <v>1212</v>
      </c>
      <c r="C161" s="166">
        <v>22032</v>
      </c>
      <c r="D161" s="169">
        <v>19993472.440000001</v>
      </c>
      <c r="E161" s="169"/>
      <c r="F161" s="298">
        <v>10156</v>
      </c>
      <c r="G161" s="169">
        <v>569</v>
      </c>
      <c r="H161" s="169">
        <v>73417389.390000001</v>
      </c>
      <c r="I161" s="169">
        <v>10725</v>
      </c>
      <c r="J161" s="299"/>
      <c r="K161" s="248">
        <v>7180</v>
      </c>
      <c r="L161" s="246">
        <v>3282</v>
      </c>
      <c r="M161" s="275">
        <v>263</v>
      </c>
    </row>
    <row r="162" spans="1:15" ht="12" customHeight="1">
      <c r="A162" s="197" t="s">
        <v>394</v>
      </c>
      <c r="B162" s="1088" t="s">
        <v>1213</v>
      </c>
      <c r="C162" s="169">
        <v>13040</v>
      </c>
      <c r="D162" s="169">
        <v>11661998.16</v>
      </c>
      <c r="E162" s="169"/>
      <c r="F162" s="298">
        <v>5557</v>
      </c>
      <c r="G162" s="169">
        <v>884</v>
      </c>
      <c r="H162" s="169">
        <v>61106829.450000003</v>
      </c>
      <c r="I162" s="169">
        <v>6441</v>
      </c>
      <c r="J162" s="299"/>
      <c r="K162" s="248">
        <v>4193</v>
      </c>
      <c r="L162" s="248">
        <v>2031</v>
      </c>
      <c r="M162" s="277">
        <v>217</v>
      </c>
    </row>
    <row r="163" spans="1:15" ht="12" customHeight="1">
      <c r="A163" s="197" t="s">
        <v>397</v>
      </c>
      <c r="B163" s="1088" t="s">
        <v>1214</v>
      </c>
      <c r="C163" s="169">
        <v>27933</v>
      </c>
      <c r="D163" s="169">
        <v>25248478.780000001</v>
      </c>
      <c r="E163" s="169"/>
      <c r="F163" s="298">
        <v>12763</v>
      </c>
      <c r="G163" s="169">
        <v>1205</v>
      </c>
      <c r="H163" s="169">
        <v>109518114.03</v>
      </c>
      <c r="I163" s="169">
        <v>13968</v>
      </c>
      <c r="J163" s="299"/>
      <c r="K163" s="248">
        <v>9741</v>
      </c>
      <c r="L163" s="248">
        <v>3803</v>
      </c>
      <c r="M163" s="277">
        <v>424</v>
      </c>
      <c r="N163" s="280"/>
      <c r="O163" s="280"/>
    </row>
    <row r="164" spans="1:15" ht="6" customHeight="1">
      <c r="A164" s="167"/>
      <c r="B164" s="1111"/>
      <c r="C164" s="322"/>
      <c r="D164" s="322"/>
      <c r="E164" s="323"/>
      <c r="F164" s="324"/>
      <c r="G164" s="322"/>
      <c r="H164" s="322"/>
      <c r="I164" s="322"/>
      <c r="J164" s="323"/>
      <c r="K164" s="325"/>
      <c r="L164" s="325"/>
      <c r="M164" s="326"/>
      <c r="N164" s="280"/>
      <c r="O164" s="280"/>
    </row>
    <row r="165" spans="1:15" ht="12.75" customHeight="1">
      <c r="A165" s="217" t="s">
        <v>27</v>
      </c>
      <c r="B165" s="1105"/>
      <c r="C165" s="327">
        <f>SUM(C126:C163)</f>
        <v>2348253</v>
      </c>
      <c r="D165" s="327">
        <f>SUM(D126:D163)</f>
        <v>2129100386.8099999</v>
      </c>
      <c r="E165" s="328"/>
      <c r="F165" s="327">
        <f t="shared" ref="F165:I165" si="2">SUM(F126:F163)</f>
        <v>1029847</v>
      </c>
      <c r="G165" s="327">
        <f t="shared" si="2"/>
        <v>141667</v>
      </c>
      <c r="H165" s="327">
        <f t="shared" si="2"/>
        <v>10302360266.589998</v>
      </c>
      <c r="I165" s="327">
        <f t="shared" si="2"/>
        <v>1171514</v>
      </c>
      <c r="J165" s="320"/>
      <c r="K165" s="327">
        <f t="shared" ref="K165:M165" si="3">SUM(K126:K163)</f>
        <v>788327</v>
      </c>
      <c r="L165" s="327">
        <f t="shared" si="3"/>
        <v>336596</v>
      </c>
      <c r="M165" s="327">
        <f t="shared" si="3"/>
        <v>46591</v>
      </c>
    </row>
    <row r="166" spans="1:15" ht="12.75" customHeight="1">
      <c r="A166" s="214" t="s">
        <v>22</v>
      </c>
      <c r="B166" s="1110"/>
      <c r="C166" s="317">
        <f>C118</f>
        <v>6193994</v>
      </c>
      <c r="D166" s="329">
        <f>D118</f>
        <v>5616148931.9900007</v>
      </c>
      <c r="E166" s="318"/>
      <c r="F166" s="319">
        <f>F118</f>
        <v>2329635</v>
      </c>
      <c r="G166" s="317">
        <f>G118</f>
        <v>465763</v>
      </c>
      <c r="H166" s="215">
        <f>H118</f>
        <v>29008148553.109997</v>
      </c>
      <c r="I166" s="317">
        <f>I118</f>
        <v>2795398</v>
      </c>
      <c r="J166" s="320"/>
      <c r="K166" s="321">
        <f>K118</f>
        <v>1594294</v>
      </c>
      <c r="L166" s="321">
        <f>L118</f>
        <v>1108580</v>
      </c>
      <c r="M166" s="321">
        <f>M118</f>
        <v>92524</v>
      </c>
    </row>
    <row r="167" spans="1:15" ht="12.75" customHeight="1">
      <c r="A167" s="214" t="s">
        <v>607</v>
      </c>
      <c r="B167" s="1113" t="s">
        <v>1215</v>
      </c>
      <c r="C167" s="594">
        <v>291526</v>
      </c>
      <c r="D167" s="595">
        <v>204526033.59999999</v>
      </c>
      <c r="E167" s="596"/>
      <c r="F167" s="597">
        <v>112466</v>
      </c>
      <c r="G167" s="594">
        <v>34791</v>
      </c>
      <c r="H167" s="598">
        <v>16471640527.23</v>
      </c>
      <c r="I167" s="594">
        <v>147257</v>
      </c>
      <c r="J167" s="599"/>
      <c r="K167" s="600">
        <v>79977</v>
      </c>
      <c r="L167" s="600">
        <v>42844</v>
      </c>
      <c r="M167" s="601">
        <v>24436</v>
      </c>
    </row>
    <row r="168" spans="1:15" ht="6" customHeight="1">
      <c r="A168" s="217"/>
      <c r="B168" s="1105"/>
      <c r="C168" s="327"/>
      <c r="D168" s="215"/>
      <c r="E168" s="328"/>
      <c r="F168" s="330"/>
      <c r="G168" s="327"/>
      <c r="H168" s="331"/>
      <c r="I168" s="317"/>
      <c r="J168" s="332"/>
      <c r="K168" s="333"/>
      <c r="L168" s="333"/>
      <c r="M168" s="277"/>
    </row>
    <row r="169" spans="1:15" ht="13" customHeight="1">
      <c r="A169" s="214" t="s">
        <v>28</v>
      </c>
      <c r="B169" s="1110"/>
      <c r="C169" s="317">
        <f>SUM(C165:C167)</f>
        <v>8833773</v>
      </c>
      <c r="D169" s="215">
        <f>SUM(D165:D167)</f>
        <v>7949775352.4000015</v>
      </c>
      <c r="E169" s="318"/>
      <c r="F169" s="317">
        <f>SUM(F165:F167)</f>
        <v>3471948</v>
      </c>
      <c r="G169" s="317">
        <f>SUM(G165:G167)</f>
        <v>642221</v>
      </c>
      <c r="H169" s="215">
        <f>SUM(H165:H167)</f>
        <v>55782149346.929993</v>
      </c>
      <c r="I169" s="317">
        <f>SUM(I165:I167)</f>
        <v>4114169</v>
      </c>
      <c r="J169" s="320"/>
      <c r="K169" s="321">
        <f>SUM(K165:K167)</f>
        <v>2462598</v>
      </c>
      <c r="L169" s="321">
        <f>SUM(L165:L167)</f>
        <v>1488020</v>
      </c>
      <c r="M169" s="321">
        <f>SUM(M165:M167)</f>
        <v>163551</v>
      </c>
    </row>
    <row r="170" spans="1:15" ht="6" customHeight="1">
      <c r="A170" s="219"/>
      <c r="B170" s="1106"/>
      <c r="C170" s="279"/>
      <c r="D170" s="219"/>
      <c r="E170" s="219"/>
      <c r="F170" s="279"/>
      <c r="G170" s="279"/>
      <c r="H170" s="219"/>
      <c r="I170" s="279"/>
      <c r="J170" s="279"/>
      <c r="K170" s="277"/>
      <c r="L170" s="277"/>
      <c r="M170" s="249"/>
    </row>
    <row r="171" spans="1:15" s="1206" customFormat="1" ht="10" customHeight="1">
      <c r="A171" s="1214" t="s">
        <v>1</v>
      </c>
      <c r="B171" s="1127"/>
      <c r="C171" s="1215"/>
      <c r="D171" s="1215"/>
      <c r="E171" s="1215"/>
      <c r="F171" s="1216"/>
      <c r="G171" s="1216"/>
      <c r="H171" s="1216"/>
      <c r="I171" s="1216"/>
      <c r="J171" s="1216"/>
      <c r="K171" s="1217"/>
      <c r="L171" s="1217"/>
      <c r="M171" s="1217"/>
    </row>
    <row r="172" spans="1:15" s="1206" customFormat="1" ht="10" customHeight="1">
      <c r="A172" s="1214" t="str">
        <f>'1.5'!A174</f>
        <v>* Returns not assigned to a locality are generally nonresident returns.  In these cases, the taxpayer did not report a locality in which the Virginia portion of income was earned.</v>
      </c>
      <c r="B172" s="1127"/>
      <c r="K172" s="1218"/>
      <c r="L172" s="1218"/>
      <c r="M172" s="1218"/>
    </row>
    <row r="173" spans="1:15" s="772" customFormat="1" ht="12.75" customHeight="1">
      <c r="A173" s="862" t="s">
        <v>993</v>
      </c>
      <c r="B173" s="1112"/>
      <c r="C173" s="773"/>
      <c r="D173" s="773"/>
      <c r="E173" s="773"/>
      <c r="F173" s="774"/>
    </row>
    <row r="175" spans="1:15">
      <c r="C175" s="602"/>
      <c r="D175" s="602"/>
      <c r="E175" s="602"/>
      <c r="F175" s="602"/>
      <c r="G175" s="602"/>
      <c r="H175" s="602"/>
      <c r="I175" s="602"/>
      <c r="J175" s="602"/>
      <c r="K175" s="602"/>
      <c r="L175" s="602"/>
      <c r="M175" s="602"/>
    </row>
    <row r="176" spans="1:15">
      <c r="C176" s="603"/>
      <c r="D176" s="603"/>
      <c r="E176" s="603"/>
      <c r="F176" s="603"/>
      <c r="G176" s="603"/>
      <c r="H176" s="603"/>
      <c r="I176" s="603"/>
      <c r="J176" s="603"/>
      <c r="K176" s="603"/>
      <c r="L176" s="603"/>
      <c r="M176" s="603"/>
    </row>
    <row r="180" spans="1:2" s="1666" customFormat="1" ht="11.5">
      <c r="A180" s="1665"/>
      <c r="B180" s="1647"/>
    </row>
    <row r="181" spans="1:2" s="1666" customFormat="1" ht="10" customHeight="1">
      <c r="B181" s="1647"/>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hyperlinks>
    <hyperlink ref="O1" location="TOC!A1" display="Back"/>
  </hyperlinks>
  <pageMargins left="0.6" right="0.25" top="0.25" bottom="0.15" header="0.25" footer="0.15"/>
  <pageSetup scale="84" firstPageNumber="12" orientation="landscape" r:id="rId2"/>
  <headerFooter scaleWithDoc="0">
    <oddHeader>&amp;R&amp;P</oddHeader>
  </headerFooter>
  <rowBreaks count="3" manualBreakCount="3">
    <brk id="42" max="11" man="1"/>
    <brk id="84" max="11" man="1"/>
    <brk id="118"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173"/>
  <sheetViews>
    <sheetView showOutlineSymbols="0" zoomScaleNormal="100" workbookViewId="0">
      <selection activeCell="A3" sqref="A3"/>
    </sheetView>
  </sheetViews>
  <sheetFormatPr defaultColWidth="10.7265625" defaultRowHeight="15.5"/>
  <cols>
    <col min="1" max="1" width="15" style="212" customWidth="1"/>
    <col min="2" max="2" width="12.7265625" style="212" bestFit="1" customWidth="1"/>
    <col min="3" max="3" width="15.81640625" style="212" customWidth="1"/>
    <col min="4" max="4" width="2.7265625" style="212" customWidth="1"/>
    <col min="5" max="6" width="12" style="212" bestFit="1" customWidth="1"/>
    <col min="7" max="7" width="17.54296875" style="212" customWidth="1"/>
    <col min="8" max="8" width="12.7265625" style="212" bestFit="1" customWidth="1"/>
    <col min="9" max="9" width="2.54296875" style="212" customWidth="1"/>
    <col min="10" max="10" width="12" style="335" bestFit="1" customWidth="1"/>
    <col min="11" max="11" width="14.7265625" style="335" customWidth="1"/>
    <col min="12" max="12" width="12.81640625" style="335" customWidth="1"/>
    <col min="13" max="16384" width="10.7265625" style="212"/>
  </cols>
  <sheetData>
    <row r="1" spans="1:13" ht="18">
      <c r="A1" s="198" t="s">
        <v>609</v>
      </c>
      <c r="B1" s="274"/>
      <c r="C1" s="204"/>
      <c r="D1" s="204"/>
      <c r="E1" s="274"/>
      <c r="F1" s="274"/>
      <c r="G1" s="204"/>
      <c r="H1" s="274"/>
      <c r="I1" s="274"/>
      <c r="J1" s="275"/>
      <c r="K1" s="275"/>
      <c r="L1" s="276"/>
    </row>
    <row r="2" spans="1:13">
      <c r="A2" s="201" t="s">
        <v>793</v>
      </c>
      <c r="B2" s="274"/>
      <c r="C2" s="204"/>
      <c r="D2" s="204"/>
      <c r="E2" s="274"/>
      <c r="F2" s="274"/>
      <c r="G2" s="204"/>
      <c r="H2" s="274"/>
      <c r="I2" s="274"/>
      <c r="J2" s="277"/>
      <c r="K2" s="277"/>
      <c r="L2" s="249"/>
    </row>
    <row r="3" spans="1:13">
      <c r="A3" s="278" t="s">
        <v>919</v>
      </c>
      <c r="B3" s="279"/>
      <c r="C3" s="219"/>
      <c r="D3" s="219"/>
      <c r="E3" s="279"/>
      <c r="F3" s="279"/>
      <c r="G3" s="219"/>
      <c r="H3" s="279"/>
      <c r="I3" s="279"/>
      <c r="J3" s="277"/>
      <c r="K3" s="277"/>
      <c r="L3" s="249"/>
    </row>
    <row r="4" spans="1:13" ht="13.15" customHeight="1" thickBot="1">
      <c r="A4" s="217"/>
      <c r="B4" s="279"/>
      <c r="C4" s="219"/>
      <c r="D4" s="219"/>
      <c r="E4" s="279"/>
      <c r="F4" s="279"/>
      <c r="G4" s="219"/>
      <c r="H4" s="279"/>
      <c r="I4" s="279"/>
      <c r="J4" s="277"/>
      <c r="K4" s="277"/>
      <c r="L4" s="249"/>
      <c r="M4" s="280"/>
    </row>
    <row r="5" spans="1:13">
      <c r="A5" s="925"/>
      <c r="B5" s="1905" t="s">
        <v>322</v>
      </c>
      <c r="C5" s="1905"/>
      <c r="D5" s="282"/>
      <c r="E5" s="1903" t="s">
        <v>323</v>
      </c>
      <c r="F5" s="1904"/>
      <c r="G5" s="1904"/>
      <c r="H5" s="1904"/>
      <c r="I5" s="283"/>
      <c r="J5" s="284"/>
      <c r="K5" s="285" t="s">
        <v>610</v>
      </c>
      <c r="L5" s="286"/>
      <c r="M5" s="280"/>
    </row>
    <row r="6" spans="1:13" ht="13.15" customHeight="1">
      <c r="A6" s="287"/>
      <c r="B6" s="288"/>
      <c r="C6" s="289"/>
      <c r="D6" s="289"/>
      <c r="E6" s="290"/>
      <c r="F6" s="288"/>
      <c r="G6" s="289"/>
      <c r="H6" s="291" t="s">
        <v>16</v>
      </c>
      <c r="I6" s="292"/>
      <c r="J6" s="293"/>
      <c r="K6" s="294" t="s">
        <v>778</v>
      </c>
      <c r="L6" s="294" t="s">
        <v>778</v>
      </c>
    </row>
    <row r="7" spans="1:13" ht="13.15" customHeight="1">
      <c r="A7" s="527" t="s">
        <v>21</v>
      </c>
      <c r="B7" s="926" t="s">
        <v>611</v>
      </c>
      <c r="C7" s="527" t="s">
        <v>19</v>
      </c>
      <c r="D7" s="527"/>
      <c r="E7" s="295" t="s">
        <v>321</v>
      </c>
      <c r="F7" s="926" t="s">
        <v>320</v>
      </c>
      <c r="G7" s="527" t="s">
        <v>19</v>
      </c>
      <c r="H7" s="926" t="s">
        <v>318</v>
      </c>
      <c r="I7" s="296"/>
      <c r="J7" s="927" t="s">
        <v>612</v>
      </c>
      <c r="K7" s="927" t="s">
        <v>317</v>
      </c>
      <c r="L7" s="928" t="s">
        <v>777</v>
      </c>
    </row>
    <row r="8" spans="1:13" ht="21" customHeight="1">
      <c r="A8" s="172" t="s">
        <v>327</v>
      </c>
      <c r="B8" s="166">
        <v>41962</v>
      </c>
      <c r="C8" s="297">
        <v>38037527.109999999</v>
      </c>
      <c r="D8" s="297"/>
      <c r="E8" s="298">
        <v>16502</v>
      </c>
      <c r="F8" s="169">
        <v>2053</v>
      </c>
      <c r="G8" s="297">
        <v>238754516.80000001</v>
      </c>
      <c r="H8" s="169">
        <v>18555</v>
      </c>
      <c r="I8" s="299"/>
      <c r="J8" s="248">
        <v>10998</v>
      </c>
      <c r="K8" s="246">
        <v>6844</v>
      </c>
      <c r="L8" s="275">
        <v>713</v>
      </c>
    </row>
    <row r="9" spans="1:13" ht="13.15" customHeight="1">
      <c r="A9" s="196" t="s">
        <v>331</v>
      </c>
      <c r="B9" s="166">
        <v>115211</v>
      </c>
      <c r="C9" s="169">
        <v>103548527.94</v>
      </c>
      <c r="D9" s="169"/>
      <c r="E9" s="298">
        <v>39952</v>
      </c>
      <c r="F9" s="169">
        <v>10066</v>
      </c>
      <c r="G9" s="169">
        <v>545671635.89999998</v>
      </c>
      <c r="H9" s="169">
        <v>50018</v>
      </c>
      <c r="I9" s="299"/>
      <c r="J9" s="248">
        <v>27622</v>
      </c>
      <c r="K9" s="246">
        <v>20816</v>
      </c>
      <c r="L9" s="275">
        <v>1580</v>
      </c>
    </row>
    <row r="10" spans="1:13" ht="13.15" customHeight="1">
      <c r="A10" s="196" t="s">
        <v>335</v>
      </c>
      <c r="B10" s="166">
        <v>16510</v>
      </c>
      <c r="C10" s="169">
        <v>14978843.380000001</v>
      </c>
      <c r="D10" s="169"/>
      <c r="E10" s="298">
        <v>6790</v>
      </c>
      <c r="F10" s="169">
        <v>385</v>
      </c>
      <c r="G10" s="169">
        <v>44854096.700000003</v>
      </c>
      <c r="H10" s="169">
        <v>7175</v>
      </c>
      <c r="I10" s="299"/>
      <c r="J10" s="248">
        <v>3844</v>
      </c>
      <c r="K10" s="246">
        <v>3148</v>
      </c>
      <c r="L10" s="275">
        <v>183</v>
      </c>
    </row>
    <row r="11" spans="1:13" ht="13.15" customHeight="1">
      <c r="A11" s="196" t="s">
        <v>339</v>
      </c>
      <c r="B11" s="166">
        <v>13867</v>
      </c>
      <c r="C11" s="169">
        <v>12635969.699999999</v>
      </c>
      <c r="D11" s="169"/>
      <c r="E11" s="298">
        <v>5457</v>
      </c>
      <c r="F11" s="169">
        <v>549</v>
      </c>
      <c r="G11" s="169">
        <v>49484304.200000003</v>
      </c>
      <c r="H11" s="169">
        <v>6006</v>
      </c>
      <c r="I11" s="299"/>
      <c r="J11" s="248">
        <v>3282</v>
      </c>
      <c r="K11" s="246">
        <v>2579</v>
      </c>
      <c r="L11" s="275">
        <v>145</v>
      </c>
    </row>
    <row r="12" spans="1:13" ht="13.15" customHeight="1">
      <c r="A12" s="196" t="s">
        <v>343</v>
      </c>
      <c r="B12" s="166">
        <v>30880</v>
      </c>
      <c r="C12" s="169">
        <v>28052369.440000001</v>
      </c>
      <c r="D12" s="169"/>
      <c r="E12" s="298">
        <v>12622</v>
      </c>
      <c r="F12" s="169">
        <v>897</v>
      </c>
      <c r="G12" s="169">
        <v>77787188.900000006</v>
      </c>
      <c r="H12" s="169">
        <v>13519</v>
      </c>
      <c r="I12" s="299"/>
      <c r="J12" s="248">
        <v>7589</v>
      </c>
      <c r="K12" s="246">
        <v>5608</v>
      </c>
      <c r="L12" s="275">
        <v>322</v>
      </c>
    </row>
    <row r="13" spans="1:13" ht="21" customHeight="1">
      <c r="A13" s="196" t="s">
        <v>347</v>
      </c>
      <c r="B13" s="166">
        <v>16252</v>
      </c>
      <c r="C13" s="169">
        <v>14783254.460000001</v>
      </c>
      <c r="D13" s="169"/>
      <c r="E13" s="298">
        <v>6385</v>
      </c>
      <c r="F13" s="169">
        <v>480</v>
      </c>
      <c r="G13" s="169">
        <v>44713050.899999999</v>
      </c>
      <c r="H13" s="169">
        <v>6865</v>
      </c>
      <c r="I13" s="299"/>
      <c r="J13" s="248">
        <v>3626</v>
      </c>
      <c r="K13" s="246">
        <v>3054</v>
      </c>
      <c r="L13" s="275">
        <v>185</v>
      </c>
    </row>
    <row r="14" spans="1:13" ht="13.15" customHeight="1">
      <c r="A14" s="196" t="s">
        <v>351</v>
      </c>
      <c r="B14" s="166">
        <v>240939</v>
      </c>
      <c r="C14" s="169">
        <v>215819320.75999999</v>
      </c>
      <c r="D14" s="169"/>
      <c r="E14" s="298">
        <v>98213</v>
      </c>
      <c r="F14" s="169">
        <v>33646</v>
      </c>
      <c r="G14" s="169">
        <v>1424664013.6800001</v>
      </c>
      <c r="H14" s="169">
        <v>131859</v>
      </c>
      <c r="I14" s="299"/>
      <c r="J14" s="248">
        <v>89184</v>
      </c>
      <c r="K14" s="246">
        <v>37458</v>
      </c>
      <c r="L14" s="275">
        <v>5217</v>
      </c>
    </row>
    <row r="15" spans="1:13" ht="13.15" customHeight="1">
      <c r="A15" s="196" t="s">
        <v>355</v>
      </c>
      <c r="B15" s="166">
        <v>80790</v>
      </c>
      <c r="C15" s="169">
        <v>73257851.530000001</v>
      </c>
      <c r="D15" s="169"/>
      <c r="E15" s="298">
        <v>31687</v>
      </c>
      <c r="F15" s="169">
        <v>2930</v>
      </c>
      <c r="G15" s="169">
        <v>217388300.30000001</v>
      </c>
      <c r="H15" s="169">
        <v>34617</v>
      </c>
      <c r="I15" s="299"/>
      <c r="J15" s="248">
        <v>17920</v>
      </c>
      <c r="K15" s="246">
        <v>15901</v>
      </c>
      <c r="L15" s="275">
        <v>796</v>
      </c>
    </row>
    <row r="16" spans="1:13" ht="13.15" customHeight="1">
      <c r="A16" s="196" t="s">
        <v>359</v>
      </c>
      <c r="B16" s="166">
        <v>5270</v>
      </c>
      <c r="C16" s="169">
        <v>4761911.1500000004</v>
      </c>
      <c r="D16" s="169"/>
      <c r="E16" s="298">
        <v>2234</v>
      </c>
      <c r="F16" s="169">
        <v>168</v>
      </c>
      <c r="G16" s="169">
        <v>20530866.809999999</v>
      </c>
      <c r="H16" s="169">
        <v>2402</v>
      </c>
      <c r="I16" s="299"/>
      <c r="J16" s="248">
        <v>1345</v>
      </c>
      <c r="K16" s="246">
        <v>999</v>
      </c>
      <c r="L16" s="275">
        <v>58</v>
      </c>
    </row>
    <row r="17" spans="1:12" ht="13.15" customHeight="1">
      <c r="A17" s="196" t="s">
        <v>363</v>
      </c>
      <c r="B17" s="166">
        <v>84885</v>
      </c>
      <c r="C17" s="169">
        <v>76766126.209999993</v>
      </c>
      <c r="D17" s="169"/>
      <c r="E17" s="298">
        <v>31708</v>
      </c>
      <c r="F17" s="169">
        <v>3854</v>
      </c>
      <c r="G17" s="169">
        <v>255825894.80000001</v>
      </c>
      <c r="H17" s="169">
        <v>35562</v>
      </c>
      <c r="I17" s="299"/>
      <c r="J17" s="248">
        <v>17375</v>
      </c>
      <c r="K17" s="246">
        <v>17319</v>
      </c>
      <c r="L17" s="275">
        <v>868</v>
      </c>
    </row>
    <row r="18" spans="1:12" ht="21" customHeight="1">
      <c r="A18" s="196" t="s">
        <v>367</v>
      </c>
      <c r="B18" s="166">
        <v>5797</v>
      </c>
      <c r="C18" s="169">
        <v>5250389.4400000004</v>
      </c>
      <c r="D18" s="169"/>
      <c r="E18" s="298">
        <v>2386</v>
      </c>
      <c r="F18" s="169">
        <v>121</v>
      </c>
      <c r="G18" s="169">
        <v>14284228.9</v>
      </c>
      <c r="H18" s="169">
        <v>2507</v>
      </c>
      <c r="I18" s="299"/>
      <c r="J18" s="248">
        <v>1240</v>
      </c>
      <c r="K18" s="246">
        <v>1185</v>
      </c>
      <c r="L18" s="275">
        <v>82</v>
      </c>
    </row>
    <row r="19" spans="1:12" ht="13.15" customHeight="1">
      <c r="A19" s="196" t="s">
        <v>371</v>
      </c>
      <c r="B19" s="166">
        <v>35942</v>
      </c>
      <c r="C19" s="169">
        <v>32558225.710000001</v>
      </c>
      <c r="D19" s="169"/>
      <c r="E19" s="298">
        <v>13025</v>
      </c>
      <c r="F19" s="169">
        <v>1818</v>
      </c>
      <c r="G19" s="169">
        <v>111847979.2</v>
      </c>
      <c r="H19" s="169">
        <v>14843</v>
      </c>
      <c r="I19" s="299"/>
      <c r="J19" s="248">
        <v>6974</v>
      </c>
      <c r="K19" s="246">
        <v>7529</v>
      </c>
      <c r="L19" s="275">
        <v>340</v>
      </c>
    </row>
    <row r="20" spans="1:12" ht="13.15" customHeight="1">
      <c r="A20" s="196" t="s">
        <v>375</v>
      </c>
      <c r="B20" s="166">
        <v>14031</v>
      </c>
      <c r="C20" s="169">
        <v>12751734.6</v>
      </c>
      <c r="D20" s="169"/>
      <c r="E20" s="298">
        <v>5741</v>
      </c>
      <c r="F20" s="169">
        <v>511</v>
      </c>
      <c r="G20" s="169">
        <v>39076554</v>
      </c>
      <c r="H20" s="169">
        <v>6252</v>
      </c>
      <c r="I20" s="299"/>
      <c r="J20" s="248">
        <v>4062</v>
      </c>
      <c r="K20" s="246">
        <v>1980</v>
      </c>
      <c r="L20" s="275">
        <v>210</v>
      </c>
    </row>
    <row r="21" spans="1:12" ht="13.15" customHeight="1">
      <c r="A21" s="196" t="s">
        <v>379</v>
      </c>
      <c r="B21" s="166">
        <v>16235</v>
      </c>
      <c r="C21" s="169">
        <v>14839292.560000001</v>
      </c>
      <c r="D21" s="169"/>
      <c r="E21" s="298">
        <v>6581</v>
      </c>
      <c r="F21" s="169">
        <v>211</v>
      </c>
      <c r="G21" s="169">
        <v>40626375.299999997</v>
      </c>
      <c r="H21" s="169">
        <v>6792</v>
      </c>
      <c r="I21" s="299"/>
      <c r="J21" s="248">
        <v>3263</v>
      </c>
      <c r="K21" s="246">
        <v>3370</v>
      </c>
      <c r="L21" s="275">
        <v>159</v>
      </c>
    </row>
    <row r="22" spans="1:12" ht="13.15" customHeight="1">
      <c r="A22" s="196" t="s">
        <v>383</v>
      </c>
      <c r="B22" s="166">
        <v>13648</v>
      </c>
      <c r="C22" s="169">
        <v>12413995.68</v>
      </c>
      <c r="D22" s="169"/>
      <c r="E22" s="298">
        <v>5669</v>
      </c>
      <c r="F22" s="169">
        <v>344</v>
      </c>
      <c r="G22" s="169">
        <v>32242188</v>
      </c>
      <c r="H22" s="169">
        <v>6013</v>
      </c>
      <c r="I22" s="299"/>
      <c r="J22" s="248">
        <v>3628</v>
      </c>
      <c r="K22" s="246">
        <v>2177</v>
      </c>
      <c r="L22" s="275">
        <v>208</v>
      </c>
    </row>
    <row r="23" spans="1:12" ht="21" customHeight="1">
      <c r="A23" s="196" t="s">
        <v>387</v>
      </c>
      <c r="B23" s="166">
        <v>54307</v>
      </c>
      <c r="C23" s="169">
        <v>49361351.5</v>
      </c>
      <c r="D23" s="169"/>
      <c r="E23" s="298">
        <v>22615</v>
      </c>
      <c r="F23" s="169">
        <v>1431</v>
      </c>
      <c r="G23" s="248">
        <v>133462999.90000001</v>
      </c>
      <c r="H23" s="169">
        <v>24046</v>
      </c>
      <c r="I23" s="299"/>
      <c r="J23" s="248">
        <v>13465</v>
      </c>
      <c r="K23" s="246">
        <v>9956</v>
      </c>
      <c r="L23" s="275">
        <v>625</v>
      </c>
    </row>
    <row r="24" spans="1:12" ht="13.15" customHeight="1">
      <c r="A24" s="196" t="s">
        <v>389</v>
      </c>
      <c r="B24" s="166">
        <v>30191</v>
      </c>
      <c r="C24" s="169">
        <v>27508270.780000001</v>
      </c>
      <c r="D24" s="169"/>
      <c r="E24" s="298">
        <v>11875</v>
      </c>
      <c r="F24" s="169">
        <v>1742</v>
      </c>
      <c r="G24" s="169">
        <v>92465163.099999994</v>
      </c>
      <c r="H24" s="169">
        <v>13617</v>
      </c>
      <c r="I24" s="299"/>
      <c r="J24" s="248">
        <v>8097</v>
      </c>
      <c r="K24" s="246">
        <v>5057</v>
      </c>
      <c r="L24" s="275">
        <v>463</v>
      </c>
    </row>
    <row r="25" spans="1:12" ht="13.15" customHeight="1">
      <c r="A25" s="196" t="s">
        <v>392</v>
      </c>
      <c r="B25" s="166">
        <v>28130</v>
      </c>
      <c r="C25" s="169">
        <v>25523189.82</v>
      </c>
      <c r="D25" s="169"/>
      <c r="E25" s="298">
        <v>11778</v>
      </c>
      <c r="F25" s="169">
        <v>444</v>
      </c>
      <c r="G25" s="169">
        <v>67016790.600000001</v>
      </c>
      <c r="H25" s="169">
        <v>12222</v>
      </c>
      <c r="I25" s="299"/>
      <c r="J25" s="248">
        <v>6292</v>
      </c>
      <c r="K25" s="246">
        <v>5542</v>
      </c>
      <c r="L25" s="275">
        <v>388</v>
      </c>
    </row>
    <row r="26" spans="1:12" ht="13.15" customHeight="1">
      <c r="A26" s="196" t="s">
        <v>395</v>
      </c>
      <c r="B26" s="166">
        <v>7278</v>
      </c>
      <c r="C26" s="169">
        <v>6606309</v>
      </c>
      <c r="D26" s="169"/>
      <c r="E26" s="298">
        <v>3089</v>
      </c>
      <c r="F26" s="169">
        <v>351</v>
      </c>
      <c r="G26" s="169">
        <v>21660061.100000001</v>
      </c>
      <c r="H26" s="169">
        <v>3440</v>
      </c>
      <c r="I26" s="299"/>
      <c r="J26" s="248">
        <v>2096</v>
      </c>
      <c r="K26" s="246">
        <v>1218</v>
      </c>
      <c r="L26" s="275">
        <v>126</v>
      </c>
    </row>
    <row r="27" spans="1:12" ht="13.15" customHeight="1">
      <c r="A27" s="196" t="s">
        <v>398</v>
      </c>
      <c r="B27" s="166">
        <v>11869</v>
      </c>
      <c r="C27" s="169">
        <v>10792266.67</v>
      </c>
      <c r="D27" s="169"/>
      <c r="E27" s="298">
        <v>4803</v>
      </c>
      <c r="F27" s="169">
        <v>283</v>
      </c>
      <c r="G27" s="169">
        <v>34229457.299999997</v>
      </c>
      <c r="H27" s="169">
        <v>5086</v>
      </c>
      <c r="I27" s="299"/>
      <c r="J27" s="248">
        <v>2886</v>
      </c>
      <c r="K27" s="246">
        <v>2049</v>
      </c>
      <c r="L27" s="275">
        <v>151</v>
      </c>
    </row>
    <row r="28" spans="1:12" ht="21" customHeight="1">
      <c r="A28" s="196" t="s">
        <v>400</v>
      </c>
      <c r="B28" s="166">
        <v>369274</v>
      </c>
      <c r="C28" s="169">
        <v>335111182.70999998</v>
      </c>
      <c r="D28" s="169"/>
      <c r="E28" s="298">
        <v>132267</v>
      </c>
      <c r="F28" s="169">
        <v>27043</v>
      </c>
      <c r="G28" s="169">
        <v>1245715200.6099999</v>
      </c>
      <c r="H28" s="169">
        <v>159310</v>
      </c>
      <c r="I28" s="299"/>
      <c r="J28" s="248">
        <v>89630</v>
      </c>
      <c r="K28" s="246">
        <v>64927</v>
      </c>
      <c r="L28" s="275">
        <v>4753</v>
      </c>
    </row>
    <row r="29" spans="1:12" ht="13.15" customHeight="1">
      <c r="A29" s="196" t="s">
        <v>403</v>
      </c>
      <c r="B29" s="166">
        <v>16602</v>
      </c>
      <c r="C29" s="169">
        <v>15008044.9</v>
      </c>
      <c r="D29" s="169"/>
      <c r="E29" s="298">
        <v>5713</v>
      </c>
      <c r="F29" s="169">
        <v>1510</v>
      </c>
      <c r="G29" s="169">
        <v>65965361</v>
      </c>
      <c r="H29" s="169">
        <v>7223</v>
      </c>
      <c r="I29" s="299"/>
      <c r="J29" s="248">
        <v>3824</v>
      </c>
      <c r="K29" s="246">
        <v>3192</v>
      </c>
      <c r="L29" s="275">
        <v>207</v>
      </c>
    </row>
    <row r="30" spans="1:12" ht="13.15" customHeight="1">
      <c r="A30" s="196" t="s">
        <v>405</v>
      </c>
      <c r="B30" s="166">
        <v>5125</v>
      </c>
      <c r="C30" s="169">
        <v>4654515.37</v>
      </c>
      <c r="D30" s="169"/>
      <c r="E30" s="298">
        <v>2072</v>
      </c>
      <c r="F30" s="169">
        <v>124</v>
      </c>
      <c r="G30" s="169">
        <v>12305562.1</v>
      </c>
      <c r="H30" s="169">
        <v>2196</v>
      </c>
      <c r="I30" s="299"/>
      <c r="J30" s="248">
        <v>1093</v>
      </c>
      <c r="K30" s="246">
        <v>1052</v>
      </c>
      <c r="L30" s="275">
        <v>51</v>
      </c>
    </row>
    <row r="31" spans="1:12" ht="13.15" customHeight="1">
      <c r="A31" s="196" t="s">
        <v>408</v>
      </c>
      <c r="B31" s="166">
        <v>52852</v>
      </c>
      <c r="C31" s="169">
        <v>48067578.109999999</v>
      </c>
      <c r="D31" s="169"/>
      <c r="E31" s="298">
        <v>18740</v>
      </c>
      <c r="F31" s="169">
        <v>3654</v>
      </c>
      <c r="G31" s="169">
        <v>171736565</v>
      </c>
      <c r="H31" s="169">
        <v>22394</v>
      </c>
      <c r="I31" s="299"/>
      <c r="J31" s="248">
        <v>12365</v>
      </c>
      <c r="K31" s="246">
        <v>9413</v>
      </c>
      <c r="L31" s="275">
        <v>616</v>
      </c>
    </row>
    <row r="32" spans="1:12" ht="13.15" customHeight="1">
      <c r="A32" s="196" t="s">
        <v>411</v>
      </c>
      <c r="B32" s="166">
        <v>9236</v>
      </c>
      <c r="C32" s="169">
        <v>8387564.6900000004</v>
      </c>
      <c r="D32" s="169"/>
      <c r="E32" s="298">
        <v>3732</v>
      </c>
      <c r="F32" s="169">
        <v>329</v>
      </c>
      <c r="G32" s="169">
        <v>24218418.100000001</v>
      </c>
      <c r="H32" s="169">
        <v>4061</v>
      </c>
      <c r="I32" s="299"/>
      <c r="J32" s="248">
        <v>2352</v>
      </c>
      <c r="K32" s="246">
        <v>1544</v>
      </c>
      <c r="L32" s="275">
        <v>165</v>
      </c>
    </row>
    <row r="33" spans="1:13" ht="21" customHeight="1">
      <c r="A33" s="196" t="s">
        <v>414</v>
      </c>
      <c r="B33" s="166">
        <v>11271</v>
      </c>
      <c r="C33" s="169">
        <v>10292608.98</v>
      </c>
      <c r="D33" s="169"/>
      <c r="E33" s="298">
        <v>4578</v>
      </c>
      <c r="F33" s="169">
        <v>79</v>
      </c>
      <c r="G33" s="169">
        <v>54937513.5</v>
      </c>
      <c r="H33" s="169">
        <v>4657</v>
      </c>
      <c r="I33" s="299"/>
      <c r="J33" s="248">
        <v>2267</v>
      </c>
      <c r="K33" s="246">
        <v>2281</v>
      </c>
      <c r="L33" s="275">
        <v>109</v>
      </c>
    </row>
    <row r="34" spans="1:13" ht="13.15" customHeight="1">
      <c r="A34" s="196" t="s">
        <v>417</v>
      </c>
      <c r="B34" s="166">
        <v>26867</v>
      </c>
      <c r="C34" s="169">
        <v>24497063.140000001</v>
      </c>
      <c r="D34" s="169"/>
      <c r="E34" s="298">
        <v>10767</v>
      </c>
      <c r="F34" s="169">
        <v>1281</v>
      </c>
      <c r="G34" s="169">
        <v>79913245.900000006</v>
      </c>
      <c r="H34" s="169">
        <v>12048</v>
      </c>
      <c r="I34" s="299"/>
      <c r="J34" s="248">
        <v>7240</v>
      </c>
      <c r="K34" s="246">
        <v>4397</v>
      </c>
      <c r="L34" s="275">
        <v>411</v>
      </c>
    </row>
    <row r="35" spans="1:13" ht="13.15" customHeight="1">
      <c r="A35" s="196" t="s">
        <v>420</v>
      </c>
      <c r="B35" s="166">
        <v>11278</v>
      </c>
      <c r="C35" s="169">
        <v>10229868</v>
      </c>
      <c r="D35" s="169"/>
      <c r="E35" s="298">
        <v>4513</v>
      </c>
      <c r="F35" s="169">
        <v>552</v>
      </c>
      <c r="G35" s="248">
        <v>36161765.899999999</v>
      </c>
      <c r="H35" s="169">
        <v>5065</v>
      </c>
      <c r="I35" s="299"/>
      <c r="J35" s="248">
        <v>3126</v>
      </c>
      <c r="K35" s="246">
        <v>1759</v>
      </c>
      <c r="L35" s="275">
        <v>180</v>
      </c>
    </row>
    <row r="36" spans="1:13" ht="13.15" customHeight="1">
      <c r="A36" s="197" t="s">
        <v>423</v>
      </c>
      <c r="B36" s="166">
        <v>1215046</v>
      </c>
      <c r="C36" s="169">
        <v>1100636293.79</v>
      </c>
      <c r="D36" s="169"/>
      <c r="E36" s="298">
        <v>378174</v>
      </c>
      <c r="F36" s="169">
        <v>162660</v>
      </c>
      <c r="G36" s="169">
        <v>6897461141.8599997</v>
      </c>
      <c r="H36" s="169">
        <v>540834</v>
      </c>
      <c r="I36" s="299"/>
      <c r="J36" s="248">
        <v>297532</v>
      </c>
      <c r="K36" s="246">
        <v>223428</v>
      </c>
      <c r="L36" s="275">
        <v>19874</v>
      </c>
    </row>
    <row r="37" spans="1:13" ht="13.15" customHeight="1">
      <c r="A37" s="197" t="s">
        <v>426</v>
      </c>
      <c r="B37" s="169">
        <v>78625</v>
      </c>
      <c r="C37" s="169">
        <v>71427200.930000007</v>
      </c>
      <c r="D37" s="169"/>
      <c r="E37" s="298">
        <v>24683</v>
      </c>
      <c r="F37" s="169">
        <v>8885</v>
      </c>
      <c r="G37" s="169">
        <v>407989597</v>
      </c>
      <c r="H37" s="169">
        <v>33568</v>
      </c>
      <c r="I37" s="299"/>
      <c r="J37" s="248">
        <v>17650</v>
      </c>
      <c r="K37" s="248">
        <v>14943</v>
      </c>
      <c r="L37" s="277">
        <v>975</v>
      </c>
      <c r="M37" s="280"/>
    </row>
    <row r="38" spans="1:13" ht="21" customHeight="1">
      <c r="A38" s="196" t="s">
        <v>429</v>
      </c>
      <c r="B38" s="166">
        <v>15378</v>
      </c>
      <c r="C38" s="297">
        <v>13939320.76</v>
      </c>
      <c r="D38" s="297"/>
      <c r="E38" s="298">
        <v>6154</v>
      </c>
      <c r="F38" s="169">
        <v>375</v>
      </c>
      <c r="G38" s="297">
        <v>36629565.5</v>
      </c>
      <c r="H38" s="169">
        <v>6529</v>
      </c>
      <c r="I38" s="299"/>
      <c r="J38" s="248">
        <v>3233</v>
      </c>
      <c r="K38" s="246">
        <v>3156</v>
      </c>
      <c r="L38" s="275">
        <v>140</v>
      </c>
    </row>
    <row r="39" spans="1:13" ht="13.15" customHeight="1">
      <c r="A39" s="196" t="s">
        <v>431</v>
      </c>
      <c r="B39" s="166">
        <v>27715</v>
      </c>
      <c r="C39" s="169">
        <v>25056960.670000002</v>
      </c>
      <c r="D39" s="169"/>
      <c r="E39" s="298">
        <v>10510</v>
      </c>
      <c r="F39" s="169">
        <v>1336</v>
      </c>
      <c r="G39" s="169">
        <v>92120064.5</v>
      </c>
      <c r="H39" s="169">
        <v>11846</v>
      </c>
      <c r="I39" s="299"/>
      <c r="J39" s="248">
        <v>6146</v>
      </c>
      <c r="K39" s="246">
        <v>5328</v>
      </c>
      <c r="L39" s="275">
        <v>372</v>
      </c>
    </row>
    <row r="40" spans="1:13" ht="13.15" customHeight="1">
      <c r="A40" s="196" t="s">
        <v>434</v>
      </c>
      <c r="B40" s="166">
        <v>55340</v>
      </c>
      <c r="C40" s="169">
        <v>50039598.280000001</v>
      </c>
      <c r="D40" s="169"/>
      <c r="E40" s="298">
        <v>21419</v>
      </c>
      <c r="F40" s="169">
        <v>1993</v>
      </c>
      <c r="G40" s="169">
        <v>162826741.80000001</v>
      </c>
      <c r="H40" s="169">
        <v>23412</v>
      </c>
      <c r="I40" s="299"/>
      <c r="J40" s="248">
        <v>11978</v>
      </c>
      <c r="K40" s="246">
        <v>10764</v>
      </c>
      <c r="L40" s="275">
        <v>670</v>
      </c>
    </row>
    <row r="41" spans="1:13" ht="13.15" customHeight="1">
      <c r="A41" s="196" t="s">
        <v>436</v>
      </c>
      <c r="B41" s="166">
        <v>97179</v>
      </c>
      <c r="C41" s="169">
        <v>87966464.599999994</v>
      </c>
      <c r="D41" s="169"/>
      <c r="E41" s="298">
        <v>36118</v>
      </c>
      <c r="F41" s="169">
        <v>6021</v>
      </c>
      <c r="G41" s="169">
        <v>313662978.11000001</v>
      </c>
      <c r="H41" s="169">
        <v>42139</v>
      </c>
      <c r="I41" s="299"/>
      <c r="J41" s="248">
        <v>22707</v>
      </c>
      <c r="K41" s="246">
        <v>18178</v>
      </c>
      <c r="L41" s="275">
        <v>1254</v>
      </c>
    </row>
    <row r="42" spans="1:13" ht="13.15" customHeight="1">
      <c r="A42" s="196" t="s">
        <v>439</v>
      </c>
      <c r="B42" s="166">
        <v>16731</v>
      </c>
      <c r="C42" s="169">
        <v>15167560.189999999</v>
      </c>
      <c r="D42" s="169"/>
      <c r="E42" s="298">
        <v>6969</v>
      </c>
      <c r="F42" s="169">
        <v>314</v>
      </c>
      <c r="G42" s="169">
        <v>36960287.509999998</v>
      </c>
      <c r="H42" s="169">
        <v>7283</v>
      </c>
      <c r="I42" s="299"/>
      <c r="J42" s="248">
        <v>3914</v>
      </c>
      <c r="K42" s="246">
        <v>3186</v>
      </c>
      <c r="L42" s="275">
        <v>183</v>
      </c>
    </row>
    <row r="43" spans="1:13" ht="18">
      <c r="A43" s="208" t="s">
        <v>613</v>
      </c>
      <c r="B43" s="279"/>
      <c r="C43" s="279"/>
      <c r="D43" s="279"/>
      <c r="E43" s="279"/>
      <c r="F43" s="279"/>
      <c r="G43" s="279"/>
      <c r="H43" s="279"/>
      <c r="I43" s="279"/>
      <c r="J43" s="277"/>
      <c r="K43" s="277"/>
      <c r="L43" s="277"/>
      <c r="M43" s="280"/>
    </row>
    <row r="44" spans="1:13">
      <c r="A44" s="300" t="str">
        <f>A2</f>
        <v>Exemptions, Standard and Itemized Deductions, and Number of Returns by Filing Status/Locality</v>
      </c>
      <c r="B44" s="279"/>
      <c r="C44" s="279"/>
      <c r="D44" s="279"/>
      <c r="E44" s="279"/>
      <c r="F44" s="279"/>
      <c r="G44" s="279"/>
      <c r="H44" s="279"/>
      <c r="I44" s="279"/>
      <c r="J44" s="277"/>
      <c r="K44" s="277"/>
      <c r="L44" s="277"/>
    </row>
    <row r="45" spans="1:13">
      <c r="A45" s="278" t="str">
        <f>A3</f>
        <v>Taxable Year 2019</v>
      </c>
      <c r="B45" s="279"/>
      <c r="C45" s="279"/>
      <c r="D45" s="279"/>
      <c r="E45" s="279"/>
      <c r="F45" s="279"/>
      <c r="G45" s="279"/>
      <c r="H45" s="279"/>
      <c r="I45" s="279"/>
      <c r="J45" s="277"/>
      <c r="K45" s="277"/>
      <c r="L45" s="277"/>
    </row>
    <row r="46" spans="1:13" ht="13.15" customHeight="1" thickBot="1">
      <c r="A46" s="280"/>
      <c r="B46" s="301">
        <f t="shared" ref="B46:L46" si="0">SUM(B8:B37)</f>
        <v>2660170</v>
      </c>
      <c r="C46" s="301">
        <f t="shared" si="0"/>
        <v>2408558648.0599999</v>
      </c>
      <c r="D46" s="301">
        <f t="shared" si="0"/>
        <v>0</v>
      </c>
      <c r="E46" s="301">
        <f t="shared" si="0"/>
        <v>924351</v>
      </c>
      <c r="F46" s="301">
        <f t="shared" si="0"/>
        <v>268401</v>
      </c>
      <c r="G46" s="301">
        <f t="shared" si="0"/>
        <v>12502990037.360001</v>
      </c>
      <c r="H46" s="301">
        <f t="shared" si="0"/>
        <v>1192752</v>
      </c>
      <c r="I46" s="301">
        <f t="shared" si="0"/>
        <v>0</v>
      </c>
      <c r="J46" s="302">
        <f t="shared" si="0"/>
        <v>671867</v>
      </c>
      <c r="K46" s="302">
        <f t="shared" si="0"/>
        <v>480725</v>
      </c>
      <c r="L46" s="302">
        <f t="shared" si="0"/>
        <v>40160</v>
      </c>
    </row>
    <row r="47" spans="1:13">
      <c r="A47" s="281"/>
      <c r="B47" s="1902" t="s">
        <v>322</v>
      </c>
      <c r="C47" s="1902"/>
      <c r="D47" s="924"/>
      <c r="E47" s="1903" t="s">
        <v>323</v>
      </c>
      <c r="F47" s="1904"/>
      <c r="G47" s="1904"/>
      <c r="H47" s="1904"/>
      <c r="I47" s="283"/>
      <c r="J47" s="284"/>
      <c r="K47" s="285" t="s">
        <v>610</v>
      </c>
      <c r="L47" s="286"/>
      <c r="M47" s="280"/>
    </row>
    <row r="48" spans="1:13" ht="13.15" customHeight="1">
      <c r="A48" s="303"/>
      <c r="B48" s="304"/>
      <c r="C48" s="304"/>
      <c r="D48" s="304"/>
      <c r="E48" s="305"/>
      <c r="F48" s="304"/>
      <c r="G48" s="304"/>
      <c r="H48" s="306" t="s">
        <v>16</v>
      </c>
      <c r="I48" s="307"/>
      <c r="J48" s="308"/>
      <c r="K48" s="294" t="s">
        <v>778</v>
      </c>
      <c r="L48" s="294" t="s">
        <v>778</v>
      </c>
    </row>
    <row r="49" spans="1:12" ht="13.15" customHeight="1">
      <c r="A49" s="527" t="s">
        <v>21</v>
      </c>
      <c r="B49" s="926" t="s">
        <v>611</v>
      </c>
      <c r="C49" s="926" t="s">
        <v>19</v>
      </c>
      <c r="D49" s="926"/>
      <c r="E49" s="295" t="s">
        <v>321</v>
      </c>
      <c r="F49" s="926" t="s">
        <v>320</v>
      </c>
      <c r="G49" s="527" t="s">
        <v>19</v>
      </c>
      <c r="H49" s="926" t="s">
        <v>318</v>
      </c>
      <c r="I49" s="296"/>
      <c r="J49" s="927" t="s">
        <v>612</v>
      </c>
      <c r="K49" s="927" t="s">
        <v>317</v>
      </c>
      <c r="L49" s="928" t="s">
        <v>777</v>
      </c>
    </row>
    <row r="50" spans="1:12" ht="21" customHeight="1">
      <c r="A50" s="196" t="s">
        <v>442</v>
      </c>
      <c r="B50" s="166">
        <v>39458</v>
      </c>
      <c r="C50" s="169">
        <v>35749770.850000001</v>
      </c>
      <c r="D50" s="169"/>
      <c r="E50" s="298">
        <v>15517</v>
      </c>
      <c r="F50" s="169">
        <v>2026</v>
      </c>
      <c r="G50" s="169">
        <v>116639621.40000001</v>
      </c>
      <c r="H50" s="169">
        <v>17543</v>
      </c>
      <c r="I50" s="299"/>
      <c r="J50" s="248">
        <v>9384</v>
      </c>
      <c r="K50" s="246">
        <v>7630</v>
      </c>
      <c r="L50" s="275">
        <v>529</v>
      </c>
    </row>
    <row r="51" spans="1:12" ht="13.15" customHeight="1">
      <c r="A51" s="196" t="s">
        <v>444</v>
      </c>
      <c r="B51" s="166">
        <v>26923</v>
      </c>
      <c r="C51" s="169">
        <v>24276328.059999999</v>
      </c>
      <c r="D51" s="169"/>
      <c r="E51" s="298">
        <v>8557</v>
      </c>
      <c r="F51" s="169">
        <v>2693</v>
      </c>
      <c r="G51" s="169">
        <v>142950730.69999999</v>
      </c>
      <c r="H51" s="169">
        <v>11250</v>
      </c>
      <c r="I51" s="299"/>
      <c r="J51" s="248">
        <v>5292</v>
      </c>
      <c r="K51" s="246">
        <v>5640</v>
      </c>
      <c r="L51" s="275">
        <v>318</v>
      </c>
    </row>
    <row r="52" spans="1:12" ht="13.15" customHeight="1">
      <c r="A52" s="196" t="s">
        <v>446</v>
      </c>
      <c r="B52" s="166">
        <v>14761</v>
      </c>
      <c r="C52" s="169">
        <v>13372500.390000001</v>
      </c>
      <c r="D52" s="169"/>
      <c r="E52" s="298">
        <v>6177</v>
      </c>
      <c r="F52" s="169">
        <v>280</v>
      </c>
      <c r="G52" s="169">
        <v>36344205</v>
      </c>
      <c r="H52" s="169">
        <v>6457</v>
      </c>
      <c r="I52" s="299"/>
      <c r="J52" s="248">
        <v>3287</v>
      </c>
      <c r="K52" s="246">
        <v>2962</v>
      </c>
      <c r="L52" s="275">
        <v>208</v>
      </c>
    </row>
    <row r="53" spans="1:12" ht="13.15" customHeight="1">
      <c r="A53" s="196" t="s">
        <v>449</v>
      </c>
      <c r="B53" s="166">
        <v>20359</v>
      </c>
      <c r="C53" s="169">
        <v>18467311.969999999</v>
      </c>
      <c r="D53" s="169"/>
      <c r="E53" s="298">
        <v>7800</v>
      </c>
      <c r="F53" s="169">
        <v>955</v>
      </c>
      <c r="G53" s="169">
        <v>56227626.600000001</v>
      </c>
      <c r="H53" s="169">
        <v>8755</v>
      </c>
      <c r="I53" s="299"/>
      <c r="J53" s="248">
        <v>4655</v>
      </c>
      <c r="K53" s="246">
        <v>3835</v>
      </c>
      <c r="L53" s="275">
        <v>265</v>
      </c>
    </row>
    <row r="54" spans="1:12" ht="13.15" customHeight="1">
      <c r="A54" s="196" t="s">
        <v>452</v>
      </c>
      <c r="B54" s="166">
        <v>11416</v>
      </c>
      <c r="C54" s="169">
        <v>10434997.73</v>
      </c>
      <c r="D54" s="169"/>
      <c r="E54" s="298">
        <v>4633</v>
      </c>
      <c r="F54" s="169">
        <v>505</v>
      </c>
      <c r="G54" s="169">
        <v>33480993.800000001</v>
      </c>
      <c r="H54" s="169">
        <v>5138</v>
      </c>
      <c r="I54" s="299"/>
      <c r="J54" s="248">
        <v>3441</v>
      </c>
      <c r="K54" s="246">
        <v>1449</v>
      </c>
      <c r="L54" s="275">
        <v>248</v>
      </c>
    </row>
    <row r="55" spans="1:12" ht="21" customHeight="1">
      <c r="A55" s="196" t="s">
        <v>328</v>
      </c>
      <c r="B55" s="166">
        <v>33215</v>
      </c>
      <c r="C55" s="169">
        <v>30203513.969999999</v>
      </c>
      <c r="D55" s="169"/>
      <c r="E55" s="298">
        <v>13819</v>
      </c>
      <c r="F55" s="169">
        <v>805</v>
      </c>
      <c r="G55" s="169">
        <v>78372711.299999997</v>
      </c>
      <c r="H55" s="169">
        <v>14624</v>
      </c>
      <c r="I55" s="299"/>
      <c r="J55" s="248">
        <v>8843</v>
      </c>
      <c r="K55" s="246">
        <v>5255</v>
      </c>
      <c r="L55" s="275">
        <v>526</v>
      </c>
    </row>
    <row r="56" spans="1:12" ht="13.15" customHeight="1">
      <c r="A56" s="196" t="s">
        <v>332</v>
      </c>
      <c r="B56" s="166">
        <v>119815</v>
      </c>
      <c r="C56" s="169">
        <v>108891389.62</v>
      </c>
      <c r="D56" s="169"/>
      <c r="E56" s="298">
        <v>42240</v>
      </c>
      <c r="F56" s="169">
        <v>8881</v>
      </c>
      <c r="G56" s="248">
        <v>415867098</v>
      </c>
      <c r="H56" s="169">
        <v>51121</v>
      </c>
      <c r="I56" s="299"/>
      <c r="J56" s="248">
        <v>26527</v>
      </c>
      <c r="K56" s="246">
        <v>23305</v>
      </c>
      <c r="L56" s="275">
        <v>1289</v>
      </c>
    </row>
    <row r="57" spans="1:12" ht="13.15" customHeight="1">
      <c r="A57" s="196" t="s">
        <v>336</v>
      </c>
      <c r="B57" s="166">
        <v>337716</v>
      </c>
      <c r="C57" s="169">
        <v>306383797.81999999</v>
      </c>
      <c r="D57" s="169"/>
      <c r="E57" s="298">
        <v>129816</v>
      </c>
      <c r="F57" s="169">
        <v>25156</v>
      </c>
      <c r="G57" s="169">
        <v>1228322587.5</v>
      </c>
      <c r="H57" s="169">
        <v>154972</v>
      </c>
      <c r="I57" s="299"/>
      <c r="J57" s="248">
        <v>96458</v>
      </c>
      <c r="K57" s="246">
        <v>53792</v>
      </c>
      <c r="L57" s="275">
        <v>4722</v>
      </c>
    </row>
    <row r="58" spans="1:12" ht="13.15" customHeight="1">
      <c r="A58" s="196" t="s">
        <v>340</v>
      </c>
      <c r="B58" s="166">
        <v>50114</v>
      </c>
      <c r="C58" s="169">
        <v>45604786.130000003</v>
      </c>
      <c r="D58" s="169"/>
      <c r="E58" s="298">
        <v>21226</v>
      </c>
      <c r="F58" s="169">
        <v>1024</v>
      </c>
      <c r="G58" s="169">
        <v>118777458.2</v>
      </c>
      <c r="H58" s="169">
        <v>22250</v>
      </c>
      <c r="I58" s="299"/>
      <c r="J58" s="248">
        <v>13277</v>
      </c>
      <c r="K58" s="246">
        <v>8249</v>
      </c>
      <c r="L58" s="275">
        <v>724</v>
      </c>
    </row>
    <row r="59" spans="1:12" ht="13.15" customHeight="1">
      <c r="A59" s="196" t="s">
        <v>344</v>
      </c>
      <c r="B59" s="166">
        <v>2533</v>
      </c>
      <c r="C59" s="169">
        <v>2271650.14</v>
      </c>
      <c r="D59" s="169"/>
      <c r="E59" s="298">
        <v>956</v>
      </c>
      <c r="F59" s="169">
        <v>75</v>
      </c>
      <c r="G59" s="169">
        <v>7374115.5999999996</v>
      </c>
      <c r="H59" s="169">
        <v>1031</v>
      </c>
      <c r="I59" s="299"/>
      <c r="J59" s="248">
        <v>463</v>
      </c>
      <c r="K59" s="246">
        <v>547</v>
      </c>
      <c r="L59" s="309">
        <v>21</v>
      </c>
    </row>
    <row r="60" spans="1:12" ht="21" customHeight="1">
      <c r="A60" s="196" t="s">
        <v>348</v>
      </c>
      <c r="B60" s="166">
        <v>39533</v>
      </c>
      <c r="C60" s="169">
        <v>35825748.799999997</v>
      </c>
      <c r="D60" s="169"/>
      <c r="E60" s="298">
        <v>14013</v>
      </c>
      <c r="F60" s="169">
        <v>3016</v>
      </c>
      <c r="G60" s="169">
        <v>136911004.80000001</v>
      </c>
      <c r="H60" s="169">
        <v>17029</v>
      </c>
      <c r="I60" s="299"/>
      <c r="J60" s="248">
        <v>8863</v>
      </c>
      <c r="K60" s="246">
        <v>7555</v>
      </c>
      <c r="L60" s="275">
        <v>611</v>
      </c>
    </row>
    <row r="61" spans="1:12" ht="13.15" customHeight="1">
      <c r="A61" s="196" t="s">
        <v>352</v>
      </c>
      <c r="B61" s="166">
        <v>88619</v>
      </c>
      <c r="C61" s="169">
        <v>79152798.200000003</v>
      </c>
      <c r="D61" s="169"/>
      <c r="E61" s="298">
        <v>28376</v>
      </c>
      <c r="F61" s="169">
        <v>7818</v>
      </c>
      <c r="G61" s="169">
        <v>363829811.30000001</v>
      </c>
      <c r="H61" s="169">
        <v>36194</v>
      </c>
      <c r="I61" s="299"/>
      <c r="J61" s="248">
        <v>18147</v>
      </c>
      <c r="K61" s="246">
        <v>16920</v>
      </c>
      <c r="L61" s="275">
        <v>1127</v>
      </c>
    </row>
    <row r="62" spans="1:12" ht="13.15" customHeight="1">
      <c r="A62" s="196" t="s">
        <v>356</v>
      </c>
      <c r="B62" s="166">
        <v>7078</v>
      </c>
      <c r="C62" s="169">
        <v>6430696</v>
      </c>
      <c r="D62" s="169"/>
      <c r="E62" s="298">
        <v>2925</v>
      </c>
      <c r="F62" s="169">
        <v>270</v>
      </c>
      <c r="G62" s="169">
        <v>19377297.300000001</v>
      </c>
      <c r="H62" s="169">
        <v>3195</v>
      </c>
      <c r="I62" s="299"/>
      <c r="J62" s="248">
        <v>1852</v>
      </c>
      <c r="K62" s="246">
        <v>1236</v>
      </c>
      <c r="L62" s="275">
        <v>107</v>
      </c>
    </row>
    <row r="63" spans="1:12" ht="13.15" customHeight="1">
      <c r="A63" s="196" t="s">
        <v>360</v>
      </c>
      <c r="B63" s="166">
        <v>27443</v>
      </c>
      <c r="C63" s="169">
        <v>24882736.260000002</v>
      </c>
      <c r="D63" s="169"/>
      <c r="E63" s="298">
        <v>9430</v>
      </c>
      <c r="F63" s="169">
        <v>2304</v>
      </c>
      <c r="G63" s="169">
        <v>93572642.200000003</v>
      </c>
      <c r="H63" s="169">
        <v>11734</v>
      </c>
      <c r="I63" s="299"/>
      <c r="J63" s="248">
        <v>6161</v>
      </c>
      <c r="K63" s="246">
        <v>5054</v>
      </c>
      <c r="L63" s="275">
        <v>519</v>
      </c>
    </row>
    <row r="64" spans="1:12" ht="13.15" customHeight="1">
      <c r="A64" s="196" t="s">
        <v>364</v>
      </c>
      <c r="B64" s="166">
        <v>18343</v>
      </c>
      <c r="C64" s="169">
        <v>16746060.85</v>
      </c>
      <c r="D64" s="169"/>
      <c r="E64" s="298">
        <v>7202</v>
      </c>
      <c r="F64" s="169">
        <v>846</v>
      </c>
      <c r="G64" s="169">
        <v>60000620.299999997</v>
      </c>
      <c r="H64" s="169">
        <v>8048</v>
      </c>
      <c r="I64" s="299"/>
      <c r="J64" s="248">
        <v>4297</v>
      </c>
      <c r="K64" s="246">
        <v>3471</v>
      </c>
      <c r="L64" s="275">
        <v>280</v>
      </c>
    </row>
    <row r="65" spans="1:13" ht="21" customHeight="1">
      <c r="A65" s="196" t="s">
        <v>368</v>
      </c>
      <c r="B65" s="166">
        <v>12806</v>
      </c>
      <c r="C65" s="169">
        <v>11443890.640000001</v>
      </c>
      <c r="D65" s="169"/>
      <c r="E65" s="298">
        <v>4319</v>
      </c>
      <c r="F65" s="169">
        <v>1027</v>
      </c>
      <c r="G65" s="169">
        <v>58534625.799999997</v>
      </c>
      <c r="H65" s="169">
        <v>5346</v>
      </c>
      <c r="I65" s="299"/>
      <c r="J65" s="248">
        <v>3054</v>
      </c>
      <c r="K65" s="246">
        <v>2142</v>
      </c>
      <c r="L65" s="275">
        <v>150</v>
      </c>
    </row>
    <row r="66" spans="1:13" ht="13.15" customHeight="1">
      <c r="A66" s="196" t="s">
        <v>372</v>
      </c>
      <c r="B66" s="166">
        <v>18126</v>
      </c>
      <c r="C66" s="169">
        <v>16509553.92</v>
      </c>
      <c r="D66" s="169"/>
      <c r="E66" s="298">
        <v>7458</v>
      </c>
      <c r="F66" s="169">
        <v>203</v>
      </c>
      <c r="G66" s="169">
        <v>40832924.100000001</v>
      </c>
      <c r="H66" s="169">
        <v>7661</v>
      </c>
      <c r="I66" s="299"/>
      <c r="J66" s="248">
        <v>3997</v>
      </c>
      <c r="K66" s="246">
        <v>3434</v>
      </c>
      <c r="L66" s="275">
        <v>230</v>
      </c>
    </row>
    <row r="67" spans="1:13" ht="13.15" customHeight="1">
      <c r="A67" s="196" t="s">
        <v>376</v>
      </c>
      <c r="B67" s="166">
        <v>446566</v>
      </c>
      <c r="C67" s="169">
        <v>406779769.85000002</v>
      </c>
      <c r="D67" s="169"/>
      <c r="E67" s="298">
        <v>118497</v>
      </c>
      <c r="F67" s="169">
        <v>64848</v>
      </c>
      <c r="G67" s="169">
        <v>2470104691.1399999</v>
      </c>
      <c r="H67" s="169">
        <v>183345</v>
      </c>
      <c r="I67" s="299"/>
      <c r="J67" s="248">
        <v>89179</v>
      </c>
      <c r="K67" s="246">
        <v>88316</v>
      </c>
      <c r="L67" s="275">
        <v>5850</v>
      </c>
    </row>
    <row r="68" spans="1:13" ht="13.15" customHeight="1">
      <c r="A68" s="196" t="s">
        <v>380</v>
      </c>
      <c r="B68" s="166">
        <v>36800</v>
      </c>
      <c r="C68" s="169">
        <v>33387058.190000001</v>
      </c>
      <c r="D68" s="169"/>
      <c r="E68" s="298">
        <v>14152</v>
      </c>
      <c r="F68" s="169">
        <v>1929</v>
      </c>
      <c r="G68" s="169">
        <v>123720038.5</v>
      </c>
      <c r="H68" s="169">
        <v>16081</v>
      </c>
      <c r="I68" s="299"/>
      <c r="J68" s="248">
        <v>8644</v>
      </c>
      <c r="K68" s="246">
        <v>6933</v>
      </c>
      <c r="L68" s="275">
        <v>504</v>
      </c>
    </row>
    <row r="69" spans="1:13" ht="13.15" customHeight="1">
      <c r="A69" s="196" t="s">
        <v>384</v>
      </c>
      <c r="B69" s="166">
        <v>10267</v>
      </c>
      <c r="C69" s="169">
        <v>9302261.5600000005</v>
      </c>
      <c r="D69" s="169"/>
      <c r="E69" s="298">
        <v>4184</v>
      </c>
      <c r="F69" s="169">
        <v>260</v>
      </c>
      <c r="G69" s="169">
        <v>25501031</v>
      </c>
      <c r="H69" s="169">
        <v>4444</v>
      </c>
      <c r="I69" s="299"/>
      <c r="J69" s="248">
        <v>2648</v>
      </c>
      <c r="K69" s="246">
        <v>1663</v>
      </c>
      <c r="L69" s="275">
        <v>133</v>
      </c>
    </row>
    <row r="70" spans="1:13" ht="21" customHeight="1">
      <c r="A70" s="196" t="s">
        <v>388</v>
      </c>
      <c r="B70" s="166">
        <v>13562</v>
      </c>
      <c r="C70" s="169">
        <v>12282923.439999999</v>
      </c>
      <c r="D70" s="169"/>
      <c r="E70" s="298">
        <v>5137</v>
      </c>
      <c r="F70" s="169">
        <v>633</v>
      </c>
      <c r="G70" s="169">
        <v>40187564</v>
      </c>
      <c r="H70" s="169">
        <v>5770</v>
      </c>
      <c r="I70" s="299"/>
      <c r="J70" s="248">
        <v>2989</v>
      </c>
      <c r="K70" s="246">
        <v>2644</v>
      </c>
      <c r="L70" s="275">
        <v>137</v>
      </c>
    </row>
    <row r="71" spans="1:13" ht="13.15" customHeight="1">
      <c r="A71" s="196" t="s">
        <v>390</v>
      </c>
      <c r="B71" s="166">
        <v>9708</v>
      </c>
      <c r="C71" s="169">
        <v>8724192.9499999993</v>
      </c>
      <c r="D71" s="169"/>
      <c r="E71" s="298">
        <v>3571</v>
      </c>
      <c r="F71" s="169">
        <v>500</v>
      </c>
      <c r="G71" s="169">
        <v>31657053.600000001</v>
      </c>
      <c r="H71" s="169">
        <v>4071</v>
      </c>
      <c r="I71" s="299"/>
      <c r="J71" s="248">
        <v>2058</v>
      </c>
      <c r="K71" s="246">
        <v>1898</v>
      </c>
      <c r="L71" s="275">
        <v>115</v>
      </c>
    </row>
    <row r="72" spans="1:13" ht="13.15" customHeight="1">
      <c r="A72" s="196" t="s">
        <v>393</v>
      </c>
      <c r="B72" s="166">
        <v>31557</v>
      </c>
      <c r="C72" s="169">
        <v>28585126.66</v>
      </c>
      <c r="D72" s="169"/>
      <c r="E72" s="298">
        <v>12656</v>
      </c>
      <c r="F72" s="169">
        <v>1090</v>
      </c>
      <c r="G72" s="169">
        <v>81252600.5</v>
      </c>
      <c r="H72" s="169">
        <v>13746</v>
      </c>
      <c r="I72" s="299"/>
      <c r="J72" s="248">
        <v>8254</v>
      </c>
      <c r="K72" s="246">
        <v>5021</v>
      </c>
      <c r="L72" s="275">
        <v>471</v>
      </c>
    </row>
    <row r="73" spans="1:13" ht="13.15" customHeight="1">
      <c r="A73" s="197" t="s">
        <v>396</v>
      </c>
      <c r="B73" s="169">
        <v>11457</v>
      </c>
      <c r="C73" s="169">
        <v>10308751.02</v>
      </c>
      <c r="D73" s="169"/>
      <c r="E73" s="298">
        <v>4319</v>
      </c>
      <c r="F73" s="169">
        <v>602</v>
      </c>
      <c r="G73" s="248">
        <v>38088369.299999997</v>
      </c>
      <c r="H73" s="169">
        <v>4921</v>
      </c>
      <c r="I73" s="299"/>
      <c r="J73" s="248">
        <v>2713</v>
      </c>
      <c r="K73" s="248">
        <v>2085</v>
      </c>
      <c r="L73" s="277">
        <v>123</v>
      </c>
    </row>
    <row r="74" spans="1:13" ht="13.15" customHeight="1">
      <c r="A74" s="197" t="s">
        <v>399</v>
      </c>
      <c r="B74" s="169">
        <v>79172</v>
      </c>
      <c r="C74" s="169">
        <v>71489016.370000005</v>
      </c>
      <c r="D74" s="169"/>
      <c r="E74" s="298">
        <v>33522</v>
      </c>
      <c r="F74" s="169">
        <v>4395</v>
      </c>
      <c r="G74" s="169">
        <v>239978301.22</v>
      </c>
      <c r="H74" s="169">
        <v>37917</v>
      </c>
      <c r="I74" s="299"/>
      <c r="J74" s="248">
        <v>22432</v>
      </c>
      <c r="K74" s="248">
        <v>14242</v>
      </c>
      <c r="L74" s="277">
        <v>1243</v>
      </c>
      <c r="M74" s="280"/>
    </row>
    <row r="75" spans="1:13" ht="21" customHeight="1">
      <c r="A75" s="196" t="s">
        <v>401</v>
      </c>
      <c r="B75" s="166">
        <v>16614</v>
      </c>
      <c r="C75" s="297">
        <v>14974507.890000001</v>
      </c>
      <c r="D75" s="297"/>
      <c r="E75" s="298">
        <v>6419</v>
      </c>
      <c r="F75" s="169">
        <v>776</v>
      </c>
      <c r="G75" s="297">
        <v>49300472.700000003</v>
      </c>
      <c r="H75" s="169">
        <v>7195</v>
      </c>
      <c r="I75" s="299"/>
      <c r="J75" s="248">
        <v>3919</v>
      </c>
      <c r="K75" s="246">
        <v>3083</v>
      </c>
      <c r="L75" s="275">
        <v>193</v>
      </c>
    </row>
    <row r="76" spans="1:13" ht="13.15" customHeight="1">
      <c r="A76" s="196" t="s">
        <v>404</v>
      </c>
      <c r="B76" s="166">
        <v>24413</v>
      </c>
      <c r="C76" s="169">
        <v>22114297.93</v>
      </c>
      <c r="D76" s="169"/>
      <c r="E76" s="298">
        <v>8510</v>
      </c>
      <c r="F76" s="169">
        <v>1791</v>
      </c>
      <c r="G76" s="169">
        <v>88885308.599999994</v>
      </c>
      <c r="H76" s="169">
        <v>10301</v>
      </c>
      <c r="I76" s="299"/>
      <c r="J76" s="248">
        <v>4861</v>
      </c>
      <c r="K76" s="246">
        <v>5104</v>
      </c>
      <c r="L76" s="275">
        <v>336</v>
      </c>
    </row>
    <row r="77" spans="1:13" ht="13.15" customHeight="1">
      <c r="A77" s="196" t="s">
        <v>406</v>
      </c>
      <c r="B77" s="166">
        <v>12655</v>
      </c>
      <c r="C77" s="169">
        <v>11348404.85</v>
      </c>
      <c r="D77" s="169"/>
      <c r="E77" s="298">
        <v>5045</v>
      </c>
      <c r="F77" s="169">
        <v>600</v>
      </c>
      <c r="G77" s="169">
        <v>42837500.299999997</v>
      </c>
      <c r="H77" s="169">
        <v>5645</v>
      </c>
      <c r="I77" s="299"/>
      <c r="J77" s="248">
        <v>3570</v>
      </c>
      <c r="K77" s="246">
        <v>1925</v>
      </c>
      <c r="L77" s="275">
        <v>150</v>
      </c>
    </row>
    <row r="78" spans="1:13" ht="13.15" customHeight="1">
      <c r="A78" s="196" t="s">
        <v>409</v>
      </c>
      <c r="B78" s="166">
        <v>14214</v>
      </c>
      <c r="C78" s="169">
        <v>12678694.76</v>
      </c>
      <c r="D78" s="169"/>
      <c r="E78" s="298">
        <v>4839</v>
      </c>
      <c r="F78" s="169">
        <v>880</v>
      </c>
      <c r="G78" s="169">
        <v>46321041.899999999</v>
      </c>
      <c r="H78" s="169">
        <v>5719</v>
      </c>
      <c r="I78" s="299"/>
      <c r="J78" s="248">
        <v>3019</v>
      </c>
      <c r="K78" s="246">
        <v>2513</v>
      </c>
      <c r="L78" s="275">
        <v>187</v>
      </c>
    </row>
    <row r="79" spans="1:13" ht="13.15" customHeight="1">
      <c r="A79" s="196" t="s">
        <v>412</v>
      </c>
      <c r="B79" s="166">
        <v>13050</v>
      </c>
      <c r="C79" s="169">
        <v>11881729</v>
      </c>
      <c r="D79" s="169"/>
      <c r="E79" s="298">
        <v>5338</v>
      </c>
      <c r="F79" s="169">
        <v>381</v>
      </c>
      <c r="G79" s="169">
        <v>34970677.700000003</v>
      </c>
      <c r="H79" s="169">
        <v>5719</v>
      </c>
      <c r="I79" s="299"/>
      <c r="J79" s="248">
        <v>3578</v>
      </c>
      <c r="K79" s="246">
        <v>1982</v>
      </c>
      <c r="L79" s="275">
        <v>159</v>
      </c>
    </row>
    <row r="80" spans="1:13" ht="21" customHeight="1">
      <c r="A80" s="196" t="s">
        <v>415</v>
      </c>
      <c r="B80" s="166">
        <v>39121</v>
      </c>
      <c r="C80" s="169">
        <v>35389574.530000001</v>
      </c>
      <c r="D80" s="169"/>
      <c r="E80" s="298">
        <v>14568</v>
      </c>
      <c r="F80" s="169">
        <v>2312</v>
      </c>
      <c r="G80" s="169">
        <v>130874234.59999999</v>
      </c>
      <c r="H80" s="169">
        <v>16880</v>
      </c>
      <c r="I80" s="299"/>
      <c r="J80" s="248">
        <v>9208</v>
      </c>
      <c r="K80" s="246">
        <v>7159</v>
      </c>
      <c r="L80" s="275">
        <v>513</v>
      </c>
    </row>
    <row r="81" spans="1:13" ht="13.15" customHeight="1">
      <c r="A81" s="196" t="s">
        <v>418</v>
      </c>
      <c r="B81" s="166">
        <v>24054</v>
      </c>
      <c r="C81" s="169">
        <v>21860436.66</v>
      </c>
      <c r="D81" s="169"/>
      <c r="E81" s="298">
        <v>10047</v>
      </c>
      <c r="F81" s="169">
        <v>654</v>
      </c>
      <c r="G81" s="169">
        <v>60042890.600000001</v>
      </c>
      <c r="H81" s="169">
        <v>10701</v>
      </c>
      <c r="I81" s="299"/>
      <c r="J81" s="248">
        <v>6063</v>
      </c>
      <c r="K81" s="246">
        <v>4413</v>
      </c>
      <c r="L81" s="275">
        <v>225</v>
      </c>
    </row>
    <row r="82" spans="1:13" ht="13.15" customHeight="1">
      <c r="A82" s="196" t="s">
        <v>421</v>
      </c>
      <c r="B82" s="166">
        <v>16124</v>
      </c>
      <c r="C82" s="169">
        <v>14629187.15</v>
      </c>
      <c r="D82" s="169"/>
      <c r="E82" s="298">
        <v>6673</v>
      </c>
      <c r="F82" s="169">
        <v>299</v>
      </c>
      <c r="G82" s="169">
        <v>37296315.299999997</v>
      </c>
      <c r="H82" s="169">
        <v>6972</v>
      </c>
      <c r="I82" s="299"/>
      <c r="J82" s="248">
        <v>3654</v>
      </c>
      <c r="K82" s="246">
        <v>3138</v>
      </c>
      <c r="L82" s="275">
        <v>180</v>
      </c>
    </row>
    <row r="83" spans="1:13" ht="13.15" customHeight="1">
      <c r="A83" s="196" t="s">
        <v>424</v>
      </c>
      <c r="B83" s="166">
        <v>60443</v>
      </c>
      <c r="C83" s="169">
        <v>54953643.810000002</v>
      </c>
      <c r="D83" s="169"/>
      <c r="E83" s="298">
        <v>24648</v>
      </c>
      <c r="F83" s="169">
        <v>1670</v>
      </c>
      <c r="G83" s="169">
        <v>156162606</v>
      </c>
      <c r="H83" s="169">
        <v>26318</v>
      </c>
      <c r="I83" s="299"/>
      <c r="J83" s="248">
        <v>14646</v>
      </c>
      <c r="K83" s="246">
        <v>10836</v>
      </c>
      <c r="L83" s="275">
        <v>836</v>
      </c>
    </row>
    <row r="84" spans="1:13" ht="13.15" customHeight="1">
      <c r="A84" s="196" t="s">
        <v>427</v>
      </c>
      <c r="B84" s="166">
        <v>32384</v>
      </c>
      <c r="C84" s="169">
        <v>29375841.809999999</v>
      </c>
      <c r="D84" s="169"/>
      <c r="E84" s="298">
        <v>10898</v>
      </c>
      <c r="F84" s="169">
        <v>2448</v>
      </c>
      <c r="G84" s="169">
        <v>112900652.40000001</v>
      </c>
      <c r="H84" s="169">
        <v>13346</v>
      </c>
      <c r="I84" s="299"/>
      <c r="J84" s="248">
        <v>6198</v>
      </c>
      <c r="K84" s="246">
        <v>6788</v>
      </c>
      <c r="L84" s="275">
        <v>360</v>
      </c>
    </row>
    <row r="85" spans="1:13" ht="18">
      <c r="A85" s="208" t="s">
        <v>613</v>
      </c>
      <c r="B85" s="279"/>
      <c r="C85" s="279"/>
      <c r="D85" s="279"/>
      <c r="E85" s="279"/>
      <c r="F85" s="279"/>
      <c r="G85" s="279"/>
      <c r="H85" s="279"/>
      <c r="I85" s="279"/>
      <c r="J85" s="277"/>
      <c r="K85" s="277"/>
      <c r="L85" s="277"/>
      <c r="M85" s="280"/>
    </row>
    <row r="86" spans="1:13">
      <c r="A86" s="300" t="str">
        <f>A44</f>
        <v>Exemptions, Standard and Itemized Deductions, and Number of Returns by Filing Status/Locality</v>
      </c>
      <c r="B86" s="279"/>
      <c r="C86" s="279"/>
      <c r="D86" s="279"/>
      <c r="E86" s="279"/>
      <c r="F86" s="279"/>
      <c r="G86" s="279"/>
      <c r="H86" s="279"/>
      <c r="I86" s="279"/>
      <c r="J86" s="277"/>
      <c r="K86" s="277"/>
      <c r="L86" s="277"/>
    </row>
    <row r="87" spans="1:13">
      <c r="A87" s="278" t="str">
        <f>A45</f>
        <v>Taxable Year 2019</v>
      </c>
      <c r="B87" s="279"/>
      <c r="C87" s="279"/>
      <c r="D87" s="279"/>
      <c r="E87" s="279"/>
      <c r="F87" s="279"/>
      <c r="G87" s="279"/>
      <c r="H87" s="279"/>
      <c r="I87" s="279"/>
      <c r="J87" s="302"/>
      <c r="K87" s="302"/>
      <c r="L87" s="302"/>
    </row>
    <row r="88" spans="1:13" ht="13.15" customHeight="1" thickBot="1">
      <c r="A88" s="217"/>
      <c r="B88" s="301">
        <f t="shared" ref="B88:L88" si="1">SUM(B38:B74)</f>
        <v>4379860</v>
      </c>
      <c r="C88" s="301">
        <f t="shared" si="1"/>
        <v>3968235183.9499989</v>
      </c>
      <c r="D88" s="301">
        <f t="shared" si="1"/>
        <v>0</v>
      </c>
      <c r="E88" s="301">
        <f t="shared" si="1"/>
        <v>1526023</v>
      </c>
      <c r="F88" s="301">
        <f t="shared" si="1"/>
        <v>410581</v>
      </c>
      <c r="G88" s="301">
        <f t="shared" si="1"/>
        <v>19203095397.939999</v>
      </c>
      <c r="H88" s="301">
        <f t="shared" si="1"/>
        <v>1936604</v>
      </c>
      <c r="I88" s="301">
        <f t="shared" si="1"/>
        <v>0</v>
      </c>
      <c r="J88" s="302">
        <f t="shared" si="1"/>
        <v>1076760</v>
      </c>
      <c r="K88" s="302">
        <f t="shared" si="1"/>
        <v>796615</v>
      </c>
      <c r="L88" s="302">
        <f t="shared" si="1"/>
        <v>63229</v>
      </c>
    </row>
    <row r="89" spans="1:13">
      <c r="A89" s="281"/>
      <c r="B89" s="1902" t="s">
        <v>322</v>
      </c>
      <c r="C89" s="1902"/>
      <c r="D89" s="924"/>
      <c r="E89" s="1903" t="s">
        <v>323</v>
      </c>
      <c r="F89" s="1904"/>
      <c r="G89" s="1904"/>
      <c r="H89" s="1904"/>
      <c r="I89" s="283"/>
      <c r="J89" s="284"/>
      <c r="K89" s="285" t="s">
        <v>610</v>
      </c>
      <c r="L89" s="286"/>
      <c r="M89" s="280"/>
    </row>
    <row r="90" spans="1:13" ht="13.15" customHeight="1">
      <c r="A90" s="303"/>
      <c r="B90" s="304"/>
      <c r="C90" s="304"/>
      <c r="D90" s="304"/>
      <c r="E90" s="305"/>
      <c r="F90" s="304"/>
      <c r="G90" s="304"/>
      <c r="H90" s="306" t="s">
        <v>16</v>
      </c>
      <c r="I90" s="307"/>
      <c r="J90" s="308"/>
      <c r="K90" s="294" t="s">
        <v>778</v>
      </c>
      <c r="L90" s="294" t="s">
        <v>778</v>
      </c>
    </row>
    <row r="91" spans="1:13" ht="13.15" customHeight="1">
      <c r="A91" s="527" t="s">
        <v>21</v>
      </c>
      <c r="B91" s="926" t="s">
        <v>611</v>
      </c>
      <c r="C91" s="926" t="s">
        <v>19</v>
      </c>
      <c r="D91" s="926"/>
      <c r="E91" s="295" t="s">
        <v>321</v>
      </c>
      <c r="F91" s="926" t="s">
        <v>320</v>
      </c>
      <c r="G91" s="926" t="s">
        <v>19</v>
      </c>
      <c r="H91" s="926" t="s">
        <v>318</v>
      </c>
      <c r="I91" s="296"/>
      <c r="J91" s="927" t="s">
        <v>612</v>
      </c>
      <c r="K91" s="927" t="s">
        <v>317</v>
      </c>
      <c r="L91" s="928" t="s">
        <v>777</v>
      </c>
    </row>
    <row r="92" spans="1:13" ht="21" customHeight="1">
      <c r="A92" s="196" t="s">
        <v>430</v>
      </c>
      <c r="B92" s="166">
        <v>17040</v>
      </c>
      <c r="C92" s="169">
        <v>15431108.710000001</v>
      </c>
      <c r="D92" s="169"/>
      <c r="E92" s="298">
        <v>7104</v>
      </c>
      <c r="F92" s="169">
        <v>608</v>
      </c>
      <c r="G92" s="169">
        <v>44837635.600000001</v>
      </c>
      <c r="H92" s="169">
        <v>7712</v>
      </c>
      <c r="I92" s="299"/>
      <c r="J92" s="248">
        <v>4841</v>
      </c>
      <c r="K92" s="246">
        <v>2617</v>
      </c>
      <c r="L92" s="275">
        <v>254</v>
      </c>
    </row>
    <row r="93" spans="1:13" ht="13.15" customHeight="1">
      <c r="A93" s="196" t="s">
        <v>432</v>
      </c>
      <c r="B93" s="166">
        <v>32484</v>
      </c>
      <c r="C93" s="169">
        <v>29455397</v>
      </c>
      <c r="D93" s="169"/>
      <c r="E93" s="298">
        <v>12317</v>
      </c>
      <c r="F93" s="169">
        <v>1909</v>
      </c>
      <c r="G93" s="169">
        <v>109916815.09999999</v>
      </c>
      <c r="H93" s="169">
        <v>14226</v>
      </c>
      <c r="I93" s="299"/>
      <c r="J93" s="248">
        <v>7938</v>
      </c>
      <c r="K93" s="246">
        <v>5681</v>
      </c>
      <c r="L93" s="275">
        <v>607</v>
      </c>
    </row>
    <row r="94" spans="1:13" ht="13.15" customHeight="1">
      <c r="A94" s="196" t="s">
        <v>435</v>
      </c>
      <c r="B94" s="166">
        <v>481835</v>
      </c>
      <c r="C94" s="169">
        <v>439444268.25</v>
      </c>
      <c r="D94" s="169"/>
      <c r="E94" s="298">
        <v>154180</v>
      </c>
      <c r="F94" s="169">
        <v>56458</v>
      </c>
      <c r="G94" s="169">
        <v>2096839348.5999999</v>
      </c>
      <c r="H94" s="169">
        <v>210638</v>
      </c>
      <c r="I94" s="299"/>
      <c r="J94" s="248">
        <v>120713</v>
      </c>
      <c r="K94" s="246">
        <v>82350</v>
      </c>
      <c r="L94" s="275">
        <v>7575</v>
      </c>
    </row>
    <row r="95" spans="1:13" ht="13.15" customHeight="1">
      <c r="A95" s="196" t="s">
        <v>437</v>
      </c>
      <c r="B95" s="166">
        <v>31092</v>
      </c>
      <c r="C95" s="169">
        <v>28197333.620000001</v>
      </c>
      <c r="D95" s="169"/>
      <c r="E95" s="298">
        <v>13287</v>
      </c>
      <c r="F95" s="169">
        <v>749</v>
      </c>
      <c r="G95" s="169">
        <v>73403463.299999997</v>
      </c>
      <c r="H95" s="169">
        <v>14036</v>
      </c>
      <c r="I95" s="299"/>
      <c r="J95" s="248">
        <v>7878</v>
      </c>
      <c r="K95" s="246">
        <v>5842</v>
      </c>
      <c r="L95" s="275">
        <v>316</v>
      </c>
    </row>
    <row r="96" spans="1:13" ht="13.15" customHeight="1">
      <c r="A96" s="196" t="s">
        <v>440</v>
      </c>
      <c r="B96" s="166">
        <v>8202</v>
      </c>
      <c r="C96" s="169">
        <v>7396485.0199999996</v>
      </c>
      <c r="D96" s="169"/>
      <c r="E96" s="298">
        <v>2838</v>
      </c>
      <c r="F96" s="169">
        <v>706</v>
      </c>
      <c r="G96" s="169">
        <v>58614472.5</v>
      </c>
      <c r="H96" s="169">
        <v>3544</v>
      </c>
      <c r="I96" s="299"/>
      <c r="J96" s="248">
        <v>1856</v>
      </c>
      <c r="K96" s="246">
        <v>1573</v>
      </c>
      <c r="L96" s="275">
        <v>115</v>
      </c>
    </row>
    <row r="97" spans="1:13" ht="21" customHeight="1">
      <c r="A97" s="196" t="s">
        <v>370</v>
      </c>
      <c r="B97" s="246">
        <v>14308</v>
      </c>
      <c r="C97" s="248">
        <v>13027068.279999999</v>
      </c>
      <c r="D97" s="248"/>
      <c r="E97" s="310">
        <v>5039</v>
      </c>
      <c r="F97" s="248">
        <v>1191</v>
      </c>
      <c r="G97" s="248">
        <v>106752586.31</v>
      </c>
      <c r="H97" s="248">
        <v>6230</v>
      </c>
      <c r="I97" s="311"/>
      <c r="J97" s="248">
        <v>3340</v>
      </c>
      <c r="K97" s="246">
        <v>2517</v>
      </c>
      <c r="L97" s="275">
        <v>373</v>
      </c>
    </row>
    <row r="98" spans="1:13" ht="13.15" customHeight="1">
      <c r="A98" s="196" t="s">
        <v>374</v>
      </c>
      <c r="B98" s="166">
        <v>106482</v>
      </c>
      <c r="C98" s="169">
        <v>96222579.209999993</v>
      </c>
      <c r="D98" s="169"/>
      <c r="E98" s="298">
        <v>40645</v>
      </c>
      <c r="F98" s="169">
        <v>5242</v>
      </c>
      <c r="G98" s="169">
        <v>316058154.80000001</v>
      </c>
      <c r="H98" s="169">
        <v>45887</v>
      </c>
      <c r="I98" s="299"/>
      <c r="J98" s="248">
        <v>24604</v>
      </c>
      <c r="K98" s="246">
        <v>20099</v>
      </c>
      <c r="L98" s="275">
        <v>1184</v>
      </c>
    </row>
    <row r="99" spans="1:13" ht="13.15" customHeight="1">
      <c r="A99" s="196" t="s">
        <v>447</v>
      </c>
      <c r="B99" s="166">
        <v>22328</v>
      </c>
      <c r="C99" s="169">
        <v>20133068.120000001</v>
      </c>
      <c r="D99" s="169"/>
      <c r="E99" s="298">
        <v>8799</v>
      </c>
      <c r="F99" s="169">
        <v>861</v>
      </c>
      <c r="G99" s="169">
        <v>62569535.100000001</v>
      </c>
      <c r="H99" s="169">
        <v>9660</v>
      </c>
      <c r="I99" s="299"/>
      <c r="J99" s="248">
        <v>5162</v>
      </c>
      <c r="K99" s="246">
        <v>4260</v>
      </c>
      <c r="L99" s="275">
        <v>238</v>
      </c>
    </row>
    <row r="100" spans="1:13" ht="13.15" customHeight="1">
      <c r="A100" s="196" t="s">
        <v>450</v>
      </c>
      <c r="B100" s="166">
        <v>87419</v>
      </c>
      <c r="C100" s="169">
        <v>79364448.519999996</v>
      </c>
      <c r="D100" s="169"/>
      <c r="E100" s="298">
        <v>33934</v>
      </c>
      <c r="F100" s="169">
        <v>3567</v>
      </c>
      <c r="G100" s="169">
        <v>249174126.30000001</v>
      </c>
      <c r="H100" s="169">
        <v>37501</v>
      </c>
      <c r="I100" s="299"/>
      <c r="J100" s="248">
        <v>20007</v>
      </c>
      <c r="K100" s="246">
        <v>16685</v>
      </c>
      <c r="L100" s="275">
        <v>809</v>
      </c>
    </row>
    <row r="101" spans="1:13" ht="13.15" customHeight="1">
      <c r="A101" s="196" t="s">
        <v>453</v>
      </c>
      <c r="B101" s="166">
        <v>22146</v>
      </c>
      <c r="C101" s="169">
        <v>20206128.719999999</v>
      </c>
      <c r="D101" s="169"/>
      <c r="E101" s="298">
        <v>9155</v>
      </c>
      <c r="F101" s="169">
        <v>271</v>
      </c>
      <c r="G101" s="169">
        <v>48632888.299999997</v>
      </c>
      <c r="H101" s="169">
        <v>9426</v>
      </c>
      <c r="I101" s="299"/>
      <c r="J101" s="248">
        <v>4558</v>
      </c>
      <c r="K101" s="246">
        <v>4662</v>
      </c>
      <c r="L101" s="275">
        <v>206</v>
      </c>
    </row>
    <row r="102" spans="1:13" ht="21" customHeight="1">
      <c r="A102" s="196" t="s">
        <v>329</v>
      </c>
      <c r="B102" s="166">
        <v>20063</v>
      </c>
      <c r="C102" s="169">
        <v>18179212.969999999</v>
      </c>
      <c r="D102" s="169"/>
      <c r="E102" s="298">
        <v>8374</v>
      </c>
      <c r="F102" s="169">
        <v>274</v>
      </c>
      <c r="G102" s="169">
        <v>44091316.299999997</v>
      </c>
      <c r="H102" s="169">
        <v>8648</v>
      </c>
      <c r="I102" s="299"/>
      <c r="J102" s="248">
        <v>4255</v>
      </c>
      <c r="K102" s="246">
        <v>3971</v>
      </c>
      <c r="L102" s="275">
        <v>422</v>
      </c>
    </row>
    <row r="103" spans="1:13" ht="13.15" customHeight="1">
      <c r="A103" s="196" t="s">
        <v>333</v>
      </c>
      <c r="B103" s="166">
        <v>46029</v>
      </c>
      <c r="C103" s="169">
        <v>41718018.079999998</v>
      </c>
      <c r="D103" s="169"/>
      <c r="E103" s="298">
        <v>18473</v>
      </c>
      <c r="F103" s="169">
        <v>1835</v>
      </c>
      <c r="G103" s="248">
        <v>124578350.8</v>
      </c>
      <c r="H103" s="169">
        <v>20308</v>
      </c>
      <c r="I103" s="299"/>
      <c r="J103" s="248">
        <v>11589</v>
      </c>
      <c r="K103" s="246">
        <v>8228</v>
      </c>
      <c r="L103" s="275">
        <v>491</v>
      </c>
    </row>
    <row r="104" spans="1:13" ht="13.15" customHeight="1">
      <c r="A104" s="196" t="s">
        <v>337</v>
      </c>
      <c r="B104" s="166">
        <v>27483</v>
      </c>
      <c r="C104" s="169">
        <v>25030197.52</v>
      </c>
      <c r="D104" s="169"/>
      <c r="E104" s="298">
        <v>11675</v>
      </c>
      <c r="F104" s="169">
        <v>455</v>
      </c>
      <c r="G104" s="169">
        <v>63422594.799999997</v>
      </c>
      <c r="H104" s="169">
        <v>12130</v>
      </c>
      <c r="I104" s="299"/>
      <c r="J104" s="248">
        <v>6643</v>
      </c>
      <c r="K104" s="246">
        <v>5184</v>
      </c>
      <c r="L104" s="275">
        <v>303</v>
      </c>
    </row>
    <row r="105" spans="1:13" ht="13.15" customHeight="1">
      <c r="A105" s="196" t="s">
        <v>341</v>
      </c>
      <c r="B105" s="166">
        <v>17838</v>
      </c>
      <c r="C105" s="169">
        <v>16223445.07</v>
      </c>
      <c r="D105" s="169"/>
      <c r="E105" s="298">
        <v>6959</v>
      </c>
      <c r="F105" s="169">
        <v>819</v>
      </c>
      <c r="G105" s="169">
        <v>48947702.700000003</v>
      </c>
      <c r="H105" s="169">
        <v>7778</v>
      </c>
      <c r="I105" s="299"/>
      <c r="J105" s="248">
        <v>4402</v>
      </c>
      <c r="K105" s="246">
        <v>3106</v>
      </c>
      <c r="L105" s="275">
        <v>270</v>
      </c>
    </row>
    <row r="106" spans="1:13" ht="13.15" customHeight="1">
      <c r="A106" s="196" t="s">
        <v>345</v>
      </c>
      <c r="B106" s="166">
        <v>139522</v>
      </c>
      <c r="C106" s="169">
        <v>126898537.5</v>
      </c>
      <c r="D106" s="169"/>
      <c r="E106" s="298">
        <v>48842</v>
      </c>
      <c r="F106" s="169">
        <v>11572</v>
      </c>
      <c r="G106" s="169">
        <v>509777032.89999998</v>
      </c>
      <c r="H106" s="169">
        <v>60414</v>
      </c>
      <c r="I106" s="299"/>
      <c r="J106" s="248">
        <v>33734</v>
      </c>
      <c r="K106" s="246">
        <v>24843</v>
      </c>
      <c r="L106" s="275">
        <v>1837</v>
      </c>
    </row>
    <row r="107" spans="1:13" ht="21" customHeight="1">
      <c r="A107" s="196" t="s">
        <v>349</v>
      </c>
      <c r="B107" s="166">
        <v>150485</v>
      </c>
      <c r="C107" s="169">
        <v>136528996.06</v>
      </c>
      <c r="D107" s="169"/>
      <c r="E107" s="298">
        <v>47765</v>
      </c>
      <c r="F107" s="169">
        <v>16200</v>
      </c>
      <c r="G107" s="169">
        <v>601920124.5</v>
      </c>
      <c r="H107" s="169">
        <v>63965</v>
      </c>
      <c r="I107" s="299"/>
      <c r="J107" s="248">
        <v>34164</v>
      </c>
      <c r="K107" s="246">
        <v>27424</v>
      </c>
      <c r="L107" s="275">
        <v>2377</v>
      </c>
    </row>
    <row r="108" spans="1:13" ht="13.15" customHeight="1">
      <c r="A108" s="196" t="s">
        <v>353</v>
      </c>
      <c r="B108" s="166">
        <v>7238</v>
      </c>
      <c r="C108" s="169">
        <v>6571908.6200000001</v>
      </c>
      <c r="D108" s="169"/>
      <c r="E108" s="298">
        <v>2897</v>
      </c>
      <c r="F108" s="169">
        <v>340</v>
      </c>
      <c r="G108" s="169">
        <v>20737973.600000001</v>
      </c>
      <c r="H108" s="169">
        <v>3237</v>
      </c>
      <c r="I108" s="299"/>
      <c r="J108" s="248">
        <v>1806</v>
      </c>
      <c r="K108" s="246">
        <v>1300</v>
      </c>
      <c r="L108" s="275">
        <v>131</v>
      </c>
    </row>
    <row r="109" spans="1:13" ht="13.15" customHeight="1">
      <c r="A109" s="196" t="s">
        <v>357</v>
      </c>
      <c r="B109" s="166">
        <v>8478</v>
      </c>
      <c r="C109" s="169">
        <v>7725520.0199999996</v>
      </c>
      <c r="D109" s="169"/>
      <c r="E109" s="298">
        <v>3501</v>
      </c>
      <c r="F109" s="169">
        <v>427</v>
      </c>
      <c r="G109" s="169">
        <v>23443626.899999999</v>
      </c>
      <c r="H109" s="169">
        <v>3928</v>
      </c>
      <c r="I109" s="299"/>
      <c r="J109" s="248">
        <v>2591</v>
      </c>
      <c r="K109" s="246">
        <v>1217</v>
      </c>
      <c r="L109" s="275">
        <v>120</v>
      </c>
    </row>
    <row r="110" spans="1:13" ht="13.15" customHeight="1">
      <c r="A110" s="197" t="s">
        <v>361</v>
      </c>
      <c r="B110" s="169">
        <v>36279</v>
      </c>
      <c r="C110" s="169">
        <v>32956716.710000001</v>
      </c>
      <c r="D110" s="169"/>
      <c r="E110" s="298">
        <v>14616</v>
      </c>
      <c r="F110" s="169">
        <v>668</v>
      </c>
      <c r="G110" s="169">
        <v>83300741.099999994</v>
      </c>
      <c r="H110" s="169">
        <v>15284</v>
      </c>
      <c r="I110" s="299"/>
      <c r="J110" s="248">
        <v>7676</v>
      </c>
      <c r="K110" s="248">
        <v>7222</v>
      </c>
      <c r="L110" s="277">
        <v>386</v>
      </c>
    </row>
    <row r="111" spans="1:13" ht="13.15" customHeight="1">
      <c r="A111" s="197" t="s">
        <v>365</v>
      </c>
      <c r="B111" s="169">
        <v>40374</v>
      </c>
      <c r="C111" s="169">
        <v>36702421.350000001</v>
      </c>
      <c r="D111" s="169"/>
      <c r="E111" s="298">
        <v>15885</v>
      </c>
      <c r="F111" s="169">
        <v>2345</v>
      </c>
      <c r="G111" s="169">
        <v>125006987.5</v>
      </c>
      <c r="H111" s="169">
        <v>18230</v>
      </c>
      <c r="I111" s="299"/>
      <c r="J111" s="248">
        <v>10557</v>
      </c>
      <c r="K111" s="248">
        <v>7103</v>
      </c>
      <c r="L111" s="277">
        <v>570</v>
      </c>
      <c r="M111" s="280"/>
    </row>
    <row r="112" spans="1:13" ht="21" customHeight="1">
      <c r="A112" s="172" t="s">
        <v>369</v>
      </c>
      <c r="B112" s="166">
        <v>57177</v>
      </c>
      <c r="C112" s="297">
        <v>51876222.119999997</v>
      </c>
      <c r="D112" s="297"/>
      <c r="E112" s="298">
        <v>23356</v>
      </c>
      <c r="F112" s="169">
        <v>1628</v>
      </c>
      <c r="G112" s="297">
        <v>157369762.5</v>
      </c>
      <c r="H112" s="169">
        <v>24984</v>
      </c>
      <c r="I112" s="299"/>
      <c r="J112" s="248">
        <v>12663</v>
      </c>
      <c r="K112" s="246">
        <v>11079</v>
      </c>
      <c r="L112" s="275">
        <v>1242</v>
      </c>
    </row>
    <row r="113" spans="1:14" ht="13.15" customHeight="1">
      <c r="A113" s="196" t="s">
        <v>373</v>
      </c>
      <c r="B113" s="166">
        <v>18620</v>
      </c>
      <c r="C113" s="169">
        <v>16770960.939999999</v>
      </c>
      <c r="D113" s="169"/>
      <c r="E113" s="298">
        <v>7044</v>
      </c>
      <c r="F113" s="169">
        <v>1043</v>
      </c>
      <c r="G113" s="169">
        <v>55684818.899999999</v>
      </c>
      <c r="H113" s="169">
        <v>8087</v>
      </c>
      <c r="I113" s="299"/>
      <c r="J113" s="248">
        <v>4808</v>
      </c>
      <c r="K113" s="246">
        <v>3021</v>
      </c>
      <c r="L113" s="275">
        <v>258</v>
      </c>
    </row>
    <row r="114" spans="1:14" ht="13.15" customHeight="1">
      <c r="A114" s="196" t="s">
        <v>377</v>
      </c>
      <c r="B114" s="166">
        <v>30169</v>
      </c>
      <c r="C114" s="169">
        <v>27475448.059999999</v>
      </c>
      <c r="D114" s="169"/>
      <c r="E114" s="298">
        <v>12350</v>
      </c>
      <c r="F114" s="248">
        <v>457</v>
      </c>
      <c r="G114" s="169">
        <v>66236761.409999996</v>
      </c>
      <c r="H114" s="169">
        <v>12807</v>
      </c>
      <c r="I114" s="299"/>
      <c r="J114" s="248">
        <v>6672</v>
      </c>
      <c r="K114" s="246">
        <v>5779</v>
      </c>
      <c r="L114" s="275">
        <v>356</v>
      </c>
    </row>
    <row r="115" spans="1:14" ht="13.15" customHeight="1">
      <c r="A115" s="196" t="s">
        <v>381</v>
      </c>
      <c r="B115" s="166">
        <v>27110</v>
      </c>
      <c r="C115" s="169">
        <v>24641321.289999999</v>
      </c>
      <c r="D115" s="169"/>
      <c r="E115" s="298">
        <v>11443</v>
      </c>
      <c r="F115" s="169">
        <v>549</v>
      </c>
      <c r="G115" s="169">
        <v>64923508.799999997</v>
      </c>
      <c r="H115" s="169">
        <v>11992</v>
      </c>
      <c r="I115" s="299"/>
      <c r="J115" s="248">
        <v>6526</v>
      </c>
      <c r="K115" s="246">
        <v>5125</v>
      </c>
      <c r="L115" s="275">
        <v>341</v>
      </c>
    </row>
    <row r="116" spans="1:14" ht="13.15" customHeight="1">
      <c r="A116" s="197" t="s">
        <v>385</v>
      </c>
      <c r="B116" s="169">
        <v>68761</v>
      </c>
      <c r="C116" s="169">
        <v>61784140.520000003</v>
      </c>
      <c r="D116" s="169"/>
      <c r="E116" s="298">
        <v>23562</v>
      </c>
      <c r="F116" s="169">
        <v>5345</v>
      </c>
      <c r="G116" s="169">
        <v>245322220.90000001</v>
      </c>
      <c r="H116" s="169">
        <v>28907</v>
      </c>
      <c r="I116" s="299"/>
      <c r="J116" s="248">
        <v>14370</v>
      </c>
      <c r="K116" s="246">
        <v>13437</v>
      </c>
      <c r="L116" s="277">
        <v>1100</v>
      </c>
    </row>
    <row r="117" spans="1:14" ht="10.75" customHeight="1">
      <c r="A117" s="197"/>
      <c r="B117" s="169"/>
      <c r="C117" s="929"/>
      <c r="D117" s="929"/>
      <c r="E117" s="313"/>
      <c r="F117" s="929"/>
      <c r="G117" s="929"/>
      <c r="H117" s="929"/>
      <c r="I117" s="314"/>
      <c r="J117" s="930"/>
      <c r="K117" s="248"/>
      <c r="L117" s="277"/>
      <c r="N117" s="316"/>
    </row>
    <row r="118" spans="1:14" ht="13.15" customHeight="1">
      <c r="A118" s="214" t="s">
        <v>22</v>
      </c>
      <c r="B118" s="317">
        <f>SUM(B92:B116)+SUM(B50:B84)+SUM(B8:B42)</f>
        <v>6151894</v>
      </c>
      <c r="C118" s="215">
        <f>SUM(C92:C116)+SUM(C50:C84)+SUM(C8:C42)</f>
        <v>5577402454.6199999</v>
      </c>
      <c r="D118" s="318"/>
      <c r="E118" s="319">
        <f t="shared" ref="E118:H118" si="2">SUM(E92:E116)+SUM(E50:E84)+SUM(E8:E42)</f>
        <v>2167048</v>
      </c>
      <c r="F118" s="317">
        <f t="shared" si="2"/>
        <v>537911</v>
      </c>
      <c r="G118" s="215">
        <f t="shared" si="2"/>
        <v>25364249647.560005</v>
      </c>
      <c r="H118" s="317">
        <f t="shared" si="2"/>
        <v>2704959</v>
      </c>
      <c r="I118" s="320"/>
      <c r="J118" s="321">
        <f t="shared" ref="J118:L118" si="3">SUM(J92:J116)+SUM(J50:J84)+SUM(J8:J42)</f>
        <v>1498829</v>
      </c>
      <c r="K118" s="321">
        <f t="shared" si="3"/>
        <v>1117881</v>
      </c>
      <c r="L118" s="321">
        <f t="shared" si="3"/>
        <v>88249</v>
      </c>
    </row>
    <row r="119" spans="1:14" ht="18">
      <c r="A119" s="208" t="s">
        <v>613</v>
      </c>
      <c r="B119" s="279"/>
      <c r="C119" s="279"/>
      <c r="D119" s="279"/>
      <c r="E119" s="279"/>
      <c r="F119" s="279"/>
      <c r="G119" s="279"/>
      <c r="H119" s="279"/>
      <c r="I119" s="279"/>
      <c r="J119" s="277"/>
      <c r="K119" s="277"/>
      <c r="L119" s="277"/>
      <c r="M119" s="280"/>
    </row>
    <row r="120" spans="1:14">
      <c r="A120" s="300" t="str">
        <f>A86</f>
        <v>Exemptions, Standard and Itemized Deductions, and Number of Returns by Filing Status/Locality</v>
      </c>
      <c r="B120" s="279"/>
      <c r="C120" s="279"/>
      <c r="D120" s="279"/>
      <c r="E120" s="279"/>
      <c r="F120" s="279"/>
      <c r="G120" s="279"/>
      <c r="H120" s="279"/>
      <c r="I120" s="279"/>
      <c r="J120" s="277"/>
      <c r="K120" s="277"/>
      <c r="L120" s="277"/>
    </row>
    <row r="121" spans="1:14">
      <c r="A121" s="278" t="str">
        <f>A87</f>
        <v>Taxable Year 2019</v>
      </c>
      <c r="B121" s="279"/>
      <c r="C121" s="279"/>
      <c r="D121" s="279"/>
      <c r="E121" s="279"/>
      <c r="F121" s="279"/>
      <c r="G121" s="279"/>
      <c r="H121" s="279"/>
      <c r="I121" s="279"/>
      <c r="J121" s="277"/>
      <c r="K121" s="277"/>
      <c r="L121" s="277"/>
    </row>
    <row r="122" spans="1:14" ht="13.15" customHeight="1" thickBot="1">
      <c r="A122" s="280"/>
      <c r="B122" s="301">
        <f t="shared" ref="B122:L122" si="4">SUM(B75:B111)</f>
        <v>5950057</v>
      </c>
      <c r="C122" s="301">
        <f t="shared" si="4"/>
        <v>5394854361.6900015</v>
      </c>
      <c r="D122" s="301">
        <f t="shared" si="4"/>
        <v>0</v>
      </c>
      <c r="E122" s="301">
        <f t="shared" si="4"/>
        <v>2089293</v>
      </c>
      <c r="F122" s="301">
        <f t="shared" si="4"/>
        <v>528889</v>
      </c>
      <c r="G122" s="301">
        <f t="shared" si="4"/>
        <v>24774712575.049988</v>
      </c>
      <c r="H122" s="301">
        <f t="shared" si="4"/>
        <v>2618182</v>
      </c>
      <c r="I122" s="301">
        <f t="shared" si="4"/>
        <v>0</v>
      </c>
      <c r="J122" s="302">
        <f t="shared" si="4"/>
        <v>1453790</v>
      </c>
      <c r="K122" s="302">
        <f t="shared" si="4"/>
        <v>1079440</v>
      </c>
      <c r="L122" s="302">
        <f t="shared" si="4"/>
        <v>84952</v>
      </c>
    </row>
    <row r="123" spans="1:14">
      <c r="A123" s="281"/>
      <c r="B123" s="1902" t="s">
        <v>322</v>
      </c>
      <c r="C123" s="1902"/>
      <c r="D123" s="924"/>
      <c r="E123" s="1903" t="s">
        <v>323</v>
      </c>
      <c r="F123" s="1904"/>
      <c r="G123" s="1904"/>
      <c r="H123" s="1904"/>
      <c r="I123" s="283"/>
      <c r="J123" s="284"/>
      <c r="K123" s="285" t="s">
        <v>610</v>
      </c>
      <c r="L123" s="286"/>
      <c r="M123" s="280"/>
    </row>
    <row r="124" spans="1:14" ht="13.15" customHeight="1">
      <c r="A124" s="303"/>
      <c r="B124" s="304"/>
      <c r="C124" s="304"/>
      <c r="D124" s="304"/>
      <c r="E124" s="305"/>
      <c r="F124" s="304"/>
      <c r="G124" s="304"/>
      <c r="H124" s="306" t="s">
        <v>16</v>
      </c>
      <c r="I124" s="307"/>
      <c r="J124" s="308"/>
      <c r="K124" s="294" t="s">
        <v>778</v>
      </c>
      <c r="L124" s="294" t="s">
        <v>778</v>
      </c>
    </row>
    <row r="125" spans="1:14" ht="13.15" customHeight="1">
      <c r="A125" s="303" t="s">
        <v>23</v>
      </c>
      <c r="B125" s="926" t="s">
        <v>611</v>
      </c>
      <c r="C125" s="926" t="s">
        <v>19</v>
      </c>
      <c r="D125" s="926"/>
      <c r="E125" s="295" t="s">
        <v>321</v>
      </c>
      <c r="F125" s="926" t="s">
        <v>320</v>
      </c>
      <c r="G125" s="527" t="s">
        <v>19</v>
      </c>
      <c r="H125" s="926" t="s">
        <v>318</v>
      </c>
      <c r="I125" s="296"/>
      <c r="J125" s="927" t="s">
        <v>612</v>
      </c>
      <c r="K125" s="927" t="s">
        <v>317</v>
      </c>
      <c r="L125" s="928" t="s">
        <v>777</v>
      </c>
    </row>
    <row r="126" spans="1:14" ht="21" customHeight="1">
      <c r="A126" s="197" t="s">
        <v>402</v>
      </c>
      <c r="B126" s="169">
        <v>165238</v>
      </c>
      <c r="C126" s="297">
        <v>148428244.91</v>
      </c>
      <c r="D126" s="297"/>
      <c r="E126" s="298">
        <v>64054</v>
      </c>
      <c r="F126" s="169">
        <v>23802</v>
      </c>
      <c r="G126" s="297">
        <v>995519604.48000002</v>
      </c>
      <c r="H126" s="169">
        <v>87856</v>
      </c>
      <c r="I126" s="299"/>
      <c r="J126" s="248">
        <v>58419</v>
      </c>
      <c r="K126" s="248">
        <v>25345</v>
      </c>
      <c r="L126" s="277">
        <v>4092</v>
      </c>
    </row>
    <row r="127" spans="1:14" ht="13.15" customHeight="1">
      <c r="A127" s="196" t="s">
        <v>407</v>
      </c>
      <c r="B127" s="166">
        <v>23004</v>
      </c>
      <c r="C127" s="169">
        <v>20922617.960000001</v>
      </c>
      <c r="D127" s="169"/>
      <c r="E127" s="298">
        <v>10426</v>
      </c>
      <c r="F127" s="169">
        <v>497</v>
      </c>
      <c r="G127" s="169">
        <v>76188743.700000003</v>
      </c>
      <c r="H127" s="169">
        <v>10923</v>
      </c>
      <c r="I127" s="299"/>
      <c r="J127" s="248">
        <v>6216</v>
      </c>
      <c r="K127" s="246">
        <v>3467</v>
      </c>
      <c r="L127" s="275">
        <v>1240</v>
      </c>
    </row>
    <row r="128" spans="1:14" ht="13.15" customHeight="1">
      <c r="A128" s="196" t="s">
        <v>410</v>
      </c>
      <c r="B128" s="166">
        <v>6100</v>
      </c>
      <c r="C128" s="169">
        <v>5524197.4699999997</v>
      </c>
      <c r="D128" s="169"/>
      <c r="E128" s="298">
        <v>2634</v>
      </c>
      <c r="F128" s="169">
        <v>117</v>
      </c>
      <c r="G128" s="169">
        <v>16301593.800000001</v>
      </c>
      <c r="H128" s="169">
        <v>2751</v>
      </c>
      <c r="I128" s="299"/>
      <c r="J128" s="248">
        <v>1639</v>
      </c>
      <c r="K128" s="246">
        <v>1048</v>
      </c>
      <c r="L128" s="275">
        <v>64</v>
      </c>
    </row>
    <row r="129" spans="1:13" ht="13.15" customHeight="1">
      <c r="A129" s="196" t="s">
        <v>413</v>
      </c>
      <c r="B129" s="166">
        <v>40381</v>
      </c>
      <c r="C129" s="169">
        <v>36445144.640000001</v>
      </c>
      <c r="D129" s="169"/>
      <c r="E129" s="298">
        <v>18444</v>
      </c>
      <c r="F129" s="169">
        <v>2945</v>
      </c>
      <c r="G129" s="248">
        <v>177537040.30000001</v>
      </c>
      <c r="H129" s="169">
        <v>21389</v>
      </c>
      <c r="I129" s="299"/>
      <c r="J129" s="248">
        <v>14556</v>
      </c>
      <c r="K129" s="246">
        <v>6012</v>
      </c>
      <c r="L129" s="275">
        <v>821</v>
      </c>
    </row>
    <row r="130" spans="1:13" ht="13.15" customHeight="1">
      <c r="A130" s="196" t="s">
        <v>416</v>
      </c>
      <c r="B130" s="166">
        <v>236141</v>
      </c>
      <c r="C130" s="169">
        <v>214372058.38999999</v>
      </c>
      <c r="D130" s="169"/>
      <c r="E130" s="298">
        <v>86594</v>
      </c>
      <c r="F130" s="169">
        <v>19005</v>
      </c>
      <c r="G130" s="169">
        <v>820337102.10000002</v>
      </c>
      <c r="H130" s="169">
        <v>105599</v>
      </c>
      <c r="I130" s="299"/>
      <c r="J130" s="248">
        <v>60555</v>
      </c>
      <c r="K130" s="246">
        <v>40071</v>
      </c>
      <c r="L130" s="275">
        <v>4973</v>
      </c>
    </row>
    <row r="131" spans="1:13" ht="21" customHeight="1">
      <c r="A131" s="196" t="s">
        <v>419</v>
      </c>
      <c r="B131" s="166">
        <v>18423</v>
      </c>
      <c r="C131" s="169">
        <v>16695895.48</v>
      </c>
      <c r="D131" s="169"/>
      <c r="E131" s="298">
        <v>7652</v>
      </c>
      <c r="F131" s="169">
        <v>772</v>
      </c>
      <c r="G131" s="169">
        <v>104375561.2</v>
      </c>
      <c r="H131" s="169">
        <v>8424</v>
      </c>
      <c r="I131" s="299"/>
      <c r="J131" s="248">
        <v>5477</v>
      </c>
      <c r="K131" s="246">
        <v>2733</v>
      </c>
      <c r="L131" s="275">
        <v>214</v>
      </c>
    </row>
    <row r="132" spans="1:13" ht="13.15" customHeight="1">
      <c r="A132" s="196" t="s">
        <v>422</v>
      </c>
      <c r="B132" s="166">
        <v>5920</v>
      </c>
      <c r="C132" s="169">
        <v>5392067.2400000002</v>
      </c>
      <c r="D132" s="169"/>
      <c r="E132" s="298">
        <v>2673</v>
      </c>
      <c r="F132" s="169">
        <v>77</v>
      </c>
      <c r="G132" s="169">
        <v>21499237.100000001</v>
      </c>
      <c r="H132" s="169">
        <v>2750</v>
      </c>
      <c r="I132" s="299"/>
      <c r="J132" s="248">
        <v>1778</v>
      </c>
      <c r="K132" s="246">
        <v>905</v>
      </c>
      <c r="L132" s="275">
        <v>67</v>
      </c>
    </row>
    <row r="133" spans="1:13" ht="13.15" customHeight="1">
      <c r="A133" s="196" t="s">
        <v>425</v>
      </c>
      <c r="B133" s="166">
        <v>41292</v>
      </c>
      <c r="C133" s="169">
        <v>37544606.369999997</v>
      </c>
      <c r="D133" s="169"/>
      <c r="E133" s="298">
        <v>17877</v>
      </c>
      <c r="F133" s="169">
        <v>1359</v>
      </c>
      <c r="G133" s="169">
        <v>115613395.11</v>
      </c>
      <c r="H133" s="169">
        <v>19236</v>
      </c>
      <c r="I133" s="299"/>
      <c r="J133" s="248">
        <v>13226</v>
      </c>
      <c r="K133" s="246">
        <v>5113</v>
      </c>
      <c r="L133" s="275">
        <v>897</v>
      </c>
    </row>
    <row r="134" spans="1:13" ht="13.15" customHeight="1">
      <c r="A134" s="196" t="s">
        <v>428</v>
      </c>
      <c r="B134" s="166">
        <v>5569</v>
      </c>
      <c r="C134" s="169">
        <v>5098772</v>
      </c>
      <c r="D134" s="169"/>
      <c r="E134" s="298">
        <v>2364</v>
      </c>
      <c r="F134" s="169">
        <v>205</v>
      </c>
      <c r="G134" s="169">
        <v>14248293.300000001</v>
      </c>
      <c r="H134" s="169">
        <v>2569</v>
      </c>
      <c r="I134" s="299"/>
      <c r="J134" s="248">
        <v>1941</v>
      </c>
      <c r="K134" s="246">
        <v>522</v>
      </c>
      <c r="L134" s="275">
        <v>106</v>
      </c>
    </row>
    <row r="135" spans="1:13" ht="13.15" customHeight="1">
      <c r="A135" s="196" t="s">
        <v>423</v>
      </c>
      <c r="B135" s="166">
        <v>32550</v>
      </c>
      <c r="C135" s="169">
        <v>29506245.66</v>
      </c>
      <c r="D135" s="169"/>
      <c r="E135" s="298">
        <v>11012</v>
      </c>
      <c r="F135" s="169">
        <v>4224</v>
      </c>
      <c r="G135" s="169">
        <v>189651714</v>
      </c>
      <c r="H135" s="169">
        <v>15236</v>
      </c>
      <c r="I135" s="299"/>
      <c r="J135" s="248">
        <v>8790</v>
      </c>
      <c r="K135" s="246">
        <v>5787</v>
      </c>
      <c r="L135" s="275">
        <v>659</v>
      </c>
    </row>
    <row r="136" spans="1:13" ht="21" customHeight="1">
      <c r="A136" s="196" t="s">
        <v>433</v>
      </c>
      <c r="B136" s="166">
        <v>17861</v>
      </c>
      <c r="C136" s="169">
        <v>16037271.619999999</v>
      </c>
      <c r="D136" s="169"/>
      <c r="E136" s="298">
        <v>5343</v>
      </c>
      <c r="F136" s="169">
        <v>2596</v>
      </c>
      <c r="G136" s="169">
        <v>114456724.3</v>
      </c>
      <c r="H136" s="169">
        <v>7939</v>
      </c>
      <c r="I136" s="299"/>
      <c r="J136" s="248">
        <v>4305</v>
      </c>
      <c r="K136" s="246">
        <v>3243</v>
      </c>
      <c r="L136" s="275">
        <v>391</v>
      </c>
    </row>
    <row r="137" spans="1:13" ht="13.15" customHeight="1">
      <c r="A137" s="196" t="s">
        <v>24</v>
      </c>
      <c r="B137" s="246">
        <v>7853</v>
      </c>
      <c r="C137" s="248">
        <v>7148158.7199999997</v>
      </c>
      <c r="D137" s="169"/>
      <c r="E137" s="298">
        <v>3128</v>
      </c>
      <c r="F137" s="169">
        <v>364</v>
      </c>
      <c r="G137" s="169">
        <v>22351911.100000001</v>
      </c>
      <c r="H137" s="169">
        <v>3492</v>
      </c>
      <c r="I137" s="299"/>
      <c r="J137" s="248">
        <v>2408</v>
      </c>
      <c r="K137" s="246">
        <v>952</v>
      </c>
      <c r="L137" s="275">
        <v>132</v>
      </c>
    </row>
    <row r="138" spans="1:13" ht="13.15" customHeight="1">
      <c r="A138" s="196" t="s">
        <v>438</v>
      </c>
      <c r="B138" s="166">
        <v>26631</v>
      </c>
      <c r="C138" s="169">
        <v>24159502.370000001</v>
      </c>
      <c r="D138" s="169"/>
      <c r="E138" s="298">
        <v>11055</v>
      </c>
      <c r="F138" s="169">
        <v>2110</v>
      </c>
      <c r="G138" s="169">
        <v>103947120.2</v>
      </c>
      <c r="H138" s="169">
        <v>13165</v>
      </c>
      <c r="I138" s="299"/>
      <c r="J138" s="248">
        <v>8928</v>
      </c>
      <c r="K138" s="246">
        <v>3740</v>
      </c>
      <c r="L138" s="275">
        <v>497</v>
      </c>
    </row>
    <row r="139" spans="1:13" ht="13.15" customHeight="1">
      <c r="A139" s="196" t="s">
        <v>441</v>
      </c>
      <c r="B139" s="166">
        <v>7119</v>
      </c>
      <c r="C139" s="169">
        <v>6485654.04</v>
      </c>
      <c r="D139" s="169"/>
      <c r="E139" s="298">
        <v>3038</v>
      </c>
      <c r="F139" s="169">
        <v>157</v>
      </c>
      <c r="G139" s="169">
        <v>31471274.300000001</v>
      </c>
      <c r="H139" s="169">
        <v>3195</v>
      </c>
      <c r="I139" s="299"/>
      <c r="J139" s="248">
        <v>1975</v>
      </c>
      <c r="K139" s="246">
        <v>1130</v>
      </c>
      <c r="L139" s="275">
        <v>90</v>
      </c>
    </row>
    <row r="140" spans="1:13" ht="13.15" customHeight="1">
      <c r="A140" s="196" t="s">
        <v>443</v>
      </c>
      <c r="B140" s="166">
        <v>116733</v>
      </c>
      <c r="C140" s="169">
        <v>105713449.77</v>
      </c>
      <c r="D140" s="169"/>
      <c r="E140" s="298">
        <v>49416</v>
      </c>
      <c r="F140" s="169">
        <v>6758</v>
      </c>
      <c r="G140" s="169">
        <v>345979583.30000001</v>
      </c>
      <c r="H140" s="169">
        <v>56174</v>
      </c>
      <c r="I140" s="299"/>
      <c r="J140" s="248">
        <v>37884</v>
      </c>
      <c r="K140" s="246">
        <v>15978</v>
      </c>
      <c r="L140" s="275">
        <v>2312</v>
      </c>
    </row>
    <row r="141" spans="1:13" ht="21" customHeight="1">
      <c r="A141" s="196" t="s">
        <v>445</v>
      </c>
      <c r="B141" s="166">
        <v>36874</v>
      </c>
      <c r="C141" s="169">
        <v>33516980.390000001</v>
      </c>
      <c r="D141" s="169"/>
      <c r="E141" s="298">
        <v>16614</v>
      </c>
      <c r="F141" s="169">
        <v>1243</v>
      </c>
      <c r="G141" s="169">
        <v>110956270</v>
      </c>
      <c r="H141" s="169">
        <v>17857</v>
      </c>
      <c r="I141" s="299"/>
      <c r="J141" s="248">
        <v>12276</v>
      </c>
      <c r="K141" s="246">
        <v>5180</v>
      </c>
      <c r="L141" s="275">
        <v>401</v>
      </c>
    </row>
    <row r="142" spans="1:13" ht="13.15" customHeight="1">
      <c r="A142" s="196" t="s">
        <v>448</v>
      </c>
      <c r="B142" s="166">
        <v>20503</v>
      </c>
      <c r="C142" s="169">
        <v>18673288.399999999</v>
      </c>
      <c r="D142" s="169"/>
      <c r="E142" s="298">
        <v>9120</v>
      </c>
      <c r="F142" s="169">
        <v>638</v>
      </c>
      <c r="G142" s="169">
        <v>47932101.100000001</v>
      </c>
      <c r="H142" s="169">
        <v>9758</v>
      </c>
      <c r="I142" s="299"/>
      <c r="J142" s="248">
        <v>7168</v>
      </c>
      <c r="K142" s="246">
        <v>2303</v>
      </c>
      <c r="L142" s="275">
        <v>287</v>
      </c>
    </row>
    <row r="143" spans="1:13" ht="13.15" customHeight="1">
      <c r="A143" s="197" t="s">
        <v>451</v>
      </c>
      <c r="B143" s="169">
        <v>5769</v>
      </c>
      <c r="C143" s="169">
        <v>5137887.05</v>
      </c>
      <c r="D143" s="169"/>
      <c r="E143" s="298">
        <v>2099</v>
      </c>
      <c r="F143" s="169">
        <v>433</v>
      </c>
      <c r="G143" s="169">
        <v>23572022.399999999</v>
      </c>
      <c r="H143" s="169">
        <v>2532</v>
      </c>
      <c r="I143" s="299"/>
      <c r="J143" s="248">
        <v>1482</v>
      </c>
      <c r="K143" s="248">
        <v>960</v>
      </c>
      <c r="L143" s="277">
        <v>90</v>
      </c>
    </row>
    <row r="144" spans="1:13" ht="13.15" customHeight="1">
      <c r="A144" s="197" t="s">
        <v>454</v>
      </c>
      <c r="B144" s="169">
        <v>68268</v>
      </c>
      <c r="C144" s="169">
        <v>61784702.479999997</v>
      </c>
      <c r="D144" s="297"/>
      <c r="E144" s="298">
        <v>30017</v>
      </c>
      <c r="F144" s="169">
        <v>2787</v>
      </c>
      <c r="G144" s="169">
        <v>203341504.80000001</v>
      </c>
      <c r="H144" s="169">
        <v>32804</v>
      </c>
      <c r="I144" s="299"/>
      <c r="J144" s="248">
        <v>21586</v>
      </c>
      <c r="K144" s="248">
        <v>10258</v>
      </c>
      <c r="L144" s="277">
        <v>960</v>
      </c>
      <c r="M144" s="280"/>
    </row>
    <row r="145" spans="1:13" ht="13.15" customHeight="1">
      <c r="A145" s="196" t="s">
        <v>330</v>
      </c>
      <c r="B145" s="166">
        <v>43344</v>
      </c>
      <c r="C145" s="169">
        <v>39610256.93</v>
      </c>
      <c r="D145" s="169"/>
      <c r="E145" s="298">
        <v>16240</v>
      </c>
      <c r="F145" s="169">
        <v>3797</v>
      </c>
      <c r="G145" s="169">
        <v>163086249.71000001</v>
      </c>
      <c r="H145" s="169">
        <v>20037</v>
      </c>
      <c r="I145" s="299"/>
      <c r="J145" s="248">
        <v>12754</v>
      </c>
      <c r="K145" s="246">
        <v>6603</v>
      </c>
      <c r="L145" s="275">
        <v>680</v>
      </c>
      <c r="M145" s="280"/>
    </row>
    <row r="146" spans="1:13" ht="21" customHeight="1">
      <c r="A146" s="196" t="s">
        <v>334</v>
      </c>
      <c r="B146" s="166">
        <v>17478</v>
      </c>
      <c r="C146" s="297">
        <v>15973414.880000001</v>
      </c>
      <c r="D146" s="169"/>
      <c r="E146" s="298">
        <v>6825</v>
      </c>
      <c r="F146" s="169">
        <v>1497</v>
      </c>
      <c r="G146" s="297">
        <v>58157007.399999999</v>
      </c>
      <c r="H146" s="169">
        <v>8322</v>
      </c>
      <c r="I146" s="299"/>
      <c r="J146" s="248">
        <v>5397</v>
      </c>
      <c r="K146" s="246">
        <v>2614</v>
      </c>
      <c r="L146" s="275">
        <v>311</v>
      </c>
    </row>
    <row r="147" spans="1:13" ht="13.15" customHeight="1">
      <c r="A147" s="196" t="s">
        <v>338</v>
      </c>
      <c r="B147" s="166">
        <v>13205</v>
      </c>
      <c r="C147" s="169">
        <v>12018240.83</v>
      </c>
      <c r="D147" s="169"/>
      <c r="E147" s="298">
        <v>5746</v>
      </c>
      <c r="F147" s="169">
        <v>401</v>
      </c>
      <c r="G147" s="169">
        <v>42142580.200000003</v>
      </c>
      <c r="H147" s="169">
        <v>6147</v>
      </c>
      <c r="I147" s="299"/>
      <c r="J147" s="248">
        <v>4257</v>
      </c>
      <c r="K147" s="246">
        <v>1652</v>
      </c>
      <c r="L147" s="275">
        <v>238</v>
      </c>
    </row>
    <row r="148" spans="1:13" ht="13.15" customHeight="1">
      <c r="A148" s="196" t="s">
        <v>342</v>
      </c>
      <c r="B148" s="166">
        <v>158510</v>
      </c>
      <c r="C148" s="169">
        <v>143970949.06</v>
      </c>
      <c r="D148" s="169"/>
      <c r="E148" s="298">
        <v>68440</v>
      </c>
      <c r="F148" s="169">
        <v>8195</v>
      </c>
      <c r="G148" s="169">
        <v>463500983.01999998</v>
      </c>
      <c r="H148" s="169">
        <v>76635</v>
      </c>
      <c r="I148" s="299"/>
      <c r="J148" s="248">
        <v>52358</v>
      </c>
      <c r="K148" s="246">
        <v>21151</v>
      </c>
      <c r="L148" s="275">
        <v>3126</v>
      </c>
    </row>
    <row r="149" spans="1:13" ht="13.15" customHeight="1">
      <c r="A149" s="196" t="s">
        <v>346</v>
      </c>
      <c r="B149" s="166">
        <v>177923</v>
      </c>
      <c r="C149" s="169">
        <v>161439149.24000001</v>
      </c>
      <c r="D149" s="169"/>
      <c r="E149" s="298">
        <v>78371</v>
      </c>
      <c r="F149" s="169">
        <v>10543</v>
      </c>
      <c r="G149" s="169">
        <v>617716490.62</v>
      </c>
      <c r="H149" s="169">
        <v>88914</v>
      </c>
      <c r="I149" s="299"/>
      <c r="J149" s="248">
        <v>61797</v>
      </c>
      <c r="K149" s="246">
        <v>22695</v>
      </c>
      <c r="L149" s="275">
        <v>4422</v>
      </c>
    </row>
    <row r="150" spans="1:13" ht="13.15" customHeight="1">
      <c r="A150" s="196" t="s">
        <v>350</v>
      </c>
      <c r="B150" s="246">
        <v>4093</v>
      </c>
      <c r="C150" s="248">
        <v>3740358.35</v>
      </c>
      <c r="D150" s="169"/>
      <c r="E150" s="298">
        <v>1798</v>
      </c>
      <c r="F150" s="169">
        <v>66</v>
      </c>
      <c r="G150" s="169">
        <v>9574822.8000000007</v>
      </c>
      <c r="H150" s="169">
        <v>1864</v>
      </c>
      <c r="I150" s="299"/>
      <c r="J150" s="248">
        <v>1112</v>
      </c>
      <c r="K150" s="246">
        <v>697</v>
      </c>
      <c r="L150" s="275">
        <v>55</v>
      </c>
    </row>
    <row r="151" spans="1:13" ht="21" customHeight="1">
      <c r="A151" s="196" t="s">
        <v>354</v>
      </c>
      <c r="B151" s="166">
        <v>26526</v>
      </c>
      <c r="C151" s="169">
        <v>24119138.66</v>
      </c>
      <c r="D151" s="169"/>
      <c r="E151" s="298">
        <v>12345</v>
      </c>
      <c r="F151" s="169">
        <v>1243</v>
      </c>
      <c r="G151" s="169">
        <v>71790581.5</v>
      </c>
      <c r="H151" s="169">
        <v>13588</v>
      </c>
      <c r="I151" s="299"/>
      <c r="J151" s="248">
        <v>11035</v>
      </c>
      <c r="K151" s="246">
        <v>2088</v>
      </c>
      <c r="L151" s="275">
        <v>465</v>
      </c>
    </row>
    <row r="152" spans="1:13" ht="13.15" customHeight="1">
      <c r="A152" s="196" t="s">
        <v>358</v>
      </c>
      <c r="B152" s="166">
        <v>13257</v>
      </c>
      <c r="C152" s="169">
        <v>11961729</v>
      </c>
      <c r="D152" s="169"/>
      <c r="E152" s="298">
        <v>4315</v>
      </c>
      <c r="F152" s="169">
        <v>1163</v>
      </c>
      <c r="G152" s="169">
        <v>50013113.899999999</v>
      </c>
      <c r="H152" s="169">
        <v>5478</v>
      </c>
      <c r="I152" s="299"/>
      <c r="J152" s="248">
        <v>2632</v>
      </c>
      <c r="K152" s="246">
        <v>2686</v>
      </c>
      <c r="L152" s="275">
        <v>160</v>
      </c>
    </row>
    <row r="153" spans="1:13" ht="13.15" customHeight="1">
      <c r="A153" s="196" t="s">
        <v>362</v>
      </c>
      <c r="B153" s="166">
        <v>81900</v>
      </c>
      <c r="C153" s="169">
        <v>74546419.439999998</v>
      </c>
      <c r="D153" s="169"/>
      <c r="E153" s="298">
        <v>34408</v>
      </c>
      <c r="F153" s="169">
        <v>4844</v>
      </c>
      <c r="G153" s="169">
        <v>244075029.19999999</v>
      </c>
      <c r="H153" s="169">
        <v>39252</v>
      </c>
      <c r="I153" s="299"/>
      <c r="J153" s="248">
        <v>27599</v>
      </c>
      <c r="K153" s="246">
        <v>10104</v>
      </c>
      <c r="L153" s="275">
        <v>1549</v>
      </c>
    </row>
    <row r="154" spans="1:13" ht="13.15" customHeight="1">
      <c r="A154" s="196" t="s">
        <v>366</v>
      </c>
      <c r="B154" s="166">
        <v>10932</v>
      </c>
      <c r="C154" s="169">
        <v>9914643.0700000003</v>
      </c>
      <c r="D154" s="169"/>
      <c r="E154" s="298">
        <v>5250</v>
      </c>
      <c r="F154" s="169">
        <v>277</v>
      </c>
      <c r="G154" s="169">
        <v>33944735.700000003</v>
      </c>
      <c r="H154" s="169">
        <v>5527</v>
      </c>
      <c r="I154" s="299"/>
      <c r="J154" s="248">
        <v>3625</v>
      </c>
      <c r="K154" s="246">
        <v>1723</v>
      </c>
      <c r="L154" s="275">
        <v>179</v>
      </c>
    </row>
    <row r="155" spans="1:13" ht="13.15" customHeight="1">
      <c r="A155" s="196" t="s">
        <v>370</v>
      </c>
      <c r="B155" s="166">
        <v>184957</v>
      </c>
      <c r="C155" s="169">
        <v>167935079.86000001</v>
      </c>
      <c r="D155" s="169"/>
      <c r="E155" s="298">
        <v>87032</v>
      </c>
      <c r="F155" s="169">
        <v>13910</v>
      </c>
      <c r="G155" s="169">
        <v>1489619992.04</v>
      </c>
      <c r="H155" s="169">
        <v>100942</v>
      </c>
      <c r="I155" s="299"/>
      <c r="J155" s="248">
        <v>76382</v>
      </c>
      <c r="K155" s="246">
        <v>21393</v>
      </c>
      <c r="L155" s="275">
        <v>3167</v>
      </c>
    </row>
    <row r="156" spans="1:13" ht="21" customHeight="1">
      <c r="A156" s="196" t="s">
        <v>25</v>
      </c>
      <c r="B156" s="166">
        <v>89604</v>
      </c>
      <c r="C156" s="169">
        <v>81377652.049999997</v>
      </c>
      <c r="D156" s="169"/>
      <c r="E156" s="298">
        <v>41049</v>
      </c>
      <c r="F156" s="169">
        <v>3218</v>
      </c>
      <c r="G156" s="169">
        <v>251296379.61000001</v>
      </c>
      <c r="H156" s="169">
        <v>44267</v>
      </c>
      <c r="I156" s="299"/>
      <c r="J156" s="248">
        <v>31383</v>
      </c>
      <c r="K156" s="246">
        <v>11632</v>
      </c>
      <c r="L156" s="275">
        <v>1252</v>
      </c>
    </row>
    <row r="157" spans="1:13" ht="13.15" customHeight="1">
      <c r="A157" s="196" t="s">
        <v>378</v>
      </c>
      <c r="B157" s="166">
        <v>26287</v>
      </c>
      <c r="C157" s="169">
        <v>23788200.399999999</v>
      </c>
      <c r="D157" s="169"/>
      <c r="E157" s="298">
        <v>10617</v>
      </c>
      <c r="F157" s="169">
        <v>1202</v>
      </c>
      <c r="G157" s="169">
        <v>78266539.799999997</v>
      </c>
      <c r="H157" s="169">
        <v>11819</v>
      </c>
      <c r="I157" s="299"/>
      <c r="J157" s="248">
        <v>6956</v>
      </c>
      <c r="K157" s="246">
        <v>4558</v>
      </c>
      <c r="L157" s="275">
        <v>305</v>
      </c>
    </row>
    <row r="158" spans="1:13" ht="13.15" customHeight="1">
      <c r="A158" s="196" t="s">
        <v>382</v>
      </c>
      <c r="B158" s="166">
        <v>25133</v>
      </c>
      <c r="C158" s="169">
        <v>22686111.239999998</v>
      </c>
      <c r="D158" s="169"/>
      <c r="E158" s="298">
        <v>10944</v>
      </c>
      <c r="F158" s="169">
        <v>836</v>
      </c>
      <c r="G158" s="169">
        <v>66513168.399999999</v>
      </c>
      <c r="H158" s="169">
        <v>11780</v>
      </c>
      <c r="I158" s="299"/>
      <c r="J158" s="248">
        <v>7356</v>
      </c>
      <c r="K158" s="246">
        <v>4085</v>
      </c>
      <c r="L158" s="275">
        <v>339</v>
      </c>
    </row>
    <row r="159" spans="1:13" ht="13.15" customHeight="1">
      <c r="A159" s="196" t="s">
        <v>386</v>
      </c>
      <c r="B159" s="166">
        <v>87139</v>
      </c>
      <c r="C159" s="169">
        <v>79155595.390000001</v>
      </c>
      <c r="D159" s="169"/>
      <c r="E159" s="298">
        <v>31129</v>
      </c>
      <c r="F159" s="169">
        <v>7539</v>
      </c>
      <c r="G159" s="169">
        <v>361652406.10000002</v>
      </c>
      <c r="H159" s="169">
        <v>38668</v>
      </c>
      <c r="I159" s="299"/>
      <c r="J159" s="248">
        <v>22382</v>
      </c>
      <c r="K159" s="246">
        <v>14506</v>
      </c>
      <c r="L159" s="275">
        <v>1780</v>
      </c>
    </row>
    <row r="160" spans="1:13" ht="21" customHeight="1">
      <c r="A160" s="196" t="s">
        <v>26</v>
      </c>
      <c r="B160" s="166">
        <v>429214</v>
      </c>
      <c r="C160" s="169">
        <v>388442499.37</v>
      </c>
      <c r="D160" s="169"/>
      <c r="E160" s="298">
        <v>166445</v>
      </c>
      <c r="F160" s="169">
        <v>33666</v>
      </c>
      <c r="G160" s="169">
        <v>1681764874.4100001</v>
      </c>
      <c r="H160" s="169">
        <v>200111</v>
      </c>
      <c r="I160" s="299"/>
      <c r="J160" s="248">
        <v>119308</v>
      </c>
      <c r="K160" s="246">
        <v>71625</v>
      </c>
      <c r="L160" s="275">
        <v>9178</v>
      </c>
    </row>
    <row r="161" spans="1:13" ht="13.15" customHeight="1">
      <c r="A161" s="196" t="s">
        <v>391</v>
      </c>
      <c r="B161" s="166">
        <v>21391</v>
      </c>
      <c r="C161" s="169">
        <v>19398058.199999999</v>
      </c>
      <c r="D161" s="169"/>
      <c r="E161" s="298">
        <v>9311</v>
      </c>
      <c r="F161" s="169">
        <v>641</v>
      </c>
      <c r="G161" s="169">
        <v>53106712.700000003</v>
      </c>
      <c r="H161" s="169">
        <v>9952</v>
      </c>
      <c r="I161" s="299"/>
      <c r="J161" s="248">
        <v>6436</v>
      </c>
      <c r="K161" s="246">
        <v>3256</v>
      </c>
      <c r="L161" s="275">
        <v>260</v>
      </c>
    </row>
    <row r="162" spans="1:13" ht="13.15" customHeight="1">
      <c r="A162" s="197" t="s">
        <v>394</v>
      </c>
      <c r="B162" s="169">
        <v>12810</v>
      </c>
      <c r="C162" s="169">
        <v>11411486.99</v>
      </c>
      <c r="D162" s="169"/>
      <c r="E162" s="298">
        <v>5279</v>
      </c>
      <c r="F162" s="169">
        <v>1051</v>
      </c>
      <c r="G162" s="169">
        <v>79067709.239999995</v>
      </c>
      <c r="H162" s="169">
        <v>6330</v>
      </c>
      <c r="I162" s="299"/>
      <c r="J162" s="248">
        <v>4052</v>
      </c>
      <c r="K162" s="248">
        <v>1969</v>
      </c>
      <c r="L162" s="277">
        <v>309</v>
      </c>
    </row>
    <row r="163" spans="1:13" ht="13.15" customHeight="1">
      <c r="A163" s="197" t="s">
        <v>397</v>
      </c>
      <c r="B163" s="169">
        <v>27698</v>
      </c>
      <c r="C163" s="169">
        <v>24988441.550000001</v>
      </c>
      <c r="D163" s="169"/>
      <c r="E163" s="298">
        <v>11881</v>
      </c>
      <c r="F163" s="169">
        <v>1467</v>
      </c>
      <c r="G163" s="169">
        <v>88695419.200000003</v>
      </c>
      <c r="H163" s="169">
        <v>13348</v>
      </c>
      <c r="I163" s="299"/>
      <c r="J163" s="248">
        <v>9094</v>
      </c>
      <c r="K163" s="248">
        <v>3878</v>
      </c>
      <c r="L163" s="277">
        <v>376</v>
      </c>
      <c r="M163" s="280"/>
    </row>
    <row r="164" spans="1:13" ht="10.75" customHeight="1">
      <c r="A164" s="931"/>
      <c r="B164" s="932"/>
      <c r="C164" s="932"/>
      <c r="D164" s="323"/>
      <c r="E164" s="324"/>
      <c r="F164" s="932"/>
      <c r="G164" s="932"/>
      <c r="H164" s="932"/>
      <c r="I164" s="323"/>
      <c r="J164" s="933"/>
      <c r="K164" s="933"/>
      <c r="L164" s="934"/>
      <c r="M164" s="280"/>
    </row>
    <row r="165" spans="1:13" ht="15" customHeight="1">
      <c r="A165" s="217" t="s">
        <v>27</v>
      </c>
      <c r="B165" s="327">
        <f>SUM(B126:B163)</f>
        <v>2333630</v>
      </c>
      <c r="C165" s="327">
        <f t="shared" ref="C165:L165" si="5">SUM(C126:C163)</f>
        <v>2115064169.47</v>
      </c>
      <c r="D165" s="328"/>
      <c r="E165" s="327">
        <f t="shared" si="5"/>
        <v>960985</v>
      </c>
      <c r="F165" s="327">
        <f t="shared" si="5"/>
        <v>165645</v>
      </c>
      <c r="G165" s="327">
        <f t="shared" si="5"/>
        <v>9439265592.1400013</v>
      </c>
      <c r="H165" s="327">
        <f t="shared" si="5"/>
        <v>1126630</v>
      </c>
      <c r="I165" s="320"/>
      <c r="J165" s="327">
        <f t="shared" si="5"/>
        <v>736524</v>
      </c>
      <c r="K165" s="327">
        <f t="shared" si="5"/>
        <v>343662</v>
      </c>
      <c r="L165" s="327">
        <f t="shared" si="5"/>
        <v>46444</v>
      </c>
    </row>
    <row r="166" spans="1:13" ht="15" customHeight="1">
      <c r="A166" s="214" t="s">
        <v>22</v>
      </c>
      <c r="B166" s="317">
        <f>B118</f>
        <v>6151894</v>
      </c>
      <c r="C166" s="329">
        <f>C118</f>
        <v>5577402454.6199999</v>
      </c>
      <c r="D166" s="318"/>
      <c r="E166" s="319">
        <f t="shared" ref="E166:K166" si="6">E118</f>
        <v>2167048</v>
      </c>
      <c r="F166" s="317">
        <f t="shared" si="6"/>
        <v>537911</v>
      </c>
      <c r="G166" s="215">
        <f t="shared" si="6"/>
        <v>25364249647.560005</v>
      </c>
      <c r="H166" s="317">
        <f t="shared" si="6"/>
        <v>2704959</v>
      </c>
      <c r="I166" s="320"/>
      <c r="J166" s="321">
        <f t="shared" si="6"/>
        <v>1498829</v>
      </c>
      <c r="K166" s="321">
        <f t="shared" si="6"/>
        <v>1117881</v>
      </c>
      <c r="L166" s="321">
        <f>L118</f>
        <v>88249</v>
      </c>
    </row>
    <row r="167" spans="1:13" ht="15" customHeight="1">
      <c r="A167" s="214" t="s">
        <v>607</v>
      </c>
      <c r="B167" s="317">
        <v>309378</v>
      </c>
      <c r="C167" s="329">
        <v>213503007.88999999</v>
      </c>
      <c r="D167" s="318"/>
      <c r="E167" s="319">
        <v>116569</v>
      </c>
      <c r="F167" s="317">
        <v>41665</v>
      </c>
      <c r="G167" s="215">
        <v>16418811635.58</v>
      </c>
      <c r="H167" s="317">
        <v>158234</v>
      </c>
      <c r="I167" s="320"/>
      <c r="J167" s="321">
        <v>86943</v>
      </c>
      <c r="K167" s="321">
        <v>44883</v>
      </c>
      <c r="L167" s="935">
        <v>26408</v>
      </c>
    </row>
    <row r="168" spans="1:13" ht="13.15" customHeight="1">
      <c r="A168" s="217"/>
      <c r="B168" s="327"/>
      <c r="C168" s="215"/>
      <c r="D168" s="328"/>
      <c r="E168" s="330"/>
      <c r="F168" s="327"/>
      <c r="G168" s="331"/>
      <c r="H168" s="317"/>
      <c r="I168" s="332"/>
      <c r="J168" s="333"/>
      <c r="K168" s="333"/>
      <c r="L168" s="277"/>
    </row>
    <row r="169" spans="1:13" ht="15" customHeight="1">
      <c r="A169" s="214" t="s">
        <v>28</v>
      </c>
      <c r="B169" s="317">
        <f>SUM(B165:B167)</f>
        <v>8794902</v>
      </c>
      <c r="C169" s="215">
        <f>SUM(C165:C167)</f>
        <v>7905969631.9800005</v>
      </c>
      <c r="D169" s="318"/>
      <c r="E169" s="317">
        <f>SUM(E165:E167)</f>
        <v>3244602</v>
      </c>
      <c r="F169" s="317">
        <f>SUM(F165:F167)</f>
        <v>745221</v>
      </c>
      <c r="G169" s="215">
        <f>SUM(G165:G167)</f>
        <v>51222326875.280006</v>
      </c>
      <c r="H169" s="317">
        <f>SUM(H165:H167)</f>
        <v>3989823</v>
      </c>
      <c r="I169" s="320"/>
      <c r="J169" s="321">
        <f>SUM(J165:J167)</f>
        <v>2322296</v>
      </c>
      <c r="K169" s="321">
        <f>SUM(K165:K167)</f>
        <v>1506426</v>
      </c>
      <c r="L169" s="321">
        <f>SUM(L165:L167)</f>
        <v>161101</v>
      </c>
    </row>
    <row r="170" spans="1:13" ht="13.15" customHeight="1">
      <c r="A170" s="219"/>
      <c r="B170" s="279"/>
      <c r="C170" s="219"/>
      <c r="D170" s="219"/>
      <c r="E170" s="279"/>
      <c r="F170" s="279"/>
      <c r="G170" s="219"/>
      <c r="H170" s="279"/>
      <c r="I170" s="279"/>
      <c r="J170" s="277"/>
      <c r="K170" s="277"/>
      <c r="L170" s="249"/>
    </row>
    <row r="171" spans="1:13" ht="13.15" customHeight="1">
      <c r="A171" s="199" t="s">
        <v>1</v>
      </c>
      <c r="B171" s="274"/>
      <c r="C171" s="274"/>
      <c r="D171" s="274"/>
      <c r="E171" s="204"/>
      <c r="F171" s="204"/>
      <c r="G171" s="204"/>
      <c r="H171" s="204"/>
      <c r="I171" s="204"/>
      <c r="J171" s="276"/>
      <c r="K171" s="276"/>
      <c r="L171" s="276"/>
    </row>
    <row r="172" spans="1:13" ht="14.25" customHeight="1">
      <c r="A172" s="334" t="s">
        <v>776</v>
      </c>
      <c r="B172" s="334"/>
      <c r="C172" s="334"/>
      <c r="D172" s="334"/>
      <c r="E172" s="334"/>
      <c r="F172" s="334"/>
      <c r="G172" s="334"/>
      <c r="H172" s="334"/>
      <c r="I172" s="334"/>
      <c r="J172" s="936"/>
      <c r="K172" s="936"/>
      <c r="L172" s="936"/>
    </row>
    <row r="173" spans="1:13">
      <c r="A173" s="199" t="s">
        <v>1017</v>
      </c>
    </row>
  </sheetData>
  <mergeCells count="8">
    <mergeCell ref="B123:C123"/>
    <mergeCell ref="E123:H123"/>
    <mergeCell ref="B5:C5"/>
    <mergeCell ref="E5:H5"/>
    <mergeCell ref="B47:C47"/>
    <mergeCell ref="E47:H47"/>
    <mergeCell ref="B89:C89"/>
    <mergeCell ref="E89:H89"/>
  </mergeCells>
  <printOptions horizontalCentered="1"/>
  <pageMargins left="0.5" right="0.5" top="0.5" bottom="1" header="0.5" footer="0.5"/>
  <pageSetup scale="84" firstPageNumber="12" orientation="landscape" useFirstPageNumber="1" r:id="rId1"/>
  <headerFooter alignWithMargins="0"/>
  <rowBreaks count="3" manualBreakCount="3">
    <brk id="42" max="11" man="1"/>
    <brk id="84" max="11" man="1"/>
    <brk id="11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81"/>
  <sheetViews>
    <sheetView showOutlineSymbols="0" zoomScaleNormal="100" zoomScaleSheetLayoutView="90" workbookViewId="0">
      <pane ySplit="3300" topLeftCell="A140"/>
      <selection pane="bottomLeft" activeCell="A173" sqref="A173:A182"/>
    </sheetView>
  </sheetViews>
  <sheetFormatPr defaultColWidth="10.7265625" defaultRowHeight="15.5"/>
  <cols>
    <col min="1" max="1" width="18.26953125" style="212" customWidth="1"/>
    <col min="2" max="2" width="5.81640625" style="873" hidden="1" customWidth="1"/>
    <col min="3" max="3" width="19.1796875" style="168" customWidth="1"/>
    <col min="4" max="4" width="18.26953125" style="212" bestFit="1" customWidth="1"/>
    <col min="5" max="5" width="17.7265625" style="212" bestFit="1" customWidth="1"/>
    <col min="6" max="6" width="19.1796875" style="212" bestFit="1" customWidth="1"/>
    <col min="7" max="7" width="20" style="212" customWidth="1"/>
    <col min="8" max="8" width="17.81640625" style="212" customWidth="1"/>
    <col min="9" max="10" width="10.7265625" style="604"/>
    <col min="11" max="16384" width="10.7265625" style="212"/>
  </cols>
  <sheetData>
    <row r="1" spans="1:9" ht="16" customHeight="1">
      <c r="A1" s="1129" t="s">
        <v>614</v>
      </c>
      <c r="B1" s="1086"/>
      <c r="C1" s="337"/>
      <c r="D1" s="337"/>
      <c r="E1" s="337"/>
      <c r="F1" s="337"/>
      <c r="G1" s="337"/>
      <c r="H1" s="337"/>
      <c r="I1" s="939" t="s">
        <v>1018</v>
      </c>
    </row>
    <row r="2" spans="1:9" ht="14.9" customHeight="1">
      <c r="A2" s="1130" t="s">
        <v>615</v>
      </c>
      <c r="B2" s="1086"/>
      <c r="C2" s="337"/>
      <c r="D2" s="337"/>
      <c r="E2" s="337"/>
      <c r="F2" s="337"/>
      <c r="G2" s="337"/>
      <c r="H2" s="337"/>
    </row>
    <row r="3" spans="1:9" ht="14" customHeight="1">
      <c r="A3" s="1131" t="s">
        <v>1216</v>
      </c>
      <c r="B3" s="1086"/>
      <c r="C3" s="336"/>
      <c r="D3" s="336"/>
      <c r="E3" s="336"/>
      <c r="F3" s="336"/>
      <c r="G3" s="336"/>
      <c r="H3" s="336"/>
    </row>
    <row r="4" spans="1:9" ht="3" customHeight="1">
      <c r="A4" s="280"/>
      <c r="B4" s="1087"/>
      <c r="C4" s="337"/>
      <c r="D4" s="337"/>
      <c r="E4" s="337"/>
      <c r="F4" s="337"/>
      <c r="G4" s="337"/>
      <c r="H4" s="337"/>
    </row>
    <row r="5" spans="1:9" ht="3" customHeight="1" thickBot="1">
      <c r="A5" s="280"/>
      <c r="B5" s="1088"/>
      <c r="C5" s="279"/>
      <c r="D5" s="279"/>
      <c r="E5" s="279"/>
      <c r="F5" s="279"/>
      <c r="G5" s="279"/>
      <c r="H5" s="279"/>
      <c r="I5" s="610"/>
    </row>
    <row r="6" spans="1:9" ht="26">
      <c r="A6" s="1078" t="s">
        <v>21</v>
      </c>
      <c r="B6" s="1080" t="s">
        <v>963</v>
      </c>
      <c r="C6" s="1079" t="s">
        <v>928</v>
      </c>
      <c r="D6" s="1079" t="s">
        <v>1078</v>
      </c>
      <c r="E6" s="1079" t="s">
        <v>1079</v>
      </c>
      <c r="F6" s="1079" t="s">
        <v>1080</v>
      </c>
      <c r="G6" s="1079" t="s">
        <v>1081</v>
      </c>
      <c r="H6" s="1079" t="s">
        <v>929</v>
      </c>
    </row>
    <row r="7" spans="1:9" ht="24" customHeight="1">
      <c r="A7" s="168" t="s">
        <v>327</v>
      </c>
      <c r="B7" s="1081" t="s">
        <v>1082</v>
      </c>
      <c r="C7" s="338">
        <v>620774263.02999997</v>
      </c>
      <c r="D7" s="338">
        <v>38529778.539999999</v>
      </c>
      <c r="E7" s="338">
        <v>24607046.43</v>
      </c>
      <c r="F7" s="338">
        <v>128243323.36</v>
      </c>
      <c r="G7" s="338">
        <v>429394114.69999999</v>
      </c>
      <c r="H7" s="338">
        <v>32061101.949999999</v>
      </c>
    </row>
    <row r="8" spans="1:9" ht="13.15" customHeight="1">
      <c r="A8" s="168" t="s">
        <v>331</v>
      </c>
      <c r="B8" s="1081" t="s">
        <v>1083</v>
      </c>
      <c r="C8" s="168">
        <v>4794433089.4799995</v>
      </c>
      <c r="D8" s="168">
        <v>116438359.16</v>
      </c>
      <c r="E8" s="168">
        <v>77168406.890000001</v>
      </c>
      <c r="F8" s="168">
        <v>434641559.08999997</v>
      </c>
      <c r="G8" s="168">
        <v>4166184764.3400002</v>
      </c>
      <c r="H8" s="168">
        <v>262783715.59</v>
      </c>
    </row>
    <row r="9" spans="1:9" ht="13.15" customHeight="1">
      <c r="A9" s="168" t="s">
        <v>335</v>
      </c>
      <c r="B9" s="1081" t="s">
        <v>1084</v>
      </c>
      <c r="C9" s="168">
        <v>256972412.38999999</v>
      </c>
      <c r="D9" s="168">
        <v>14196558.539999999</v>
      </c>
      <c r="E9" s="168">
        <v>9302487.8900000006</v>
      </c>
      <c r="F9" s="168">
        <v>50677585.039999999</v>
      </c>
      <c r="G9" s="168">
        <v>182795780.91999999</v>
      </c>
      <c r="H9" s="168">
        <v>13287750.76</v>
      </c>
    </row>
    <row r="10" spans="1:9" ht="13.15" customHeight="1">
      <c r="A10" s="168" t="s">
        <v>339</v>
      </c>
      <c r="B10" s="1081" t="s">
        <v>1085</v>
      </c>
      <c r="C10" s="168">
        <v>277231842.79000002</v>
      </c>
      <c r="D10" s="168">
        <v>13714268</v>
      </c>
      <c r="E10" s="168">
        <v>9059652</v>
      </c>
      <c r="F10" s="168">
        <v>50117577.310000002</v>
      </c>
      <c r="G10" s="168">
        <v>204340345.47999999</v>
      </c>
      <c r="H10" s="168">
        <v>14483005.369999999</v>
      </c>
    </row>
    <row r="11" spans="1:9" ht="13.15" customHeight="1">
      <c r="A11" s="168" t="s">
        <v>343</v>
      </c>
      <c r="B11" s="1081" t="s">
        <v>1086</v>
      </c>
      <c r="C11" s="168">
        <v>536329460.70999998</v>
      </c>
      <c r="D11" s="168">
        <v>29642826.210000001</v>
      </c>
      <c r="E11" s="168">
        <v>19685792</v>
      </c>
      <c r="F11" s="168">
        <v>108269382.78</v>
      </c>
      <c r="G11" s="168">
        <v>378731459.72000003</v>
      </c>
      <c r="H11" s="168">
        <v>27665296.510000002</v>
      </c>
    </row>
    <row r="12" spans="1:9" ht="24" customHeight="1">
      <c r="A12" s="168" t="s">
        <v>347</v>
      </c>
      <c r="B12" s="1081" t="s">
        <v>1087</v>
      </c>
      <c r="C12" s="168">
        <v>271484203</v>
      </c>
      <c r="D12" s="168">
        <v>14742292.640000001</v>
      </c>
      <c r="E12" s="168">
        <v>9769988.7699999996</v>
      </c>
      <c r="F12" s="168">
        <v>53759392.630000003</v>
      </c>
      <c r="G12" s="168">
        <v>193212528.96000001</v>
      </c>
      <c r="H12" s="168">
        <v>14014492.25</v>
      </c>
    </row>
    <row r="13" spans="1:9" ht="13.15" customHeight="1">
      <c r="A13" s="168" t="s">
        <v>351</v>
      </c>
      <c r="B13" s="1081" t="s">
        <v>1088</v>
      </c>
      <c r="C13" s="168">
        <v>14507509828.879999</v>
      </c>
      <c r="D13" s="168">
        <v>321256882.88</v>
      </c>
      <c r="E13" s="168">
        <v>212476659.06999999</v>
      </c>
      <c r="F13" s="168">
        <v>1219367091.8499999</v>
      </c>
      <c r="G13" s="168">
        <v>12754409195.08</v>
      </c>
      <c r="H13" s="168">
        <v>801459230.22000003</v>
      </c>
    </row>
    <row r="14" spans="1:9" ht="13.15" customHeight="1">
      <c r="A14" s="168" t="s">
        <v>355</v>
      </c>
      <c r="B14" s="1081" t="s">
        <v>1089</v>
      </c>
      <c r="C14" s="168">
        <v>1682803234.48</v>
      </c>
      <c r="D14" s="168">
        <v>78545492.599999994</v>
      </c>
      <c r="E14" s="168">
        <v>52133867</v>
      </c>
      <c r="F14" s="168">
        <v>290728382.49000001</v>
      </c>
      <c r="G14" s="168">
        <v>1261395492.3900001</v>
      </c>
      <c r="H14" s="168">
        <v>88078642.170000002</v>
      </c>
    </row>
    <row r="15" spans="1:9" ht="13.15" customHeight="1">
      <c r="A15" s="168" t="s">
        <v>359</v>
      </c>
      <c r="B15" s="1081" t="s">
        <v>1090</v>
      </c>
      <c r="C15" s="168">
        <v>85000599.730000004</v>
      </c>
      <c r="D15" s="168">
        <v>4448829.58</v>
      </c>
      <c r="E15" s="168">
        <v>2938589</v>
      </c>
      <c r="F15" s="168">
        <v>15992645.99</v>
      </c>
      <c r="G15" s="168">
        <v>61620535.159999996</v>
      </c>
      <c r="H15" s="168">
        <v>4420780.88</v>
      </c>
    </row>
    <row r="16" spans="1:9" ht="13.15" customHeight="1">
      <c r="A16" s="168" t="s">
        <v>363</v>
      </c>
      <c r="B16" s="1081" t="s">
        <v>1091</v>
      </c>
      <c r="C16" s="168">
        <v>2034701304.27</v>
      </c>
      <c r="D16" s="168">
        <v>78270129.269999996</v>
      </c>
      <c r="E16" s="168">
        <v>51980545</v>
      </c>
      <c r="F16" s="168">
        <v>291259896.67000002</v>
      </c>
      <c r="G16" s="168">
        <v>1613190733.3299999</v>
      </c>
      <c r="H16" s="168">
        <v>108227236</v>
      </c>
    </row>
    <row r="17" spans="1:8" ht="24" customHeight="1">
      <c r="A17" s="168" t="s">
        <v>367</v>
      </c>
      <c r="B17" s="1081" t="s">
        <v>1092</v>
      </c>
      <c r="C17" s="168">
        <v>96323498.849999994</v>
      </c>
      <c r="D17" s="168">
        <v>5065894</v>
      </c>
      <c r="E17" s="168">
        <v>3354995</v>
      </c>
      <c r="F17" s="168">
        <v>18640382.010000002</v>
      </c>
      <c r="G17" s="168">
        <v>69262227.840000004</v>
      </c>
      <c r="H17" s="168">
        <v>4980492.33</v>
      </c>
    </row>
    <row r="18" spans="1:8" ht="13.15" customHeight="1">
      <c r="A18" s="168" t="s">
        <v>371</v>
      </c>
      <c r="B18" s="1081" t="s">
        <v>1093</v>
      </c>
      <c r="C18" s="168">
        <v>858984273.88999999</v>
      </c>
      <c r="D18" s="168">
        <v>33404041.350000001</v>
      </c>
      <c r="E18" s="168">
        <v>22194069</v>
      </c>
      <c r="F18" s="168">
        <v>124888441.98</v>
      </c>
      <c r="G18" s="168">
        <v>678497721.55999994</v>
      </c>
      <c r="H18" s="168">
        <v>45574169.520000003</v>
      </c>
    </row>
    <row r="19" spans="1:8" ht="13.15" customHeight="1">
      <c r="A19" s="168" t="s">
        <v>375</v>
      </c>
      <c r="B19" s="1081" t="s">
        <v>1094</v>
      </c>
      <c r="C19" s="168">
        <v>200924923.58000001</v>
      </c>
      <c r="D19" s="168">
        <v>13175898</v>
      </c>
      <c r="E19" s="168">
        <v>8649292</v>
      </c>
      <c r="F19" s="168">
        <v>45354195.289999999</v>
      </c>
      <c r="G19" s="168">
        <v>133745538.29000001</v>
      </c>
      <c r="H19" s="168">
        <v>10278070.18</v>
      </c>
    </row>
    <row r="20" spans="1:8" ht="13.15" customHeight="1">
      <c r="A20" s="168" t="s">
        <v>379</v>
      </c>
      <c r="B20" s="1081" t="s">
        <v>1095</v>
      </c>
      <c r="C20" s="168">
        <v>200777046.31</v>
      </c>
      <c r="D20" s="168">
        <v>12328203.24</v>
      </c>
      <c r="E20" s="168">
        <v>8171852</v>
      </c>
      <c r="F20" s="168">
        <v>44094107.189999998</v>
      </c>
      <c r="G20" s="168">
        <v>136182883.88</v>
      </c>
      <c r="H20" s="168">
        <v>10259585.98</v>
      </c>
    </row>
    <row r="21" spans="1:8" ht="13.15" customHeight="1">
      <c r="A21" s="168" t="s">
        <v>383</v>
      </c>
      <c r="B21" s="1081" t="s">
        <v>1096</v>
      </c>
      <c r="C21" s="168">
        <v>211181408.90000001</v>
      </c>
      <c r="D21" s="168">
        <v>13005430</v>
      </c>
      <c r="E21" s="168">
        <v>8607906</v>
      </c>
      <c r="F21" s="168">
        <v>46868942.890000001</v>
      </c>
      <c r="G21" s="168">
        <v>142699130.00999999</v>
      </c>
      <c r="H21" s="168">
        <v>10812909.07</v>
      </c>
    </row>
    <row r="22" spans="1:8" ht="24" customHeight="1">
      <c r="A22" s="168" t="s">
        <v>387</v>
      </c>
      <c r="B22" s="1081" t="s">
        <v>1097</v>
      </c>
      <c r="C22" s="168">
        <v>956200633.5</v>
      </c>
      <c r="D22" s="168">
        <v>51683741.57</v>
      </c>
      <c r="E22" s="168">
        <v>34271281</v>
      </c>
      <c r="F22" s="168">
        <v>188353997.58000001</v>
      </c>
      <c r="G22" s="168">
        <v>681891613.35000002</v>
      </c>
      <c r="H22" s="168">
        <v>49436554.850000001</v>
      </c>
    </row>
    <row r="23" spans="1:8" ht="13.15" customHeight="1">
      <c r="A23" s="168" t="s">
        <v>389</v>
      </c>
      <c r="B23" s="1081" t="s">
        <v>1098</v>
      </c>
      <c r="C23" s="168">
        <v>627497257.55999994</v>
      </c>
      <c r="D23" s="168">
        <v>31915770</v>
      </c>
      <c r="E23" s="168">
        <v>21197179</v>
      </c>
      <c r="F23" s="168">
        <v>118223583.44</v>
      </c>
      <c r="G23" s="168">
        <v>456160725.12</v>
      </c>
      <c r="H23" s="168">
        <v>32736206.539999999</v>
      </c>
    </row>
    <row r="24" spans="1:8" ht="13.15" customHeight="1">
      <c r="A24" s="168" t="s">
        <v>392</v>
      </c>
      <c r="B24" s="1081" t="s">
        <v>1099</v>
      </c>
      <c r="C24" s="168">
        <v>378103643.24000001</v>
      </c>
      <c r="D24" s="168">
        <v>23964707.02</v>
      </c>
      <c r="E24" s="168">
        <v>15807272</v>
      </c>
      <c r="F24" s="168">
        <v>84940214.069999993</v>
      </c>
      <c r="G24" s="168">
        <v>253391450.15000001</v>
      </c>
      <c r="H24" s="168">
        <v>19203705.079999998</v>
      </c>
    </row>
    <row r="25" spans="1:8" ht="13.15" customHeight="1">
      <c r="A25" s="168" t="s">
        <v>395</v>
      </c>
      <c r="B25" s="1081" t="s">
        <v>1100</v>
      </c>
      <c r="C25" s="168">
        <v>188201690.84999999</v>
      </c>
      <c r="D25" s="168">
        <v>7244096</v>
      </c>
      <c r="E25" s="168">
        <v>4793511</v>
      </c>
      <c r="F25" s="168">
        <v>26300823.030000001</v>
      </c>
      <c r="G25" s="168">
        <v>149863260.81999999</v>
      </c>
      <c r="H25" s="168">
        <v>10073830.01</v>
      </c>
    </row>
    <row r="26" spans="1:8" ht="13.15" customHeight="1">
      <c r="A26" s="168" t="s">
        <v>398</v>
      </c>
      <c r="B26" s="1081" t="s">
        <v>1101</v>
      </c>
      <c r="C26" s="168">
        <v>162063270.69</v>
      </c>
      <c r="D26" s="168">
        <v>10221084.18</v>
      </c>
      <c r="E26" s="168">
        <v>6745168.1399999997</v>
      </c>
      <c r="F26" s="168">
        <v>36337277.390000001</v>
      </c>
      <c r="G26" s="168">
        <v>108759740.98</v>
      </c>
      <c r="H26" s="168">
        <v>8271873.5300000003</v>
      </c>
    </row>
    <row r="27" spans="1:8" ht="24" customHeight="1">
      <c r="A27" s="168" t="s">
        <v>400</v>
      </c>
      <c r="B27" s="1081" t="s">
        <v>1102</v>
      </c>
      <c r="C27" s="168">
        <v>10722440918.18</v>
      </c>
      <c r="D27" s="168">
        <v>387362167.55000001</v>
      </c>
      <c r="E27" s="168">
        <v>257347306.19999999</v>
      </c>
      <c r="F27" s="168">
        <v>1440829417.5899999</v>
      </c>
      <c r="G27" s="168">
        <v>8636902026.8400002</v>
      </c>
      <c r="H27" s="168">
        <v>574450011.25999999</v>
      </c>
    </row>
    <row r="28" spans="1:8" ht="13.15" customHeight="1">
      <c r="A28" s="168" t="s">
        <v>403</v>
      </c>
      <c r="B28" s="1081" t="s">
        <v>1103</v>
      </c>
      <c r="C28" s="168">
        <v>528445923.00999999</v>
      </c>
      <c r="D28" s="168">
        <v>16852939.550000001</v>
      </c>
      <c r="E28" s="168">
        <v>11147298</v>
      </c>
      <c r="F28" s="168">
        <v>62920895.770000003</v>
      </c>
      <c r="G28" s="168">
        <v>437524789.69</v>
      </c>
      <c r="H28" s="168">
        <v>28539463.460000001</v>
      </c>
    </row>
    <row r="29" spans="1:8" ht="13.15" customHeight="1">
      <c r="A29" s="168" t="s">
        <v>405</v>
      </c>
      <c r="B29" s="1081" t="s">
        <v>1104</v>
      </c>
      <c r="C29" s="168">
        <v>88764340.519999996</v>
      </c>
      <c r="D29" s="168">
        <v>4747896</v>
      </c>
      <c r="E29" s="168">
        <v>3147873</v>
      </c>
      <c r="F29" s="168">
        <v>17439453.620000001</v>
      </c>
      <c r="G29" s="168">
        <v>63429117.899999999</v>
      </c>
      <c r="H29" s="168">
        <v>4580169.84</v>
      </c>
    </row>
    <row r="30" spans="1:8" ht="13.15" customHeight="1">
      <c r="A30" s="168" t="s">
        <v>408</v>
      </c>
      <c r="B30" s="1081" t="s">
        <v>1105</v>
      </c>
      <c r="C30" s="168">
        <v>1263905651.53</v>
      </c>
      <c r="D30" s="168">
        <v>53666533</v>
      </c>
      <c r="E30" s="168">
        <v>35643851</v>
      </c>
      <c r="F30" s="168">
        <v>198422276.40000001</v>
      </c>
      <c r="G30" s="168">
        <v>976172991.13</v>
      </c>
      <c r="H30" s="168">
        <v>66922251.140000001</v>
      </c>
    </row>
    <row r="31" spans="1:8" ht="13.15" customHeight="1">
      <c r="A31" s="168" t="s">
        <v>411</v>
      </c>
      <c r="B31" s="1081" t="s">
        <v>1106</v>
      </c>
      <c r="C31" s="168">
        <v>140376886.19</v>
      </c>
      <c r="D31" s="168">
        <v>8826425</v>
      </c>
      <c r="E31" s="168">
        <v>5839664</v>
      </c>
      <c r="F31" s="168">
        <v>31691056.079999998</v>
      </c>
      <c r="G31" s="168">
        <v>94019741.109999999</v>
      </c>
      <c r="H31" s="168">
        <v>7176535.8499999996</v>
      </c>
    </row>
    <row r="32" spans="1:8" ht="24" customHeight="1">
      <c r="A32" s="168" t="s">
        <v>414</v>
      </c>
      <c r="B32" s="1081" t="s">
        <v>1107</v>
      </c>
      <c r="C32" s="168">
        <v>142173000.56999999</v>
      </c>
      <c r="D32" s="168">
        <v>9015515.8399999999</v>
      </c>
      <c r="E32" s="168">
        <v>5967962</v>
      </c>
      <c r="F32" s="168">
        <v>32584837.719999999</v>
      </c>
      <c r="G32" s="168">
        <v>94604685.010000005</v>
      </c>
      <c r="H32" s="168">
        <v>7212896.21</v>
      </c>
    </row>
    <row r="33" spans="1:9" ht="13.15" customHeight="1">
      <c r="A33" s="168" t="s">
        <v>417</v>
      </c>
      <c r="B33" s="1081" t="s">
        <v>1108</v>
      </c>
      <c r="C33" s="168">
        <v>517019993.06999999</v>
      </c>
      <c r="D33" s="168">
        <v>27873831</v>
      </c>
      <c r="E33" s="168">
        <v>18458227</v>
      </c>
      <c r="F33" s="168">
        <v>101563164.31999999</v>
      </c>
      <c r="G33" s="168">
        <v>369124770.75</v>
      </c>
      <c r="H33" s="168">
        <v>26864375.41</v>
      </c>
    </row>
    <row r="34" spans="1:9" ht="13.15" customHeight="1">
      <c r="A34" s="168" t="s">
        <v>420</v>
      </c>
      <c r="B34" s="1081" t="s">
        <v>1109</v>
      </c>
      <c r="C34" s="168">
        <v>195283128.43000001</v>
      </c>
      <c r="D34" s="168">
        <v>10664221.18</v>
      </c>
      <c r="E34" s="168">
        <v>7063031.5499999998</v>
      </c>
      <c r="F34" s="168">
        <v>38457598.670000002</v>
      </c>
      <c r="G34" s="168">
        <v>139098277.03</v>
      </c>
      <c r="H34" s="168">
        <v>10160918.699999999</v>
      </c>
    </row>
    <row r="35" spans="1:9" ht="13.15" customHeight="1">
      <c r="A35" s="339" t="s">
        <v>423</v>
      </c>
      <c r="B35" s="1081" t="s">
        <v>1110</v>
      </c>
      <c r="C35" s="339">
        <v>59500646310.220001</v>
      </c>
      <c r="D35" s="339">
        <v>1283824881.75</v>
      </c>
      <c r="E35" s="339">
        <v>851118987.46000004</v>
      </c>
      <c r="F35" s="339">
        <v>4834456604.1700001</v>
      </c>
      <c r="G35" s="339">
        <v>52531245836.839996</v>
      </c>
      <c r="H35" s="339">
        <v>3279727242.6700001</v>
      </c>
    </row>
    <row r="36" spans="1:9" ht="13.15" customHeight="1">
      <c r="A36" s="339" t="s">
        <v>426</v>
      </c>
      <c r="B36" s="1081" t="s">
        <v>1111</v>
      </c>
      <c r="C36" s="339">
        <v>3170938054.1900001</v>
      </c>
      <c r="D36" s="339">
        <v>81649103.819999993</v>
      </c>
      <c r="E36" s="339">
        <v>54248424.219999999</v>
      </c>
      <c r="F36" s="339">
        <v>307179914.60000002</v>
      </c>
      <c r="G36" s="339">
        <v>2727860611.5500002</v>
      </c>
      <c r="H36" s="339">
        <v>173225695.21000001</v>
      </c>
      <c r="I36" s="610"/>
    </row>
    <row r="37" spans="1:9" ht="24" customHeight="1">
      <c r="A37" s="168" t="s">
        <v>429</v>
      </c>
      <c r="B37" s="1081" t="s">
        <v>1112</v>
      </c>
      <c r="C37" s="168">
        <v>264634535.15000001</v>
      </c>
      <c r="D37" s="168">
        <v>13527357</v>
      </c>
      <c r="E37" s="168">
        <v>8969661</v>
      </c>
      <c r="F37" s="168">
        <v>49554921.280000001</v>
      </c>
      <c r="G37" s="168">
        <v>192582595.87</v>
      </c>
      <c r="H37" s="168">
        <v>13716628.09</v>
      </c>
    </row>
    <row r="38" spans="1:9" ht="13.15" customHeight="1">
      <c r="A38" s="168" t="s">
        <v>431</v>
      </c>
      <c r="B38" s="1081" t="s">
        <v>1113</v>
      </c>
      <c r="C38" s="168">
        <v>605795988.86000001</v>
      </c>
      <c r="D38" s="168">
        <v>27713749</v>
      </c>
      <c r="E38" s="168">
        <v>18424637</v>
      </c>
      <c r="F38" s="168">
        <v>103450746.68000001</v>
      </c>
      <c r="G38" s="168">
        <v>456206856.18000001</v>
      </c>
      <c r="H38" s="168">
        <v>31757120.859999999</v>
      </c>
    </row>
    <row r="39" spans="1:9" ht="13.15" customHeight="1">
      <c r="A39" s="168" t="s">
        <v>434</v>
      </c>
      <c r="B39" s="1081" t="s">
        <v>1114</v>
      </c>
      <c r="C39" s="168">
        <v>1083374080.46</v>
      </c>
      <c r="D39" s="168">
        <v>50015503.100000001</v>
      </c>
      <c r="E39" s="168">
        <v>33155099</v>
      </c>
      <c r="F39" s="168">
        <v>182585983.38</v>
      </c>
      <c r="G39" s="168">
        <v>817617494.98000002</v>
      </c>
      <c r="H39" s="168">
        <v>56892531.689999998</v>
      </c>
    </row>
    <row r="40" spans="1:9" ht="13.15" customHeight="1">
      <c r="A40" s="168" t="s">
        <v>436</v>
      </c>
      <c r="B40" s="1081" t="s">
        <v>1115</v>
      </c>
      <c r="C40" s="168">
        <v>2553870151.75</v>
      </c>
      <c r="D40" s="168">
        <v>102020253.98</v>
      </c>
      <c r="E40" s="168">
        <v>67728249.810000002</v>
      </c>
      <c r="F40" s="168">
        <v>380210530.94</v>
      </c>
      <c r="G40" s="168">
        <v>2003911117.02</v>
      </c>
      <c r="H40" s="168">
        <v>135714639.08000001</v>
      </c>
    </row>
    <row r="41" spans="1:9" ht="13.15" customHeight="1">
      <c r="A41" s="168" t="s">
        <v>439</v>
      </c>
      <c r="B41" s="1081" t="s">
        <v>1116</v>
      </c>
      <c r="C41" s="168">
        <v>279640201.5</v>
      </c>
      <c r="D41" s="168">
        <v>15604235.77</v>
      </c>
      <c r="E41" s="168">
        <v>10347722</v>
      </c>
      <c r="F41" s="168">
        <v>57384821.899999999</v>
      </c>
      <c r="G41" s="168">
        <v>196303421.83000001</v>
      </c>
      <c r="H41" s="168">
        <v>14394133.720000001</v>
      </c>
    </row>
    <row r="42" spans="1:9" ht="16" customHeight="1">
      <c r="A42" s="1129" t="s">
        <v>616</v>
      </c>
      <c r="B42" s="1086"/>
      <c r="C42" s="337"/>
      <c r="D42" s="337"/>
      <c r="E42" s="337"/>
      <c r="F42" s="337"/>
      <c r="G42" s="337"/>
      <c r="H42" s="337"/>
      <c r="I42" s="610"/>
    </row>
    <row r="43" spans="1:9" ht="14.9" customHeight="1">
      <c r="A43" s="1130" t="s">
        <v>615</v>
      </c>
      <c r="B43" s="1086"/>
      <c r="C43" s="337"/>
      <c r="D43" s="337"/>
      <c r="E43" s="337"/>
      <c r="F43" s="337"/>
      <c r="G43" s="337"/>
      <c r="H43" s="337"/>
    </row>
    <row r="44" spans="1:9" ht="14" customHeight="1">
      <c r="A44" s="1131" t="str">
        <f>A3</f>
        <v>Taxable Year 2020</v>
      </c>
      <c r="B44" s="1086"/>
      <c r="C44" s="336"/>
      <c r="D44" s="336"/>
      <c r="E44" s="336"/>
      <c r="F44" s="336"/>
      <c r="G44" s="336"/>
      <c r="H44" s="336"/>
    </row>
    <row r="45" spans="1:9" ht="3" customHeight="1">
      <c r="A45" s="280"/>
      <c r="B45" s="1087"/>
      <c r="C45" s="337"/>
      <c r="D45" s="337"/>
      <c r="E45" s="337"/>
      <c r="F45" s="337"/>
      <c r="G45" s="337"/>
      <c r="H45" s="337"/>
    </row>
    <row r="46" spans="1:9" ht="3" customHeight="1" thickBot="1">
      <c r="A46" s="280"/>
      <c r="B46" s="1088"/>
      <c r="C46" s="279"/>
      <c r="D46" s="279"/>
      <c r="E46" s="279"/>
      <c r="F46" s="279"/>
      <c r="G46" s="279"/>
      <c r="H46" s="279"/>
      <c r="I46" s="610"/>
    </row>
    <row r="47" spans="1:9" ht="26">
      <c r="A47" s="1078" t="s">
        <v>21</v>
      </c>
      <c r="B47" s="1080" t="s">
        <v>963</v>
      </c>
      <c r="C47" s="1079" t="s">
        <v>928</v>
      </c>
      <c r="D47" s="1079" t="s">
        <v>1078</v>
      </c>
      <c r="E47" s="1079" t="s">
        <v>1079</v>
      </c>
      <c r="F47" s="1079" t="s">
        <v>1080</v>
      </c>
      <c r="G47" s="1079" t="s">
        <v>1081</v>
      </c>
      <c r="H47" s="1079" t="s">
        <v>929</v>
      </c>
    </row>
    <row r="48" spans="1:9" ht="24" customHeight="1">
      <c r="A48" s="168" t="s">
        <v>442</v>
      </c>
      <c r="B48" s="1081" t="s">
        <v>1117</v>
      </c>
      <c r="C48" s="609">
        <v>876482855.09000003</v>
      </c>
      <c r="D48" s="609">
        <v>40056336.899999999</v>
      </c>
      <c r="E48" s="609">
        <v>26595592.379999999</v>
      </c>
      <c r="F48" s="609">
        <v>148071011.61000001</v>
      </c>
      <c r="G48" s="609">
        <v>661759914.20000005</v>
      </c>
      <c r="H48" s="609">
        <v>46046684.229999997</v>
      </c>
    </row>
    <row r="49" spans="1:8" ht="13.15" customHeight="1">
      <c r="A49" s="168" t="s">
        <v>444</v>
      </c>
      <c r="B49" s="1081" t="s">
        <v>1118</v>
      </c>
      <c r="C49" s="336">
        <v>1447017386.3599999</v>
      </c>
      <c r="D49" s="336">
        <v>27421138.199999999</v>
      </c>
      <c r="E49" s="336">
        <v>18230787</v>
      </c>
      <c r="F49" s="336">
        <v>104057652.16</v>
      </c>
      <c r="G49" s="336">
        <v>1297307809</v>
      </c>
      <c r="H49" s="336">
        <v>80022120.609999999</v>
      </c>
    </row>
    <row r="50" spans="1:8" ht="13.15" customHeight="1">
      <c r="A50" s="168" t="s">
        <v>446</v>
      </c>
      <c r="B50" s="1081" t="s">
        <v>1119</v>
      </c>
      <c r="C50" s="336">
        <v>185019715.15000001</v>
      </c>
      <c r="D50" s="336">
        <v>12401360.57</v>
      </c>
      <c r="E50" s="336">
        <v>8189649</v>
      </c>
      <c r="F50" s="336">
        <v>44342842.799999997</v>
      </c>
      <c r="G50" s="336">
        <v>120085862.78</v>
      </c>
      <c r="H50" s="336">
        <v>9329574.5299999993</v>
      </c>
    </row>
    <row r="51" spans="1:8" ht="13.15" customHeight="1">
      <c r="A51" s="168" t="s">
        <v>449</v>
      </c>
      <c r="B51" s="1081" t="s">
        <v>1120</v>
      </c>
      <c r="C51" s="336">
        <v>424907578.60000002</v>
      </c>
      <c r="D51" s="336">
        <v>20607209.010000002</v>
      </c>
      <c r="E51" s="336">
        <v>13681434</v>
      </c>
      <c r="F51" s="336">
        <v>76384751.680000007</v>
      </c>
      <c r="G51" s="336">
        <v>314234183.91000003</v>
      </c>
      <c r="H51" s="336">
        <v>22173616.920000002</v>
      </c>
    </row>
    <row r="52" spans="1:8" ht="13.15" customHeight="1">
      <c r="A52" s="168" t="s">
        <v>452</v>
      </c>
      <c r="B52" s="1081" t="s">
        <v>1121</v>
      </c>
      <c r="C52" s="336">
        <v>157107178.16</v>
      </c>
      <c r="D52" s="336">
        <v>10861772.24</v>
      </c>
      <c r="E52" s="336">
        <v>7061194.7300000004</v>
      </c>
      <c r="F52" s="336">
        <v>36678174.119999997</v>
      </c>
      <c r="G52" s="336">
        <v>102506037.06999999</v>
      </c>
      <c r="H52" s="336">
        <v>8026325.5700000003</v>
      </c>
    </row>
    <row r="53" spans="1:8" ht="24" customHeight="1">
      <c r="A53" s="168" t="s">
        <v>328</v>
      </c>
      <c r="B53" s="1081" t="s">
        <v>1122</v>
      </c>
      <c r="C53" s="336">
        <v>532339073.64999998</v>
      </c>
      <c r="D53" s="336">
        <v>30934530.739999998</v>
      </c>
      <c r="E53" s="336">
        <v>20372012.859999999</v>
      </c>
      <c r="F53" s="336">
        <v>109935197.01000001</v>
      </c>
      <c r="G53" s="336">
        <v>371097333.04000002</v>
      </c>
      <c r="H53" s="336">
        <v>27517635.129999999</v>
      </c>
    </row>
    <row r="54" spans="1:8" ht="13.15" customHeight="1">
      <c r="A54" s="168" t="s">
        <v>332</v>
      </c>
      <c r="B54" s="1081" t="s">
        <v>1123</v>
      </c>
      <c r="C54" s="336">
        <v>3675919398.1599998</v>
      </c>
      <c r="D54" s="336">
        <v>120564578.76000001</v>
      </c>
      <c r="E54" s="336">
        <v>80066224</v>
      </c>
      <c r="F54" s="336">
        <v>453721968.5</v>
      </c>
      <c r="G54" s="336">
        <v>3021566626.9000001</v>
      </c>
      <c r="H54" s="336">
        <v>197512629.06</v>
      </c>
    </row>
    <row r="55" spans="1:8" ht="13.15" customHeight="1">
      <c r="A55" s="168" t="s">
        <v>336</v>
      </c>
      <c r="B55" s="1081" t="s">
        <v>1124</v>
      </c>
      <c r="C55" s="336">
        <v>10413715689.139999</v>
      </c>
      <c r="D55" s="336">
        <v>363581002.75</v>
      </c>
      <c r="E55" s="336">
        <v>241334662.56</v>
      </c>
      <c r="F55" s="336">
        <v>1344981260.0999999</v>
      </c>
      <c r="G55" s="336">
        <v>8463818763.7299995</v>
      </c>
      <c r="H55" s="336">
        <v>560754548.91999996</v>
      </c>
    </row>
    <row r="56" spans="1:8" ht="13.15" customHeight="1">
      <c r="A56" s="168" t="s">
        <v>340</v>
      </c>
      <c r="B56" s="1081" t="s">
        <v>1125</v>
      </c>
      <c r="C56" s="336">
        <v>675756930.88999999</v>
      </c>
      <c r="D56" s="336">
        <v>45537526</v>
      </c>
      <c r="E56" s="336">
        <v>30075356</v>
      </c>
      <c r="F56" s="336">
        <v>161547761.68000001</v>
      </c>
      <c r="G56" s="336">
        <v>438596287.20999998</v>
      </c>
      <c r="H56" s="336">
        <v>34251225.479999997</v>
      </c>
    </row>
    <row r="57" spans="1:8" ht="13.15" customHeight="1">
      <c r="A57" s="168" t="s">
        <v>344</v>
      </c>
      <c r="B57" s="1081" t="s">
        <v>1126</v>
      </c>
      <c r="C57" s="336">
        <v>41800554.859999999</v>
      </c>
      <c r="D57" s="336">
        <v>1981695</v>
      </c>
      <c r="E57" s="336">
        <v>1306337.24</v>
      </c>
      <c r="F57" s="336">
        <v>7162083</v>
      </c>
      <c r="G57" s="336">
        <v>31350439.620000001</v>
      </c>
      <c r="H57" s="336">
        <v>2191050.86</v>
      </c>
    </row>
    <row r="58" spans="1:8" ht="24" customHeight="1">
      <c r="A58" s="168" t="s">
        <v>348</v>
      </c>
      <c r="B58" s="1081" t="s">
        <v>1127</v>
      </c>
      <c r="C58" s="336">
        <v>1038937933</v>
      </c>
      <c r="D58" s="336">
        <v>40338816.990000002</v>
      </c>
      <c r="E58" s="336">
        <v>26767828</v>
      </c>
      <c r="F58" s="336">
        <v>150093178.59</v>
      </c>
      <c r="G58" s="336">
        <v>821738109.41999996</v>
      </c>
      <c r="H58" s="336">
        <v>55296111.359999999</v>
      </c>
    </row>
    <row r="59" spans="1:8" ht="13.15" customHeight="1">
      <c r="A59" s="168" t="s">
        <v>352</v>
      </c>
      <c r="B59" s="1081" t="s">
        <v>1128</v>
      </c>
      <c r="C59" s="336">
        <v>2628545145.27</v>
      </c>
      <c r="D59" s="336">
        <v>82881125</v>
      </c>
      <c r="E59" s="336">
        <v>54955887</v>
      </c>
      <c r="F59" s="336">
        <v>308539640.06</v>
      </c>
      <c r="G59" s="336">
        <v>2182168493.21</v>
      </c>
      <c r="H59" s="336">
        <v>141788232.19</v>
      </c>
    </row>
    <row r="60" spans="1:8" ht="13.15" customHeight="1">
      <c r="A60" s="168" t="s">
        <v>356</v>
      </c>
      <c r="B60" s="1081" t="s">
        <v>1129</v>
      </c>
      <c r="C60" s="336">
        <v>143315241.88999999</v>
      </c>
      <c r="D60" s="336">
        <v>6990845.2699999996</v>
      </c>
      <c r="E60" s="336">
        <v>4639206</v>
      </c>
      <c r="F60" s="336">
        <v>25491248</v>
      </c>
      <c r="G60" s="336">
        <v>106193942.62</v>
      </c>
      <c r="H60" s="336">
        <v>7524152.0199999996</v>
      </c>
    </row>
    <row r="61" spans="1:8" ht="13.15" customHeight="1">
      <c r="A61" s="168" t="s">
        <v>360</v>
      </c>
      <c r="B61" s="1081" t="s">
        <v>1130</v>
      </c>
      <c r="C61" s="336">
        <v>805408359.13</v>
      </c>
      <c r="D61" s="336">
        <v>29737179.420000002</v>
      </c>
      <c r="E61" s="336">
        <v>19619406</v>
      </c>
      <c r="F61" s="336">
        <v>109877148.72</v>
      </c>
      <c r="G61" s="336">
        <v>646174624.99000001</v>
      </c>
      <c r="H61" s="336">
        <v>43102058.439999998</v>
      </c>
    </row>
    <row r="62" spans="1:8" ht="13.15" customHeight="1">
      <c r="A62" s="168" t="s">
        <v>364</v>
      </c>
      <c r="B62" s="1081" t="s">
        <v>1131</v>
      </c>
      <c r="C62" s="336">
        <v>397858308.92000002</v>
      </c>
      <c r="D62" s="336">
        <v>19426730</v>
      </c>
      <c r="E62" s="336">
        <v>12865315</v>
      </c>
      <c r="F62" s="336">
        <v>72246950.060000002</v>
      </c>
      <c r="G62" s="336">
        <v>293319313.86000001</v>
      </c>
      <c r="H62" s="336">
        <v>20751424.82</v>
      </c>
    </row>
    <row r="63" spans="1:8" ht="24" customHeight="1">
      <c r="A63" s="168" t="s">
        <v>368</v>
      </c>
      <c r="B63" s="1081" t="s">
        <v>1132</v>
      </c>
      <c r="C63" s="336">
        <v>292853906.44999999</v>
      </c>
      <c r="D63" s="336">
        <v>11346148.039999999</v>
      </c>
      <c r="E63" s="336">
        <v>7470927</v>
      </c>
      <c r="F63" s="336">
        <v>40562800.789999999</v>
      </c>
      <c r="G63" s="336">
        <v>233474030.62</v>
      </c>
      <c r="H63" s="336">
        <v>15653092.550000001</v>
      </c>
    </row>
    <row r="64" spans="1:8" ht="13.15" customHeight="1">
      <c r="A64" s="168" t="s">
        <v>372</v>
      </c>
      <c r="B64" s="1081" t="s">
        <v>1133</v>
      </c>
      <c r="C64" s="336">
        <v>212643104.61000001</v>
      </c>
      <c r="D64" s="336">
        <v>14563566</v>
      </c>
      <c r="E64" s="336">
        <v>9602520</v>
      </c>
      <c r="F64" s="336">
        <v>51582935.909999996</v>
      </c>
      <c r="G64" s="336">
        <v>136894082.69999999</v>
      </c>
      <c r="H64" s="336">
        <v>10705708.699999999</v>
      </c>
    </row>
    <row r="65" spans="1:9" ht="13.15" customHeight="1">
      <c r="A65" s="168" t="s">
        <v>376</v>
      </c>
      <c r="B65" s="1081" t="s">
        <v>1134</v>
      </c>
      <c r="C65" s="336">
        <v>21859803856.110001</v>
      </c>
      <c r="D65" s="336">
        <v>467155637.88</v>
      </c>
      <c r="E65" s="336">
        <v>310174929.12</v>
      </c>
      <c r="F65" s="336">
        <v>1776604309.9100001</v>
      </c>
      <c r="G65" s="336">
        <v>19305868979.200001</v>
      </c>
      <c r="H65" s="336">
        <v>1202920442.6400001</v>
      </c>
    </row>
    <row r="66" spans="1:9" ht="13.15" customHeight="1">
      <c r="A66" s="168" t="s">
        <v>380</v>
      </c>
      <c r="B66" s="1081" t="s">
        <v>1135</v>
      </c>
      <c r="C66" s="336">
        <v>891916982.5</v>
      </c>
      <c r="D66" s="336">
        <v>39466480.740000002</v>
      </c>
      <c r="E66" s="336">
        <v>26210543</v>
      </c>
      <c r="F66" s="336">
        <v>146236601.37</v>
      </c>
      <c r="G66" s="336">
        <v>680003357.38999999</v>
      </c>
      <c r="H66" s="336">
        <v>47023122.939999998</v>
      </c>
    </row>
    <row r="67" spans="1:9" ht="13.15" customHeight="1">
      <c r="A67" s="168" t="s">
        <v>384</v>
      </c>
      <c r="B67" s="1081" t="s">
        <v>1136</v>
      </c>
      <c r="C67" s="336">
        <v>153627737.18000001</v>
      </c>
      <c r="D67" s="336">
        <v>9481797</v>
      </c>
      <c r="E67" s="336">
        <v>6281636</v>
      </c>
      <c r="F67" s="336">
        <v>34097803.270000003</v>
      </c>
      <c r="G67" s="336">
        <v>103766500.91</v>
      </c>
      <c r="H67" s="336">
        <v>7879000.2000000002</v>
      </c>
    </row>
    <row r="68" spans="1:9" ht="24" customHeight="1">
      <c r="A68" s="168" t="s">
        <v>388</v>
      </c>
      <c r="B68" s="1081" t="s">
        <v>1137</v>
      </c>
      <c r="C68" s="336">
        <v>325827079.75999999</v>
      </c>
      <c r="D68" s="336">
        <v>13155579</v>
      </c>
      <c r="E68" s="336">
        <v>8725965</v>
      </c>
      <c r="F68" s="336">
        <v>48605418.880000003</v>
      </c>
      <c r="G68" s="336">
        <v>255340116.88</v>
      </c>
      <c r="H68" s="336">
        <v>17297876.82</v>
      </c>
    </row>
    <row r="69" spans="1:9" ht="13.15" customHeight="1">
      <c r="A69" s="168" t="s">
        <v>390</v>
      </c>
      <c r="B69" s="1081" t="s">
        <v>1138</v>
      </c>
      <c r="C69" s="336">
        <v>208872842.50999999</v>
      </c>
      <c r="D69" s="336">
        <v>8790200.9100000001</v>
      </c>
      <c r="E69" s="336">
        <v>5836876</v>
      </c>
      <c r="F69" s="336">
        <v>32269701.539999999</v>
      </c>
      <c r="G69" s="336">
        <v>161976064.06</v>
      </c>
      <c r="H69" s="336">
        <v>11051369.710000001</v>
      </c>
    </row>
    <row r="70" spans="1:9" ht="13.15" customHeight="1">
      <c r="A70" s="168" t="s">
        <v>393</v>
      </c>
      <c r="B70" s="1081" t="s">
        <v>1139</v>
      </c>
      <c r="C70" s="336">
        <v>525271564.79000002</v>
      </c>
      <c r="D70" s="336">
        <v>29375718.010000002</v>
      </c>
      <c r="E70" s="336">
        <v>19323797.07</v>
      </c>
      <c r="F70" s="336">
        <v>103079765.48</v>
      </c>
      <c r="G70" s="336">
        <v>373492284.23000002</v>
      </c>
      <c r="H70" s="336">
        <v>27264828.66</v>
      </c>
    </row>
    <row r="71" spans="1:9" ht="13.15" customHeight="1">
      <c r="A71" s="339" t="s">
        <v>396</v>
      </c>
      <c r="B71" s="1081" t="s">
        <v>1140</v>
      </c>
      <c r="C71" s="337">
        <v>237880395.72999999</v>
      </c>
      <c r="D71" s="337">
        <v>10306994</v>
      </c>
      <c r="E71" s="337">
        <v>6815166</v>
      </c>
      <c r="F71" s="337">
        <v>37263669.740000002</v>
      </c>
      <c r="G71" s="337">
        <v>183494565.99000001</v>
      </c>
      <c r="H71" s="337">
        <v>12584623.310000001</v>
      </c>
    </row>
    <row r="72" spans="1:9" ht="13.15" customHeight="1">
      <c r="A72" s="339" t="s">
        <v>399</v>
      </c>
      <c r="B72" s="1081" t="s">
        <v>1141</v>
      </c>
      <c r="C72" s="337">
        <v>2033534670.72</v>
      </c>
      <c r="D72" s="337">
        <v>82435308.810000002</v>
      </c>
      <c r="E72" s="337">
        <v>54508488.649999999</v>
      </c>
      <c r="F72" s="337">
        <v>301455621.45999998</v>
      </c>
      <c r="G72" s="337">
        <v>1595135251.8</v>
      </c>
      <c r="H72" s="337">
        <v>108089378.03</v>
      </c>
      <c r="I72" s="610"/>
    </row>
    <row r="73" spans="1:9" ht="24" customHeight="1">
      <c r="A73" s="168" t="s">
        <v>401</v>
      </c>
      <c r="B73" s="1081" t="s">
        <v>1142</v>
      </c>
      <c r="C73" s="607">
        <v>347644336.14999998</v>
      </c>
      <c r="D73" s="607">
        <v>15597739</v>
      </c>
      <c r="E73" s="607">
        <v>10338683</v>
      </c>
      <c r="F73" s="607">
        <v>57120185.789999999</v>
      </c>
      <c r="G73" s="607">
        <v>264587728.36000001</v>
      </c>
      <c r="H73" s="607">
        <v>18315880</v>
      </c>
    </row>
    <row r="74" spans="1:9" ht="13.15" customHeight="1">
      <c r="A74" s="168" t="s">
        <v>404</v>
      </c>
      <c r="B74" s="1081" t="s">
        <v>1143</v>
      </c>
      <c r="C74" s="607">
        <v>725178617.51999998</v>
      </c>
      <c r="D74" s="607">
        <v>26150550</v>
      </c>
      <c r="E74" s="607">
        <v>17364976</v>
      </c>
      <c r="F74" s="607">
        <v>98311218.810000002</v>
      </c>
      <c r="G74" s="607">
        <v>583351872.71000004</v>
      </c>
      <c r="H74" s="607">
        <v>38684336.399999999</v>
      </c>
    </row>
    <row r="75" spans="1:9" ht="13.15" customHeight="1">
      <c r="A75" s="168" t="s">
        <v>406</v>
      </c>
      <c r="B75" s="1081" t="s">
        <v>1144</v>
      </c>
      <c r="C75" s="607">
        <v>228225298.58000001</v>
      </c>
      <c r="D75" s="607">
        <v>11257756</v>
      </c>
      <c r="E75" s="607">
        <v>7424345</v>
      </c>
      <c r="F75" s="607">
        <v>39268079.68</v>
      </c>
      <c r="G75" s="607">
        <v>170275117.90000001</v>
      </c>
      <c r="H75" s="607">
        <v>12005186.869999999</v>
      </c>
    </row>
    <row r="76" spans="1:9" ht="13.15" customHeight="1">
      <c r="A76" s="168" t="s">
        <v>409</v>
      </c>
      <c r="B76" s="1081" t="s">
        <v>1145</v>
      </c>
      <c r="C76" s="607">
        <v>284823808.12</v>
      </c>
      <c r="D76" s="607">
        <v>12114099.4</v>
      </c>
      <c r="E76" s="607">
        <v>8024879</v>
      </c>
      <c r="F76" s="607">
        <v>44223282.509999998</v>
      </c>
      <c r="G76" s="607">
        <v>220461547.21000001</v>
      </c>
      <c r="H76" s="607">
        <v>15089099.460000001</v>
      </c>
    </row>
    <row r="77" spans="1:9" ht="13.15" customHeight="1">
      <c r="A77" s="168" t="s">
        <v>412</v>
      </c>
      <c r="B77" s="1081" t="s">
        <v>1146</v>
      </c>
      <c r="C77" s="607">
        <v>197135793.40000001</v>
      </c>
      <c r="D77" s="607">
        <v>12259060.189999999</v>
      </c>
      <c r="E77" s="607">
        <v>8115743.29</v>
      </c>
      <c r="F77" s="607">
        <v>44189068.460000001</v>
      </c>
      <c r="G77" s="607">
        <v>132571921.45999999</v>
      </c>
      <c r="H77" s="607">
        <v>10099893.42</v>
      </c>
    </row>
    <row r="78" spans="1:9" ht="24" customHeight="1">
      <c r="A78" s="168" t="s">
        <v>415</v>
      </c>
      <c r="B78" s="1081" t="s">
        <v>1147</v>
      </c>
      <c r="C78" s="607">
        <v>886689451.91999996</v>
      </c>
      <c r="D78" s="607">
        <v>41057108.990000002</v>
      </c>
      <c r="E78" s="607">
        <v>27248782</v>
      </c>
      <c r="F78" s="607">
        <v>152129320.13999999</v>
      </c>
      <c r="G78" s="607">
        <v>666254240.78999996</v>
      </c>
      <c r="H78" s="607">
        <v>46639173.950000003</v>
      </c>
    </row>
    <row r="79" spans="1:9" ht="13.15" customHeight="1">
      <c r="A79" s="168" t="s">
        <v>418</v>
      </c>
      <c r="B79" s="1081" t="s">
        <v>1148</v>
      </c>
      <c r="C79" s="607">
        <v>384641590.25999999</v>
      </c>
      <c r="D79" s="607">
        <v>22219247</v>
      </c>
      <c r="E79" s="607">
        <v>14759202</v>
      </c>
      <c r="F79" s="607">
        <v>81250618.739999995</v>
      </c>
      <c r="G79" s="607">
        <v>266412522.52000001</v>
      </c>
      <c r="H79" s="607">
        <v>19759424.760000002</v>
      </c>
    </row>
    <row r="80" spans="1:9" ht="13.15" customHeight="1">
      <c r="A80" s="168" t="s">
        <v>421</v>
      </c>
      <c r="B80" s="1081" t="s">
        <v>1149</v>
      </c>
      <c r="C80" s="607">
        <v>227687542.5</v>
      </c>
      <c r="D80" s="607">
        <v>14106716</v>
      </c>
      <c r="E80" s="607">
        <v>9321875</v>
      </c>
      <c r="F80" s="607">
        <v>50380078.880000003</v>
      </c>
      <c r="G80" s="607">
        <v>153878872.62</v>
      </c>
      <c r="H80" s="607">
        <v>11605508.810000001</v>
      </c>
    </row>
    <row r="81" spans="1:9" ht="13.15" customHeight="1">
      <c r="A81" s="168" t="s">
        <v>424</v>
      </c>
      <c r="B81" s="1081" t="s">
        <v>1150</v>
      </c>
      <c r="C81" s="607">
        <v>973791956.19000006</v>
      </c>
      <c r="D81" s="607">
        <v>55299202</v>
      </c>
      <c r="E81" s="607">
        <v>36670048</v>
      </c>
      <c r="F81" s="607">
        <v>200139291.00999999</v>
      </c>
      <c r="G81" s="607">
        <v>681683415.17999995</v>
      </c>
      <c r="H81" s="607">
        <v>50202223.170000002</v>
      </c>
    </row>
    <row r="82" spans="1:9" ht="13.15" customHeight="1">
      <c r="A82" s="168" t="s">
        <v>427</v>
      </c>
      <c r="B82" s="1081" t="s">
        <v>1151</v>
      </c>
      <c r="C82" s="607">
        <v>1145252318.8599999</v>
      </c>
      <c r="D82" s="607">
        <v>32580296</v>
      </c>
      <c r="E82" s="607">
        <v>21662042</v>
      </c>
      <c r="F82" s="607">
        <v>122482726.42</v>
      </c>
      <c r="G82" s="607">
        <v>968527254.44000006</v>
      </c>
      <c r="H82" s="607">
        <v>62060744.130000003</v>
      </c>
    </row>
    <row r="83" spans="1:9" ht="16" customHeight="1">
      <c r="A83" s="1129" t="s">
        <v>616</v>
      </c>
      <c r="B83" s="1086"/>
      <c r="C83" s="337"/>
      <c r="D83" s="337"/>
      <c r="E83" s="337"/>
      <c r="F83" s="337"/>
      <c r="G83" s="337"/>
      <c r="H83" s="337"/>
      <c r="I83" s="610"/>
    </row>
    <row r="84" spans="1:9" ht="14.9" customHeight="1">
      <c r="A84" s="1130" t="s">
        <v>615</v>
      </c>
      <c r="B84" s="1086"/>
      <c r="C84" s="337"/>
      <c r="D84" s="337"/>
      <c r="E84" s="337"/>
      <c r="F84" s="337"/>
      <c r="G84" s="337"/>
      <c r="H84" s="337"/>
    </row>
    <row r="85" spans="1:9" ht="14" customHeight="1">
      <c r="A85" s="1131" t="str">
        <f>A3</f>
        <v>Taxable Year 2020</v>
      </c>
      <c r="B85" s="1086"/>
      <c r="C85" s="336"/>
      <c r="D85" s="336"/>
      <c r="E85" s="336"/>
      <c r="F85" s="336"/>
      <c r="G85" s="336"/>
      <c r="H85" s="336"/>
    </row>
    <row r="86" spans="1:9" ht="3" customHeight="1">
      <c r="A86" s="280"/>
      <c r="B86" s="1087"/>
      <c r="C86" s="337"/>
      <c r="D86" s="337"/>
      <c r="E86" s="337"/>
      <c r="F86" s="337"/>
      <c r="G86" s="337"/>
      <c r="H86" s="337"/>
    </row>
    <row r="87" spans="1:9" ht="3" customHeight="1" thickBot="1">
      <c r="A87" s="280"/>
      <c r="B87" s="1088"/>
      <c r="C87" s="279"/>
      <c r="D87" s="279"/>
      <c r="E87" s="279"/>
      <c r="F87" s="279"/>
      <c r="G87" s="279"/>
      <c r="H87" s="279"/>
      <c r="I87" s="610"/>
    </row>
    <row r="88" spans="1:9" ht="26">
      <c r="A88" s="1078" t="s">
        <v>21</v>
      </c>
      <c r="B88" s="1080" t="s">
        <v>963</v>
      </c>
      <c r="C88" s="1079" t="s">
        <v>928</v>
      </c>
      <c r="D88" s="1079" t="s">
        <v>1078</v>
      </c>
      <c r="E88" s="1079" t="s">
        <v>1079</v>
      </c>
      <c r="F88" s="1079" t="s">
        <v>1080</v>
      </c>
      <c r="G88" s="1079" t="s">
        <v>1081</v>
      </c>
      <c r="H88" s="1079" t="s">
        <v>929</v>
      </c>
    </row>
    <row r="89" spans="1:9" ht="24" customHeight="1">
      <c r="A89" s="168" t="s">
        <v>430</v>
      </c>
      <c r="B89" s="1081" t="s">
        <v>1152</v>
      </c>
      <c r="C89" s="607">
        <v>280032772.31999999</v>
      </c>
      <c r="D89" s="607">
        <v>16596772.460000001</v>
      </c>
      <c r="E89" s="607">
        <v>11017576</v>
      </c>
      <c r="F89" s="607">
        <v>59379157.829999998</v>
      </c>
      <c r="G89" s="607">
        <v>193039266.03</v>
      </c>
      <c r="H89" s="607">
        <v>14425352.810000001</v>
      </c>
    </row>
    <row r="90" spans="1:9" ht="13.15" customHeight="1">
      <c r="A90" s="168" t="s">
        <v>432</v>
      </c>
      <c r="B90" s="1081" t="s">
        <v>1153</v>
      </c>
      <c r="C90" s="607">
        <v>685660039</v>
      </c>
      <c r="D90" s="607">
        <v>32943304.969999999</v>
      </c>
      <c r="E90" s="607">
        <v>21724227.010000002</v>
      </c>
      <c r="F90" s="607">
        <v>119189895.08</v>
      </c>
      <c r="G90" s="607">
        <v>511802611.94</v>
      </c>
      <c r="H90" s="607">
        <v>35969241.990000002</v>
      </c>
    </row>
    <row r="91" spans="1:9" ht="13.15" customHeight="1">
      <c r="A91" s="168" t="s">
        <v>435</v>
      </c>
      <c r="B91" s="1081" t="s">
        <v>1154</v>
      </c>
      <c r="C91" s="607">
        <v>14906679382.6</v>
      </c>
      <c r="D91" s="607">
        <v>518808602.86000001</v>
      </c>
      <c r="E91" s="607">
        <v>344501237.14999998</v>
      </c>
      <c r="F91" s="607">
        <v>1932805506.99</v>
      </c>
      <c r="G91" s="607">
        <v>12110564035.6</v>
      </c>
      <c r="H91" s="607">
        <v>801786053.63999999</v>
      </c>
    </row>
    <row r="92" spans="1:9" ht="13.15" customHeight="1">
      <c r="A92" s="168" t="s">
        <v>437</v>
      </c>
      <c r="B92" s="1081" t="s">
        <v>1155</v>
      </c>
      <c r="C92" s="607">
        <v>561133457.97000003</v>
      </c>
      <c r="D92" s="607">
        <v>30018130</v>
      </c>
      <c r="E92" s="607">
        <v>19932232</v>
      </c>
      <c r="F92" s="607">
        <v>109505185.31999999</v>
      </c>
      <c r="G92" s="607">
        <v>401677910.64999998</v>
      </c>
      <c r="H92" s="607">
        <v>29061741.350000001</v>
      </c>
    </row>
    <row r="93" spans="1:9" ht="13.15" customHeight="1">
      <c r="A93" s="168" t="s">
        <v>440</v>
      </c>
      <c r="B93" s="1081" t="s">
        <v>1156</v>
      </c>
      <c r="C93" s="607">
        <v>233532775.78999999</v>
      </c>
      <c r="D93" s="607">
        <v>7775224.0099999998</v>
      </c>
      <c r="E93" s="607">
        <v>5151842</v>
      </c>
      <c r="F93" s="607">
        <v>28856209.5</v>
      </c>
      <c r="G93" s="607">
        <v>191749500.28</v>
      </c>
      <c r="H93" s="607">
        <v>12585791</v>
      </c>
    </row>
    <row r="94" spans="1:9" ht="24" customHeight="1">
      <c r="A94" s="168" t="s">
        <v>370</v>
      </c>
      <c r="B94" s="1081" t="s">
        <v>1157</v>
      </c>
      <c r="C94" s="608">
        <v>223424494.71000001</v>
      </c>
      <c r="D94" s="608">
        <v>12022246.460000001</v>
      </c>
      <c r="E94" s="608">
        <v>7466500</v>
      </c>
      <c r="F94" s="608">
        <v>37832559.210000001</v>
      </c>
      <c r="G94" s="608">
        <v>166103189.03999999</v>
      </c>
      <c r="H94" s="608">
        <v>11735612.01</v>
      </c>
    </row>
    <row r="95" spans="1:9" ht="13.15" customHeight="1">
      <c r="A95" s="168" t="s">
        <v>374</v>
      </c>
      <c r="B95" s="1081" t="s">
        <v>1158</v>
      </c>
      <c r="C95" s="607">
        <v>2532870843.1599998</v>
      </c>
      <c r="D95" s="607">
        <v>101049417.20999999</v>
      </c>
      <c r="E95" s="607">
        <v>66958056.810000002</v>
      </c>
      <c r="F95" s="607">
        <v>374908043.25</v>
      </c>
      <c r="G95" s="607">
        <v>1989955325.8900001</v>
      </c>
      <c r="H95" s="607">
        <v>134485094.63999999</v>
      </c>
    </row>
    <row r="96" spans="1:9" ht="13.15" customHeight="1">
      <c r="A96" s="168" t="s">
        <v>447</v>
      </c>
      <c r="B96" s="1081" t="s">
        <v>1159</v>
      </c>
      <c r="C96" s="607">
        <v>468097169.25</v>
      </c>
      <c r="D96" s="607">
        <v>20425379</v>
      </c>
      <c r="E96" s="607">
        <v>13539083</v>
      </c>
      <c r="F96" s="607">
        <v>74454214.969999999</v>
      </c>
      <c r="G96" s="607">
        <v>359678492.27999997</v>
      </c>
      <c r="H96" s="607">
        <v>24704573.600000001</v>
      </c>
    </row>
    <row r="97" spans="1:9" ht="13.15" customHeight="1">
      <c r="A97" s="168" t="s">
        <v>450</v>
      </c>
      <c r="B97" s="1081" t="s">
        <v>1160</v>
      </c>
      <c r="C97" s="607">
        <v>1957103747.0899999</v>
      </c>
      <c r="D97" s="607">
        <v>84935280.670000002</v>
      </c>
      <c r="E97" s="607">
        <v>56392982</v>
      </c>
      <c r="F97" s="607">
        <v>315055442.22000003</v>
      </c>
      <c r="G97" s="607">
        <v>1500720042.2</v>
      </c>
      <c r="H97" s="607">
        <v>103123592.69</v>
      </c>
    </row>
    <row r="98" spans="1:9" ht="13.15" customHeight="1">
      <c r="A98" s="168" t="s">
        <v>453</v>
      </c>
      <c r="B98" s="1081" t="s">
        <v>1161</v>
      </c>
      <c r="C98" s="608">
        <v>315282869.30000001</v>
      </c>
      <c r="D98" s="608">
        <v>19359460</v>
      </c>
      <c r="E98" s="608">
        <v>12833792</v>
      </c>
      <c r="F98" s="608">
        <v>70075885.459999993</v>
      </c>
      <c r="G98" s="608">
        <v>213013731.84</v>
      </c>
      <c r="H98" s="608">
        <v>16044116.25</v>
      </c>
    </row>
    <row r="99" spans="1:9" ht="24" customHeight="1">
      <c r="A99" s="168" t="s">
        <v>329</v>
      </c>
      <c r="B99" s="1081" t="s">
        <v>1162</v>
      </c>
      <c r="C99" s="336">
        <v>272326531.81</v>
      </c>
      <c r="D99" s="336">
        <v>17163797.43</v>
      </c>
      <c r="E99" s="336">
        <v>11253523</v>
      </c>
      <c r="F99" s="336">
        <v>61151120.68</v>
      </c>
      <c r="G99" s="336">
        <v>182758090.69999999</v>
      </c>
      <c r="H99" s="336">
        <v>13867036.9</v>
      </c>
    </row>
    <row r="100" spans="1:9" ht="13.15" customHeight="1">
      <c r="A100" s="168" t="s">
        <v>333</v>
      </c>
      <c r="B100" s="1081" t="s">
        <v>1163</v>
      </c>
      <c r="C100" s="336">
        <v>962242740.47000003</v>
      </c>
      <c r="D100" s="336">
        <v>46562444.75</v>
      </c>
      <c r="E100" s="336">
        <v>30935175</v>
      </c>
      <c r="F100" s="336">
        <v>171435580.19</v>
      </c>
      <c r="G100" s="336">
        <v>713309540.52999997</v>
      </c>
      <c r="H100" s="336">
        <v>50370223.350000001</v>
      </c>
    </row>
    <row r="101" spans="1:9" ht="13.15" customHeight="1">
      <c r="A101" s="168" t="s">
        <v>337</v>
      </c>
      <c r="B101" s="1081" t="s">
        <v>1164</v>
      </c>
      <c r="C101" s="336">
        <v>391413854.72000003</v>
      </c>
      <c r="D101" s="336">
        <v>24335497</v>
      </c>
      <c r="E101" s="336">
        <v>16135477</v>
      </c>
      <c r="F101" s="336">
        <v>87259835.75</v>
      </c>
      <c r="G101" s="336">
        <v>263683044.97</v>
      </c>
      <c r="H101" s="336">
        <v>19929130.43</v>
      </c>
    </row>
    <row r="102" spans="1:9" ht="13.15" customHeight="1">
      <c r="A102" s="168" t="s">
        <v>341</v>
      </c>
      <c r="B102" s="1081" t="s">
        <v>1165</v>
      </c>
      <c r="C102" s="336">
        <v>327155973.30000001</v>
      </c>
      <c r="D102" s="336">
        <v>17458612.399999999</v>
      </c>
      <c r="E102" s="336">
        <v>11526285</v>
      </c>
      <c r="F102" s="336">
        <v>63020602.939999998</v>
      </c>
      <c r="G102" s="336">
        <v>235150472.96000001</v>
      </c>
      <c r="H102" s="336">
        <v>16981584.579999998</v>
      </c>
    </row>
    <row r="103" spans="1:9" ht="13.15" customHeight="1">
      <c r="A103" s="168" t="s">
        <v>345</v>
      </c>
      <c r="B103" s="1081" t="s">
        <v>1166</v>
      </c>
      <c r="C103" s="336">
        <v>3882570974.04</v>
      </c>
      <c r="D103" s="336">
        <v>149532734.43000001</v>
      </c>
      <c r="E103" s="336">
        <v>99388545.239999995</v>
      </c>
      <c r="F103" s="336">
        <v>556656270</v>
      </c>
      <c r="G103" s="336">
        <v>3076993424.3699999</v>
      </c>
      <c r="H103" s="336">
        <v>207252467.44999999</v>
      </c>
    </row>
    <row r="104" spans="1:9" ht="24" customHeight="1">
      <c r="A104" s="168" t="s">
        <v>349</v>
      </c>
      <c r="B104" s="1081" t="s">
        <v>1167</v>
      </c>
      <c r="C104" s="336">
        <v>4750418527.2200003</v>
      </c>
      <c r="D104" s="336">
        <v>162350891.38</v>
      </c>
      <c r="E104" s="336">
        <v>107767487.34999999</v>
      </c>
      <c r="F104" s="336">
        <v>607311333.89999998</v>
      </c>
      <c r="G104" s="336">
        <v>3872988814.5900002</v>
      </c>
      <c r="H104" s="336">
        <v>255482275.90000001</v>
      </c>
    </row>
    <row r="105" spans="1:9" ht="13.15" customHeight="1">
      <c r="A105" s="168" t="s">
        <v>353</v>
      </c>
      <c r="B105" s="1081" t="s">
        <v>1168</v>
      </c>
      <c r="C105" s="336">
        <v>122173501.8</v>
      </c>
      <c r="D105" s="336">
        <v>7101473</v>
      </c>
      <c r="E105" s="336">
        <v>4656644</v>
      </c>
      <c r="F105" s="336">
        <v>24914045.07</v>
      </c>
      <c r="G105" s="336">
        <v>85501339.730000004</v>
      </c>
      <c r="H105" s="336">
        <v>6311512.75</v>
      </c>
    </row>
    <row r="106" spans="1:9" ht="13.15" customHeight="1">
      <c r="A106" s="168" t="s">
        <v>357</v>
      </c>
      <c r="B106" s="1081" t="s">
        <v>1169</v>
      </c>
      <c r="C106" s="336">
        <v>137654012.81999999</v>
      </c>
      <c r="D106" s="336">
        <v>8426793.5199999996</v>
      </c>
      <c r="E106" s="336">
        <v>5560752</v>
      </c>
      <c r="F106" s="336">
        <v>29846568.949999999</v>
      </c>
      <c r="G106" s="336">
        <v>93819898.349999994</v>
      </c>
      <c r="H106" s="336">
        <v>7095991.9800000004</v>
      </c>
    </row>
    <row r="107" spans="1:9" ht="13.15" customHeight="1">
      <c r="A107" s="339" t="s">
        <v>361</v>
      </c>
      <c r="B107" s="1081" t="s">
        <v>1170</v>
      </c>
      <c r="C107" s="337">
        <v>558510977.45000005</v>
      </c>
      <c r="D107" s="337">
        <v>31034585.460000001</v>
      </c>
      <c r="E107" s="337">
        <v>20563992</v>
      </c>
      <c r="F107" s="337">
        <v>111983701.53</v>
      </c>
      <c r="G107" s="337">
        <v>394928698.45999998</v>
      </c>
      <c r="H107" s="337">
        <v>28823278.190000001</v>
      </c>
    </row>
    <row r="108" spans="1:9" ht="13.15" customHeight="1">
      <c r="A108" s="339" t="s">
        <v>365</v>
      </c>
      <c r="B108" s="1081" t="s">
        <v>1171</v>
      </c>
      <c r="C108" s="337">
        <v>984824154.37</v>
      </c>
      <c r="D108" s="337">
        <v>43471232.719999999</v>
      </c>
      <c r="E108" s="337">
        <v>28858530</v>
      </c>
      <c r="F108" s="337">
        <v>160916502.47999999</v>
      </c>
      <c r="G108" s="337">
        <v>751577889.16999996</v>
      </c>
      <c r="H108" s="337">
        <v>52103443.109999999</v>
      </c>
      <c r="I108" s="610"/>
    </row>
    <row r="109" spans="1:9" ht="24" customHeight="1">
      <c r="A109" s="168" t="s">
        <v>369</v>
      </c>
      <c r="B109" s="1081" t="s">
        <v>1172</v>
      </c>
      <c r="C109" s="275">
        <v>1011160840.6900001</v>
      </c>
      <c r="D109" s="275">
        <v>52530614.640000001</v>
      </c>
      <c r="E109" s="275">
        <v>34464834.030000001</v>
      </c>
      <c r="F109" s="275">
        <v>186671554.78</v>
      </c>
      <c r="G109" s="275">
        <v>737493837.24000001</v>
      </c>
      <c r="H109" s="275">
        <v>52659206.380000003</v>
      </c>
    </row>
    <row r="110" spans="1:9" ht="13.15" customHeight="1">
      <c r="A110" s="168" t="s">
        <v>373</v>
      </c>
      <c r="B110" s="1081" t="s">
        <v>1173</v>
      </c>
      <c r="C110" s="336">
        <v>381219078.13999999</v>
      </c>
      <c r="D110" s="336">
        <v>18507898</v>
      </c>
      <c r="E110" s="336">
        <v>12263660.369999999</v>
      </c>
      <c r="F110" s="336">
        <v>67426562.430000007</v>
      </c>
      <c r="G110" s="336">
        <v>283020957.33999997</v>
      </c>
      <c r="H110" s="336">
        <v>20035373.379999999</v>
      </c>
    </row>
    <row r="111" spans="1:9" ht="13.15" customHeight="1">
      <c r="A111" s="168" t="s">
        <v>377</v>
      </c>
      <c r="B111" s="1081" t="s">
        <v>1174</v>
      </c>
      <c r="C111" s="336">
        <v>413386899.97000003</v>
      </c>
      <c r="D111" s="336">
        <v>25505596.739999998</v>
      </c>
      <c r="E111" s="336">
        <v>16861270</v>
      </c>
      <c r="F111" s="336">
        <v>91061735.739999995</v>
      </c>
      <c r="G111" s="336">
        <v>279958297.49000001</v>
      </c>
      <c r="H111" s="336">
        <v>21092689.030000001</v>
      </c>
    </row>
    <row r="112" spans="1:9" ht="13.15" customHeight="1">
      <c r="A112" s="168" t="s">
        <v>381</v>
      </c>
      <c r="B112" s="1081" t="s">
        <v>1175</v>
      </c>
      <c r="C112" s="336">
        <v>434407408.89999998</v>
      </c>
      <c r="D112" s="336">
        <v>25181337</v>
      </c>
      <c r="E112" s="336">
        <v>16692687</v>
      </c>
      <c r="F112" s="336">
        <v>91246487.640000001</v>
      </c>
      <c r="G112" s="336">
        <v>301286897.25999999</v>
      </c>
      <c r="H112" s="336">
        <v>22304344.66</v>
      </c>
    </row>
    <row r="113" spans="1:10" ht="13.15" customHeight="1">
      <c r="A113" s="339" t="s">
        <v>385</v>
      </c>
      <c r="B113" s="1081" t="s">
        <v>1176</v>
      </c>
      <c r="C113" s="336">
        <v>1980552708.29</v>
      </c>
      <c r="D113" s="336">
        <v>67393089.390000001</v>
      </c>
      <c r="E113" s="336">
        <v>44622753.840000004</v>
      </c>
      <c r="F113" s="336">
        <v>250873804.31999999</v>
      </c>
      <c r="G113" s="336">
        <v>1617663060.74</v>
      </c>
      <c r="H113" s="336">
        <v>106343309.52</v>
      </c>
    </row>
    <row r="114" spans="1:10" ht="10.75" customHeight="1">
      <c r="A114" s="339"/>
      <c r="B114" s="1082"/>
      <c r="D114" s="168"/>
      <c r="E114" s="168"/>
      <c r="F114" s="168"/>
      <c r="G114" s="168"/>
      <c r="H114" s="168"/>
    </row>
    <row r="115" spans="1:10" ht="13.15" customHeight="1">
      <c r="A115" s="340" t="s">
        <v>22</v>
      </c>
      <c r="B115" s="1083"/>
      <c r="C115" s="341">
        <f t="shared" ref="C115:H115" si="0">SUM(C7:C113)</f>
        <v>204366076987.07004</v>
      </c>
      <c r="D115" s="341">
        <f t="shared" si="0"/>
        <v>6327690363.6400013</v>
      </c>
      <c r="E115" s="341">
        <f t="shared" si="0"/>
        <v>4194235011.1299996</v>
      </c>
      <c r="F115" s="341">
        <f t="shared" si="0"/>
        <v>23514012198.310005</v>
      </c>
      <c r="G115" s="341">
        <f t="shared" si="0"/>
        <v>170330139413.99002</v>
      </c>
      <c r="H115" s="341">
        <f t="shared" si="0"/>
        <v>11065234604.239996</v>
      </c>
    </row>
    <row r="116" spans="1:10" ht="16" customHeight="1">
      <c r="A116" s="1129" t="s">
        <v>616</v>
      </c>
      <c r="B116" s="1086"/>
      <c r="C116" s="337"/>
      <c r="D116" s="337"/>
      <c r="E116" s="337"/>
      <c r="F116" s="337"/>
      <c r="G116" s="337"/>
      <c r="H116" s="337"/>
      <c r="I116" s="610"/>
    </row>
    <row r="117" spans="1:10" ht="14.9" customHeight="1">
      <c r="A117" s="1130" t="s">
        <v>615</v>
      </c>
      <c r="B117" s="1086"/>
      <c r="C117" s="337"/>
      <c r="D117" s="337"/>
      <c r="E117" s="337"/>
      <c r="F117" s="337"/>
      <c r="G117" s="337"/>
      <c r="H117" s="337"/>
    </row>
    <row r="118" spans="1:10" ht="14" customHeight="1">
      <c r="A118" s="1131" t="str">
        <f>A3</f>
        <v>Taxable Year 2020</v>
      </c>
      <c r="B118" s="1086"/>
      <c r="C118" s="336"/>
      <c r="D118" s="336"/>
      <c r="E118" s="336"/>
      <c r="F118" s="336"/>
      <c r="G118" s="336"/>
      <c r="H118" s="336"/>
    </row>
    <row r="119" spans="1:10" ht="6" customHeight="1" thickBot="1">
      <c r="A119" s="280"/>
      <c r="B119" s="1087"/>
      <c r="C119" s="337"/>
      <c r="D119" s="337"/>
      <c r="E119" s="337"/>
      <c r="F119" s="337"/>
      <c r="G119" s="337"/>
      <c r="H119" s="337"/>
    </row>
    <row r="120" spans="1:10" ht="25" customHeight="1">
      <c r="A120" s="1115" t="s">
        <v>23</v>
      </c>
      <c r="B120" s="1080" t="s">
        <v>963</v>
      </c>
      <c r="C120" s="1079" t="s">
        <v>928</v>
      </c>
      <c r="D120" s="1079" t="s">
        <v>1078</v>
      </c>
      <c r="E120" s="1079" t="s">
        <v>1079</v>
      </c>
      <c r="F120" s="1079" t="s">
        <v>1080</v>
      </c>
      <c r="G120" s="1079" t="s">
        <v>1081</v>
      </c>
      <c r="H120" s="1079" t="s">
        <v>929</v>
      </c>
    </row>
    <row r="121" spans="1:10" ht="19" customHeight="1">
      <c r="A121" s="169" t="s">
        <v>402</v>
      </c>
      <c r="B121" s="1081" t="s">
        <v>1177</v>
      </c>
      <c r="C121" s="338">
        <v>8150544655.9300003</v>
      </c>
      <c r="D121" s="338">
        <v>206927795.38</v>
      </c>
      <c r="E121" s="338">
        <v>136526221.40000001</v>
      </c>
      <c r="F121" s="338">
        <v>771354695.13999999</v>
      </c>
      <c r="G121" s="338">
        <v>7035735944.0100002</v>
      </c>
      <c r="H121" s="338">
        <v>447845969.13</v>
      </c>
    </row>
    <row r="122" spans="1:10" s="1136" customFormat="1" ht="12" customHeight="1">
      <c r="A122" s="1132" t="s">
        <v>407</v>
      </c>
      <c r="B122" s="1133" t="s">
        <v>1178</v>
      </c>
      <c r="C122" s="1134">
        <v>294539011.56</v>
      </c>
      <c r="D122" s="1134">
        <v>21931103.239999998</v>
      </c>
      <c r="E122" s="1134">
        <v>13947810.640000001</v>
      </c>
      <c r="F122" s="1134">
        <v>70805694.409999996</v>
      </c>
      <c r="G122" s="1134">
        <v>187854403.27000001</v>
      </c>
      <c r="H122" s="1134">
        <v>14942602.460000001</v>
      </c>
      <c r="I122" s="1135"/>
      <c r="J122" s="1135"/>
    </row>
    <row r="123" spans="1:10" s="1136" customFormat="1" ht="12" customHeight="1">
      <c r="A123" s="1132" t="s">
        <v>410</v>
      </c>
      <c r="B123" s="1133" t="s">
        <v>1179</v>
      </c>
      <c r="C123" s="1134">
        <v>76533423.909999996</v>
      </c>
      <c r="D123" s="1134">
        <v>5455818</v>
      </c>
      <c r="E123" s="1134">
        <v>3612555</v>
      </c>
      <c r="F123" s="1134">
        <v>19468967.050000001</v>
      </c>
      <c r="G123" s="1134">
        <v>47996083.859999999</v>
      </c>
      <c r="H123" s="1134">
        <v>3835899.58</v>
      </c>
      <c r="I123" s="1135"/>
      <c r="J123" s="1135"/>
    </row>
    <row r="124" spans="1:10" s="1136" customFormat="1" ht="12" customHeight="1">
      <c r="A124" s="1132" t="s">
        <v>413</v>
      </c>
      <c r="B124" s="1133" t="s">
        <v>1180</v>
      </c>
      <c r="C124" s="1134">
        <v>1279757521.04</v>
      </c>
      <c r="D124" s="1134">
        <v>46422197.509999998</v>
      </c>
      <c r="E124" s="1134">
        <v>30531680.800000001</v>
      </c>
      <c r="F124" s="1134">
        <v>167405147.34999999</v>
      </c>
      <c r="G124" s="1134">
        <v>1035398495.38</v>
      </c>
      <c r="H124" s="1134">
        <v>68918083.609999999</v>
      </c>
      <c r="I124" s="1135"/>
      <c r="J124" s="1135"/>
    </row>
    <row r="125" spans="1:10" s="1136" customFormat="1" ht="12" customHeight="1">
      <c r="A125" s="1132" t="s">
        <v>416</v>
      </c>
      <c r="B125" s="1133" t="s">
        <v>1181</v>
      </c>
      <c r="C125" s="1134">
        <v>5875700665.5900002</v>
      </c>
      <c r="D125" s="1134">
        <v>250540236.75999999</v>
      </c>
      <c r="E125" s="1134">
        <v>165757066.83000001</v>
      </c>
      <c r="F125" s="1134">
        <v>916457267.54999995</v>
      </c>
      <c r="G125" s="1134">
        <v>4542946094.4499998</v>
      </c>
      <c r="H125" s="1134">
        <v>311445403.79000002</v>
      </c>
      <c r="I125" s="1135"/>
      <c r="J125" s="1135"/>
    </row>
    <row r="126" spans="1:10" ht="19" customHeight="1">
      <c r="A126" s="166" t="s">
        <v>419</v>
      </c>
      <c r="B126" s="1081" t="s">
        <v>1182</v>
      </c>
      <c r="C126" s="168">
        <v>322385386.39999998</v>
      </c>
      <c r="D126" s="168">
        <v>18640884</v>
      </c>
      <c r="E126" s="168">
        <v>12386023</v>
      </c>
      <c r="F126" s="168">
        <v>67771423.700000003</v>
      </c>
      <c r="G126" s="168">
        <v>223587055.69999999</v>
      </c>
      <c r="H126" s="168">
        <v>16663451.51</v>
      </c>
    </row>
    <row r="127" spans="1:10" s="1136" customFormat="1" ht="12" customHeight="1">
      <c r="A127" s="1132" t="s">
        <v>422</v>
      </c>
      <c r="B127" s="1133" t="s">
        <v>1183</v>
      </c>
      <c r="C127" s="1134">
        <v>78703218.609999999</v>
      </c>
      <c r="D127" s="1134">
        <v>5442784.4100000001</v>
      </c>
      <c r="E127" s="1134">
        <v>3567900</v>
      </c>
      <c r="F127" s="1134">
        <v>18920507.66</v>
      </c>
      <c r="G127" s="1134">
        <v>50772026.539999999</v>
      </c>
      <c r="H127" s="1134">
        <v>3993995.41</v>
      </c>
      <c r="I127" s="1135"/>
      <c r="J127" s="1135"/>
    </row>
    <row r="128" spans="1:10" s="1136" customFormat="1" ht="12" customHeight="1">
      <c r="A128" s="1132" t="s">
        <v>425</v>
      </c>
      <c r="B128" s="1133" t="s">
        <v>1184</v>
      </c>
      <c r="C128" s="1134">
        <v>592027294.58000004</v>
      </c>
      <c r="D128" s="1134">
        <v>38698718.009999998</v>
      </c>
      <c r="E128" s="1134">
        <v>25328790.32</v>
      </c>
      <c r="F128" s="1134">
        <v>129083746.56999999</v>
      </c>
      <c r="G128" s="1134">
        <v>398916039.68000001</v>
      </c>
      <c r="H128" s="1134">
        <v>30514914.41</v>
      </c>
      <c r="I128" s="1135"/>
      <c r="J128" s="1135"/>
    </row>
    <row r="129" spans="1:10" s="1136" customFormat="1" ht="12" customHeight="1">
      <c r="A129" s="1132" t="s">
        <v>428</v>
      </c>
      <c r="B129" s="1133" t="s">
        <v>1185</v>
      </c>
      <c r="C129" s="1134">
        <v>60599863.469999999</v>
      </c>
      <c r="D129" s="1134">
        <v>5101529</v>
      </c>
      <c r="E129" s="1134">
        <v>3311973</v>
      </c>
      <c r="F129" s="1134">
        <v>16384196.41</v>
      </c>
      <c r="G129" s="1134">
        <v>35802165.060000002</v>
      </c>
      <c r="H129" s="1134">
        <v>3043080.88</v>
      </c>
      <c r="I129" s="1135"/>
      <c r="J129" s="1135"/>
    </row>
    <row r="130" spans="1:10" s="1136" customFormat="1" ht="12" customHeight="1">
      <c r="A130" s="1132" t="s">
        <v>423</v>
      </c>
      <c r="B130" s="1133" t="s">
        <v>1186</v>
      </c>
      <c r="C130" s="1134">
        <v>1204427102.6400001</v>
      </c>
      <c r="D130" s="1134">
        <v>34391633.509999998</v>
      </c>
      <c r="E130" s="1134">
        <v>22550811.449999999</v>
      </c>
      <c r="F130" s="1134">
        <v>125359632.84999999</v>
      </c>
      <c r="G130" s="1134">
        <v>1022125024.83</v>
      </c>
      <c r="H130" s="1134">
        <v>65607553.850000001</v>
      </c>
      <c r="I130" s="1135"/>
      <c r="J130" s="1135"/>
    </row>
    <row r="131" spans="1:10" ht="19" customHeight="1">
      <c r="A131" s="166" t="s">
        <v>433</v>
      </c>
      <c r="B131" s="1081" t="s">
        <v>1187</v>
      </c>
      <c r="C131" s="168">
        <v>1056834542.78</v>
      </c>
      <c r="D131" s="168">
        <v>19369429.690000001</v>
      </c>
      <c r="E131" s="168">
        <v>12695097.01</v>
      </c>
      <c r="F131" s="168">
        <v>71981293.120000005</v>
      </c>
      <c r="G131" s="168">
        <v>952788722.96000004</v>
      </c>
      <c r="H131" s="168">
        <v>58657640.460000001</v>
      </c>
    </row>
    <row r="132" spans="1:10" s="1136" customFormat="1" ht="12" customHeight="1">
      <c r="A132" s="1132" t="s">
        <v>24</v>
      </c>
      <c r="B132" s="1133" t="s">
        <v>1188</v>
      </c>
      <c r="C132" s="1134">
        <v>108145037.86</v>
      </c>
      <c r="D132" s="1134">
        <v>7363010.4699999997</v>
      </c>
      <c r="E132" s="1134">
        <v>4796666</v>
      </c>
      <c r="F132" s="1134">
        <v>24803937.739999998</v>
      </c>
      <c r="G132" s="1134">
        <v>71181423.650000006</v>
      </c>
      <c r="H132" s="1134">
        <v>5532228.6299999999</v>
      </c>
      <c r="I132" s="1135"/>
      <c r="J132" s="1135"/>
    </row>
    <row r="133" spans="1:10" s="1136" customFormat="1" ht="12" customHeight="1">
      <c r="A133" s="1132" t="s">
        <v>438</v>
      </c>
      <c r="B133" s="1133" t="s">
        <v>1189</v>
      </c>
      <c r="C133" s="1134">
        <v>887649119.14999998</v>
      </c>
      <c r="D133" s="1134">
        <v>31661073.18</v>
      </c>
      <c r="E133" s="1134">
        <v>20862529</v>
      </c>
      <c r="F133" s="1134">
        <v>113614803.34</v>
      </c>
      <c r="G133" s="1134">
        <v>721510713.63</v>
      </c>
      <c r="H133" s="1134">
        <v>47941281.32</v>
      </c>
      <c r="I133" s="1135"/>
      <c r="J133" s="1135"/>
    </row>
    <row r="134" spans="1:10" s="1136" customFormat="1" ht="12" customHeight="1">
      <c r="A134" s="1132" t="s">
        <v>441</v>
      </c>
      <c r="B134" s="1133" t="s">
        <v>1190</v>
      </c>
      <c r="C134" s="1134">
        <v>93101783.780000001</v>
      </c>
      <c r="D134" s="1134">
        <v>6420917.75</v>
      </c>
      <c r="E134" s="1134">
        <v>4218390.9000000004</v>
      </c>
      <c r="F134" s="1134">
        <v>21998743.379999999</v>
      </c>
      <c r="G134" s="1134">
        <v>60463731.75</v>
      </c>
      <c r="H134" s="1134">
        <v>4713612.84</v>
      </c>
      <c r="I134" s="1135"/>
      <c r="J134" s="1135"/>
    </row>
    <row r="135" spans="1:10" s="1136" customFormat="1" ht="12" customHeight="1">
      <c r="A135" s="1132" t="s">
        <v>443</v>
      </c>
      <c r="B135" s="1133" t="s">
        <v>1191</v>
      </c>
      <c r="C135" s="1134">
        <v>2141998804.9000001</v>
      </c>
      <c r="D135" s="1134">
        <v>127394648.86</v>
      </c>
      <c r="E135" s="1134">
        <v>84291566.920000002</v>
      </c>
      <c r="F135" s="1134">
        <v>456758959.04000002</v>
      </c>
      <c r="G135" s="1134">
        <v>1473553630.0799999</v>
      </c>
      <c r="H135" s="1134">
        <v>110742017.3</v>
      </c>
      <c r="I135" s="1135"/>
      <c r="J135" s="1135"/>
    </row>
    <row r="136" spans="1:10" ht="19" customHeight="1">
      <c r="A136" s="166" t="s">
        <v>445</v>
      </c>
      <c r="B136" s="1081" t="s">
        <v>1192</v>
      </c>
      <c r="C136" s="168">
        <v>664048231.08000004</v>
      </c>
      <c r="D136" s="168">
        <v>39547830.060000002</v>
      </c>
      <c r="E136" s="168">
        <v>26128726.140000001</v>
      </c>
      <c r="F136" s="168">
        <v>141559721.19</v>
      </c>
      <c r="G136" s="168">
        <v>456811953.69</v>
      </c>
      <c r="H136" s="168">
        <v>34251646.32</v>
      </c>
    </row>
    <row r="137" spans="1:10" s="1136" customFormat="1" ht="12" customHeight="1">
      <c r="A137" s="1132" t="s">
        <v>448</v>
      </c>
      <c r="B137" s="1133" t="s">
        <v>1193</v>
      </c>
      <c r="C137" s="1134">
        <v>283519056.17000002</v>
      </c>
      <c r="D137" s="1134">
        <v>21393437.890000001</v>
      </c>
      <c r="E137" s="1134">
        <v>14162250.92</v>
      </c>
      <c r="F137" s="1134">
        <v>74464499.060000002</v>
      </c>
      <c r="G137" s="1134">
        <v>173498868.30000001</v>
      </c>
      <c r="H137" s="1134">
        <v>14339336.74</v>
      </c>
      <c r="I137" s="1135"/>
      <c r="J137" s="1135"/>
    </row>
    <row r="138" spans="1:10" s="1136" customFormat="1" ht="12" customHeight="1">
      <c r="A138" s="1137" t="s">
        <v>451</v>
      </c>
      <c r="B138" s="1133" t="s">
        <v>1194</v>
      </c>
      <c r="C138" s="1138">
        <v>129838355.88</v>
      </c>
      <c r="D138" s="1138">
        <v>5314287.87</v>
      </c>
      <c r="E138" s="1138">
        <v>3476564</v>
      </c>
      <c r="F138" s="1138">
        <v>19232591.030000001</v>
      </c>
      <c r="G138" s="1138">
        <v>101814912.98</v>
      </c>
      <c r="H138" s="1138">
        <v>6896829.29</v>
      </c>
      <c r="I138" s="1135"/>
      <c r="J138" s="1135"/>
    </row>
    <row r="139" spans="1:10" s="1136" customFormat="1" ht="12" customHeight="1">
      <c r="A139" s="1139" t="s">
        <v>454</v>
      </c>
      <c r="B139" s="1133" t="s">
        <v>1195</v>
      </c>
      <c r="C139" s="1140">
        <v>1395616177.9300001</v>
      </c>
      <c r="D139" s="1140">
        <v>68101189.640000001</v>
      </c>
      <c r="E139" s="1140">
        <v>44969287.939999998</v>
      </c>
      <c r="F139" s="1140">
        <v>241998684.78999999</v>
      </c>
      <c r="G139" s="1140">
        <v>1040547015.5599999</v>
      </c>
      <c r="H139" s="1140">
        <v>73388702.239999995</v>
      </c>
      <c r="I139" s="1141"/>
      <c r="J139" s="1135"/>
    </row>
    <row r="140" spans="1:10" s="1136" customFormat="1" ht="12" customHeight="1">
      <c r="A140" s="1142" t="s">
        <v>330</v>
      </c>
      <c r="B140" s="1133" t="s">
        <v>1196</v>
      </c>
      <c r="C140" s="1134">
        <v>1038868133.98</v>
      </c>
      <c r="D140" s="1134">
        <v>49962982.299999997</v>
      </c>
      <c r="E140" s="1134">
        <v>33102207.629999999</v>
      </c>
      <c r="F140" s="1134">
        <v>181667834.65000001</v>
      </c>
      <c r="G140" s="1134">
        <v>774135109.39999998</v>
      </c>
      <c r="H140" s="1134">
        <v>54740399.420000002</v>
      </c>
      <c r="I140" s="1141"/>
      <c r="J140" s="1135"/>
    </row>
    <row r="141" spans="1:10" ht="19" customHeight="1">
      <c r="A141" s="166" t="s">
        <v>334</v>
      </c>
      <c r="B141" s="1081" t="s">
        <v>1197</v>
      </c>
      <c r="C141" s="168">
        <v>413955394.42000002</v>
      </c>
      <c r="D141" s="168">
        <v>20809307</v>
      </c>
      <c r="E141" s="168">
        <v>13802686</v>
      </c>
      <c r="F141" s="168">
        <v>76350472.420000002</v>
      </c>
      <c r="G141" s="168">
        <v>302992929</v>
      </c>
      <c r="H141" s="168">
        <v>21724097.98</v>
      </c>
    </row>
    <row r="142" spans="1:10" s="1136" customFormat="1" ht="12" customHeight="1">
      <c r="A142" s="1132" t="s">
        <v>338</v>
      </c>
      <c r="B142" s="1133" t="s">
        <v>1198</v>
      </c>
      <c r="C142" s="1134">
        <v>175786516.08000001</v>
      </c>
      <c r="D142" s="1134">
        <v>12162983.07</v>
      </c>
      <c r="E142" s="1134">
        <v>7967746.7999999998</v>
      </c>
      <c r="F142" s="1134">
        <v>41478279.700000003</v>
      </c>
      <c r="G142" s="1134">
        <v>114177506.51000001</v>
      </c>
      <c r="H142" s="1134">
        <v>8979418.1099999994</v>
      </c>
      <c r="I142" s="1135"/>
      <c r="J142" s="1135"/>
    </row>
    <row r="143" spans="1:10" s="1136" customFormat="1" ht="12" customHeight="1">
      <c r="A143" s="1132" t="s">
        <v>342</v>
      </c>
      <c r="B143" s="1133" t="s">
        <v>1199</v>
      </c>
      <c r="C143" s="1134">
        <v>3034339084.8899999</v>
      </c>
      <c r="D143" s="1134">
        <v>173806991.61000001</v>
      </c>
      <c r="E143" s="1134">
        <v>115037624.48</v>
      </c>
      <c r="F143" s="1134">
        <v>620906522.41999996</v>
      </c>
      <c r="G143" s="1134">
        <v>2124587946.3800001</v>
      </c>
      <c r="H143" s="1134">
        <v>157582989.77000001</v>
      </c>
      <c r="I143" s="1135"/>
      <c r="J143" s="1135"/>
    </row>
    <row r="144" spans="1:10" s="1136" customFormat="1" ht="12" customHeight="1">
      <c r="A144" s="1132" t="s">
        <v>346</v>
      </c>
      <c r="B144" s="1133" t="s">
        <v>1200</v>
      </c>
      <c r="C144" s="1134">
        <v>3704355715.5500002</v>
      </c>
      <c r="D144" s="1134">
        <v>197041799.86000001</v>
      </c>
      <c r="E144" s="1134">
        <v>129941868.03</v>
      </c>
      <c r="F144" s="1134">
        <v>690892050.30999994</v>
      </c>
      <c r="G144" s="1134">
        <v>2686479997.3499999</v>
      </c>
      <c r="H144" s="1134">
        <v>194344665.66999999</v>
      </c>
      <c r="I144" s="1135"/>
      <c r="J144" s="1135"/>
    </row>
    <row r="145" spans="1:10" s="1136" customFormat="1" ht="12" customHeight="1">
      <c r="A145" s="1132" t="s">
        <v>350</v>
      </c>
      <c r="B145" s="1133" t="s">
        <v>1201</v>
      </c>
      <c r="C145" s="1134">
        <v>59783672.649999999</v>
      </c>
      <c r="D145" s="1134">
        <v>3947605</v>
      </c>
      <c r="E145" s="1134">
        <v>2608790</v>
      </c>
      <c r="F145" s="1134">
        <v>14116134.960000001</v>
      </c>
      <c r="G145" s="1134">
        <v>39111142.689999998</v>
      </c>
      <c r="H145" s="1134">
        <v>3035429.47</v>
      </c>
      <c r="I145" s="1135"/>
      <c r="J145" s="1135"/>
    </row>
    <row r="146" spans="1:10" ht="18" customHeight="1">
      <c r="A146" s="166" t="s">
        <v>354</v>
      </c>
      <c r="B146" s="1081" t="s">
        <v>1202</v>
      </c>
      <c r="C146" s="168">
        <v>337729769.20999998</v>
      </c>
      <c r="D146" s="168">
        <v>28705331</v>
      </c>
      <c r="E146" s="168">
        <v>18965004</v>
      </c>
      <c r="F146" s="168">
        <v>97361006.189999998</v>
      </c>
      <c r="G146" s="168">
        <v>192698428.02000001</v>
      </c>
      <c r="H146" s="168">
        <v>16908442.75</v>
      </c>
    </row>
    <row r="147" spans="1:10" s="1136" customFormat="1" ht="12" customHeight="1">
      <c r="A147" s="1132" t="s">
        <v>358</v>
      </c>
      <c r="B147" s="1133" t="s">
        <v>1203</v>
      </c>
      <c r="C147" s="1134">
        <v>407919600.12</v>
      </c>
      <c r="D147" s="1134">
        <v>13042213</v>
      </c>
      <c r="E147" s="1134">
        <v>8673876</v>
      </c>
      <c r="F147" s="1134">
        <v>49203136.859999999</v>
      </c>
      <c r="G147" s="1134">
        <v>337000374.25999999</v>
      </c>
      <c r="H147" s="1134">
        <v>21946453.719999999</v>
      </c>
      <c r="I147" s="1135"/>
      <c r="J147" s="1135"/>
    </row>
    <row r="148" spans="1:10" s="1136" customFormat="1" ht="12" customHeight="1">
      <c r="A148" s="1132" t="s">
        <v>362</v>
      </c>
      <c r="B148" s="1133" t="s">
        <v>1204</v>
      </c>
      <c r="C148" s="1134">
        <v>1375698471.0899999</v>
      </c>
      <c r="D148" s="1134">
        <v>90055513.129999995</v>
      </c>
      <c r="E148" s="1134">
        <v>59614063.200000003</v>
      </c>
      <c r="F148" s="1134">
        <v>319497385.56</v>
      </c>
      <c r="G148" s="1134">
        <v>906531509.20000005</v>
      </c>
      <c r="H148" s="1134">
        <v>70591086.769999996</v>
      </c>
      <c r="I148" s="1135"/>
      <c r="J148" s="1135"/>
    </row>
    <row r="149" spans="1:10" s="1136" customFormat="1" ht="12" customHeight="1">
      <c r="A149" s="1132" t="s">
        <v>366</v>
      </c>
      <c r="B149" s="1133" t="s">
        <v>1205</v>
      </c>
      <c r="C149" s="1134">
        <v>226839796.50999999</v>
      </c>
      <c r="D149" s="1134">
        <v>12192536.66</v>
      </c>
      <c r="E149" s="1134">
        <v>8065870</v>
      </c>
      <c r="F149" s="1134">
        <v>43534248.049999997</v>
      </c>
      <c r="G149" s="1134">
        <v>163047141.80000001</v>
      </c>
      <c r="H149" s="1134">
        <v>11790380.49</v>
      </c>
      <c r="I149" s="1135"/>
      <c r="J149" s="1135"/>
    </row>
    <row r="150" spans="1:10" s="1136" customFormat="1" ht="12" customHeight="1">
      <c r="A150" s="1132" t="s">
        <v>370</v>
      </c>
      <c r="B150" s="1133" t="s">
        <v>1206</v>
      </c>
      <c r="C150" s="1143">
        <v>6387145590.8400002</v>
      </c>
      <c r="D150" s="1143">
        <v>232751224.91</v>
      </c>
      <c r="E150" s="1143">
        <v>153599186.61000001</v>
      </c>
      <c r="F150" s="1143">
        <v>828921238.80999994</v>
      </c>
      <c r="G150" s="1143">
        <v>5171873940.5100002</v>
      </c>
      <c r="H150" s="1143">
        <v>345210018.95999998</v>
      </c>
      <c r="I150" s="1135"/>
      <c r="J150" s="1135"/>
    </row>
    <row r="151" spans="1:10" ht="18" customHeight="1">
      <c r="A151" s="166" t="s">
        <v>25</v>
      </c>
      <c r="B151" s="1081" t="s">
        <v>1207</v>
      </c>
      <c r="C151" s="168">
        <v>1765783973.71</v>
      </c>
      <c r="D151" s="168">
        <v>95698723.129999995</v>
      </c>
      <c r="E151" s="168">
        <v>63387724.350000001</v>
      </c>
      <c r="F151" s="168">
        <v>340379286.86000001</v>
      </c>
      <c r="G151" s="168">
        <v>1266318239.3699999</v>
      </c>
      <c r="H151" s="168">
        <v>92265350.230000004</v>
      </c>
    </row>
    <row r="152" spans="1:10" s="1136" customFormat="1" ht="12" customHeight="1">
      <c r="A152" s="1132" t="s">
        <v>378</v>
      </c>
      <c r="B152" s="1133" t="s">
        <v>1208</v>
      </c>
      <c r="C152" s="1134">
        <v>596454343.76999998</v>
      </c>
      <c r="D152" s="1134">
        <v>26238652</v>
      </c>
      <c r="E152" s="1134">
        <v>17413479</v>
      </c>
      <c r="F152" s="1134">
        <v>96633451.340000004</v>
      </c>
      <c r="G152" s="1134">
        <v>456168761.43000001</v>
      </c>
      <c r="H152" s="1134">
        <v>31472858.350000001</v>
      </c>
      <c r="I152" s="1135"/>
      <c r="J152" s="1135"/>
    </row>
    <row r="153" spans="1:10" s="1136" customFormat="1" ht="12" customHeight="1">
      <c r="A153" s="1132" t="s">
        <v>382</v>
      </c>
      <c r="B153" s="1133" t="s">
        <v>1209</v>
      </c>
      <c r="C153" s="1134">
        <v>487203038.64999998</v>
      </c>
      <c r="D153" s="1134">
        <v>26188027.059999999</v>
      </c>
      <c r="E153" s="1134">
        <v>17382767</v>
      </c>
      <c r="F153" s="1134">
        <v>95501292.299999997</v>
      </c>
      <c r="G153" s="1134">
        <v>348130952.29000002</v>
      </c>
      <c r="H153" s="1134">
        <v>25305673.93</v>
      </c>
      <c r="I153" s="1135"/>
      <c r="J153" s="1135"/>
    </row>
    <row r="154" spans="1:10" s="1136" customFormat="1" ht="12" customHeight="1">
      <c r="A154" s="1132" t="s">
        <v>386</v>
      </c>
      <c r="B154" s="1133" t="s">
        <v>1210</v>
      </c>
      <c r="C154" s="1134">
        <v>2171090910.8200002</v>
      </c>
      <c r="D154" s="1134">
        <v>92928822.890000001</v>
      </c>
      <c r="E154" s="1134">
        <v>61465450</v>
      </c>
      <c r="F154" s="1134">
        <v>337931860.79000002</v>
      </c>
      <c r="G154" s="1134">
        <v>1678764777.1400001</v>
      </c>
      <c r="H154" s="1134">
        <v>115107444.36</v>
      </c>
      <c r="I154" s="1135"/>
      <c r="J154" s="1135"/>
    </row>
    <row r="155" spans="1:10" ht="18" customHeight="1">
      <c r="A155" s="166" t="s">
        <v>26</v>
      </c>
      <c r="B155" s="1081" t="s">
        <v>1211</v>
      </c>
      <c r="C155" s="168">
        <v>12637556688.16</v>
      </c>
      <c r="D155" s="168">
        <v>464612499.56999999</v>
      </c>
      <c r="E155" s="168">
        <v>307388828.56999999</v>
      </c>
      <c r="F155" s="168">
        <v>1702196007.3699999</v>
      </c>
      <c r="G155" s="168">
        <v>10163359352.65</v>
      </c>
      <c r="H155" s="168">
        <v>678337612.53999996</v>
      </c>
    </row>
    <row r="156" spans="1:10" s="1136" customFormat="1" ht="12" customHeight="1">
      <c r="A156" s="1132" t="s">
        <v>391</v>
      </c>
      <c r="B156" s="1133" t="s">
        <v>1212</v>
      </c>
      <c r="C156" s="1134">
        <v>400066606.29000002</v>
      </c>
      <c r="D156" s="1134">
        <v>23253783.100000001</v>
      </c>
      <c r="E156" s="1134">
        <v>15451507</v>
      </c>
      <c r="F156" s="1134">
        <v>84949520.329999998</v>
      </c>
      <c r="G156" s="1134">
        <v>276411795.86000001</v>
      </c>
      <c r="H156" s="1134">
        <v>20642477.280000001</v>
      </c>
      <c r="I156" s="1135"/>
      <c r="J156" s="1135"/>
    </row>
    <row r="157" spans="1:10" s="1136" customFormat="1" ht="12" customHeight="1">
      <c r="A157" s="1132" t="s">
        <v>394</v>
      </c>
      <c r="B157" s="1133" t="s">
        <v>1213</v>
      </c>
      <c r="C157" s="1134">
        <v>320884874.70999998</v>
      </c>
      <c r="D157" s="1134">
        <v>12906878.630000001</v>
      </c>
      <c r="E157" s="1134">
        <v>8379900</v>
      </c>
      <c r="F157" s="1134">
        <v>44975235.939999998</v>
      </c>
      <c r="G157" s="1134">
        <v>254622860.13999999</v>
      </c>
      <c r="H157" s="1134">
        <v>17174691.210000001</v>
      </c>
      <c r="I157" s="1135"/>
      <c r="J157" s="1135"/>
    </row>
    <row r="158" spans="1:10" s="1136" customFormat="1" ht="12" customHeight="1">
      <c r="A158" s="1137" t="s">
        <v>397</v>
      </c>
      <c r="B158" s="1133" t="s">
        <v>1214</v>
      </c>
      <c r="C158" s="1140">
        <v>632857088.14999998</v>
      </c>
      <c r="D158" s="1140">
        <v>29815038.510000002</v>
      </c>
      <c r="E158" s="1140">
        <v>19677941</v>
      </c>
      <c r="F158" s="1140">
        <v>106694891.77</v>
      </c>
      <c r="G158" s="1140">
        <v>476669216.87</v>
      </c>
      <c r="H158" s="1140">
        <v>33466003.5</v>
      </c>
      <c r="I158" s="1135"/>
      <c r="J158" s="1135"/>
    </row>
    <row r="159" spans="1:10" ht="4" customHeight="1">
      <c r="A159" s="342"/>
      <c r="B159" s="1084"/>
      <c r="C159" s="342"/>
      <c r="D159" s="342"/>
      <c r="E159" s="342"/>
      <c r="F159" s="342"/>
      <c r="G159" s="342"/>
      <c r="H159" s="342"/>
      <c r="I159" s="610"/>
    </row>
    <row r="160" spans="1:10" s="1136" customFormat="1" ht="12.65" customHeight="1">
      <c r="A160" s="1144" t="s">
        <v>27</v>
      </c>
      <c r="B160" s="1145"/>
      <c r="C160" s="1146">
        <f t="shared" ref="C160:H160" si="1">SUM(C121:C158)</f>
        <v>60870288522.860008</v>
      </c>
      <c r="D160" s="1146">
        <f t="shared" si="1"/>
        <v>2566239437.6600008</v>
      </c>
      <c r="E160" s="1146">
        <f t="shared" si="1"/>
        <v>1695048430.9399998</v>
      </c>
      <c r="F160" s="1146">
        <f t="shared" si="1"/>
        <v>9242614368.0100002</v>
      </c>
      <c r="G160" s="1146">
        <f t="shared" si="1"/>
        <v>47366386286.249992</v>
      </c>
      <c r="H160" s="1146">
        <f t="shared" si="1"/>
        <v>3243899744.2799997</v>
      </c>
      <c r="I160" s="1135"/>
      <c r="J160" s="1135"/>
    </row>
    <row r="161" spans="1:10" s="1136" customFormat="1" ht="12.65" customHeight="1">
      <c r="A161" s="1144" t="s">
        <v>22</v>
      </c>
      <c r="B161" s="1145"/>
      <c r="C161" s="1146">
        <f t="shared" ref="C161:H161" si="2">C115</f>
        <v>204366076987.07004</v>
      </c>
      <c r="D161" s="1146">
        <f t="shared" si="2"/>
        <v>6327690363.6400013</v>
      </c>
      <c r="E161" s="1146">
        <f t="shared" si="2"/>
        <v>4194235011.1299996</v>
      </c>
      <c r="F161" s="1146">
        <f t="shared" si="2"/>
        <v>23514012198.310005</v>
      </c>
      <c r="G161" s="1146">
        <f t="shared" si="2"/>
        <v>170330139413.99002</v>
      </c>
      <c r="H161" s="1146">
        <f t="shared" si="2"/>
        <v>11065234604.239996</v>
      </c>
      <c r="I161" s="1135"/>
      <c r="J161" s="1135"/>
    </row>
    <row r="162" spans="1:10" s="1136" customFormat="1" ht="12.65" customHeight="1">
      <c r="A162" s="1144" t="s">
        <v>607</v>
      </c>
      <c r="B162" s="1147" t="s">
        <v>1215</v>
      </c>
      <c r="C162" s="1142">
        <v>7670110840.1400003</v>
      </c>
      <c r="D162" s="1142">
        <v>251541545.94</v>
      </c>
      <c r="E162" s="1142">
        <v>156587730.65000001</v>
      </c>
      <c r="F162" s="1142">
        <v>819894043.92999995</v>
      </c>
      <c r="G162" s="1142">
        <v>6442087519.6199999</v>
      </c>
      <c r="H162" s="1142">
        <v>419797508.57999998</v>
      </c>
      <c r="I162" s="1135"/>
      <c r="J162" s="1135"/>
    </row>
    <row r="163" spans="1:10" ht="6" customHeight="1">
      <c r="A163" s="340"/>
      <c r="B163" s="1083"/>
      <c r="C163" s="343"/>
      <c r="D163" s="343"/>
      <c r="E163" s="343"/>
      <c r="F163" s="343"/>
      <c r="G163" s="343"/>
      <c r="H163" s="343"/>
    </row>
    <row r="164" spans="1:10" s="1136" customFormat="1" ht="12.65" customHeight="1">
      <c r="A164" s="1144" t="s">
        <v>28</v>
      </c>
      <c r="B164" s="1145"/>
      <c r="C164" s="1146">
        <f t="shared" ref="C164:H164" si="3">SUM(C160:C162)</f>
        <v>272906476350.07007</v>
      </c>
      <c r="D164" s="1146">
        <f t="shared" si="3"/>
        <v>9145471347.2400036</v>
      </c>
      <c r="E164" s="1146">
        <f t="shared" si="3"/>
        <v>6045871172.7199993</v>
      </c>
      <c r="F164" s="1146">
        <f t="shared" si="3"/>
        <v>33576520610.250008</v>
      </c>
      <c r="G164" s="1146">
        <f t="shared" si="3"/>
        <v>224138613219.86002</v>
      </c>
      <c r="H164" s="1146">
        <f t="shared" si="3"/>
        <v>14728931857.099997</v>
      </c>
      <c r="I164" s="1135"/>
      <c r="J164" s="1135"/>
    </row>
    <row r="165" spans="1:10" s="334" customFormat="1" ht="6" customHeight="1">
      <c r="A165" s="605"/>
      <c r="B165" s="1086"/>
      <c r="C165" s="606"/>
      <c r="D165" s="606"/>
      <c r="E165" s="606"/>
      <c r="F165" s="606"/>
      <c r="G165" s="606"/>
      <c r="H165" s="606"/>
    </row>
    <row r="166" spans="1:10" s="1206" customFormat="1" ht="10" customHeight="1">
      <c r="A166" s="1202" t="s">
        <v>1</v>
      </c>
      <c r="B166" s="1203"/>
      <c r="C166" s="1204"/>
      <c r="D166" s="1203"/>
      <c r="E166" s="1203"/>
      <c r="F166" s="1203"/>
      <c r="G166" s="1203"/>
      <c r="H166" s="1205"/>
    </row>
    <row r="167" spans="1:10" s="1208" customFormat="1" ht="10" customHeight="1">
      <c r="A167" s="1207" t="s">
        <v>1020</v>
      </c>
      <c r="C167" s="1209"/>
      <c r="D167" s="1210"/>
      <c r="E167" s="1210"/>
      <c r="F167" s="1210"/>
      <c r="G167" s="1210"/>
      <c r="H167" s="1210"/>
    </row>
    <row r="168" spans="1:10" s="1208" customFormat="1" ht="10" customHeight="1">
      <c r="A168" s="1207" t="s">
        <v>775</v>
      </c>
      <c r="C168" s="1209"/>
      <c r="D168" s="1210"/>
      <c r="E168" s="1210"/>
      <c r="F168" s="1210"/>
      <c r="G168" s="1210"/>
      <c r="H168" s="1210"/>
    </row>
    <row r="169" spans="1:10" s="1208" customFormat="1" ht="10" customHeight="1">
      <c r="A169" s="1212" t="str">
        <f>'1.5'!A174</f>
        <v>* Returns not assigned to a locality are generally nonresident returns.  In these cases, the taxpayer did not report a locality in which the Virginia portion of income was earned.</v>
      </c>
      <c r="B169" s="1213"/>
      <c r="C169" s="1211"/>
    </row>
    <row r="170" spans="1:10" s="772" customFormat="1" ht="12.75" customHeight="1">
      <c r="A170" s="862" t="s">
        <v>993</v>
      </c>
      <c r="B170" s="862"/>
      <c r="C170" s="773"/>
      <c r="D170" s="773"/>
      <c r="E170" s="773"/>
      <c r="F170" s="774"/>
    </row>
    <row r="173" spans="1:10">
      <c r="D173" s="168"/>
      <c r="E173" s="168"/>
      <c r="F173" s="168"/>
      <c r="G173" s="168"/>
      <c r="H173" s="168"/>
    </row>
    <row r="180" spans="1:3" s="1666" customFormat="1" ht="11.5">
      <c r="A180" s="1665"/>
      <c r="C180" s="1667"/>
    </row>
    <row r="181" spans="1:3" s="1668" customFormat="1" ht="10" customHeight="1">
      <c r="C181" s="1669"/>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hyperlinks>
    <hyperlink ref="I1" location="TOC!A1" display="Back"/>
  </hyperlinks>
  <pageMargins left="0.6" right="0.25" top="0.25" bottom="0.1" header="0.25" footer="0.25"/>
  <pageSetup scale="83" firstPageNumber="17" fitToHeight="6" orientation="landscape" r:id="rId2"/>
  <headerFooter scaleWithDoc="0">
    <oddHeader>&amp;R&amp;P</oddHeader>
  </headerFooter>
  <rowBreaks count="3" manualBreakCount="3">
    <brk id="41" max="6" man="1"/>
    <brk id="82" max="6" man="1"/>
    <brk id="115"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44"/>
  <sheetViews>
    <sheetView zoomScaleNormal="100" workbookViewId="0"/>
  </sheetViews>
  <sheetFormatPr defaultColWidth="9.26953125" defaultRowHeight="13"/>
  <cols>
    <col min="1" max="1" width="6.6328125" style="100" customWidth="1"/>
    <col min="2" max="2" width="17.6328125" style="100" customWidth="1"/>
    <col min="3" max="3" width="12.6328125" style="1715" customWidth="1"/>
    <col min="4" max="4" width="12.6328125" style="433" customWidth="1"/>
    <col min="5" max="5" width="2.6328125" style="433" customWidth="1"/>
    <col min="6" max="6" width="12.6328125" style="1715" customWidth="1"/>
    <col min="7" max="7" width="12.6328125" style="433" customWidth="1"/>
    <col min="8" max="8" width="2.6328125" style="433" customWidth="1"/>
    <col min="9" max="9" width="12.6328125" style="1715" customWidth="1"/>
    <col min="10" max="10" width="12.6328125" style="433" customWidth="1"/>
    <col min="11" max="11" width="2.6328125" style="1716" customWidth="1"/>
    <col min="12" max="12" width="12.6328125" style="1715" customWidth="1"/>
    <col min="13" max="13" width="12.6328125" style="433" customWidth="1"/>
    <col min="14" max="14" width="4.6328125" style="100" customWidth="1"/>
    <col min="15" max="16" width="9.26953125" style="433"/>
    <col min="17" max="16384" width="9.26953125" style="100"/>
  </cols>
  <sheetData>
    <row r="1" spans="1:15" ht="16" customHeight="1">
      <c r="A1" s="405" t="s">
        <v>617</v>
      </c>
      <c r="C1" s="101"/>
      <c r="D1" s="1462"/>
      <c r="E1" s="1462"/>
      <c r="O1" s="939" t="s">
        <v>1018</v>
      </c>
    </row>
    <row r="2" spans="1:15" ht="15.5">
      <c r="A2" s="103" t="s">
        <v>618</v>
      </c>
      <c r="D2" s="1462"/>
      <c r="E2" s="1462"/>
    </row>
    <row r="3" spans="1:15" ht="6" customHeight="1" thickBot="1">
      <c r="B3" s="104"/>
      <c r="C3" s="1717"/>
      <c r="D3" s="1718"/>
      <c r="E3" s="1718"/>
      <c r="F3" s="1717"/>
      <c r="G3" s="1718"/>
      <c r="H3" s="1718"/>
    </row>
    <row r="4" spans="1:15" ht="15.5">
      <c r="A4" s="1907"/>
      <c r="B4" s="1908"/>
      <c r="C4" s="1719">
        <v>2017</v>
      </c>
      <c r="D4" s="1719"/>
      <c r="E4" s="1720"/>
      <c r="F4" s="1719">
        <v>2018</v>
      </c>
      <c r="G4" s="1719"/>
      <c r="H4" s="1720"/>
      <c r="I4" s="1721">
        <v>2019</v>
      </c>
      <c r="J4" s="1719"/>
      <c r="K4" s="1720"/>
      <c r="L4" s="1721">
        <v>2020</v>
      </c>
      <c r="M4" s="1719"/>
    </row>
    <row r="5" spans="1:15" ht="26">
      <c r="A5" s="1909" t="s">
        <v>619</v>
      </c>
      <c r="B5" s="1910"/>
      <c r="C5" s="1077" t="s">
        <v>1076</v>
      </c>
      <c r="D5" s="1419" t="s">
        <v>19</v>
      </c>
      <c r="E5" s="1722"/>
      <c r="F5" s="1077" t="s">
        <v>1076</v>
      </c>
      <c r="G5" s="1419" t="s">
        <v>19</v>
      </c>
      <c r="H5" s="1722"/>
      <c r="I5" s="1077" t="s">
        <v>1076</v>
      </c>
      <c r="J5" s="1419" t="s">
        <v>1341</v>
      </c>
      <c r="K5" s="1722"/>
      <c r="L5" s="1077" t="s">
        <v>1076</v>
      </c>
      <c r="M5" s="1419" t="s">
        <v>19</v>
      </c>
    </row>
    <row r="6" spans="1:15" ht="21" customHeight="1">
      <c r="A6" s="1906" t="s">
        <v>620</v>
      </c>
      <c r="B6" s="1906"/>
      <c r="C6" s="1452">
        <v>120722</v>
      </c>
      <c r="D6" s="1723">
        <v>24645554.41</v>
      </c>
      <c r="F6" s="1452">
        <v>183835</v>
      </c>
      <c r="G6" s="1723">
        <v>29014380.25</v>
      </c>
      <c r="I6" s="1452">
        <v>118572</v>
      </c>
      <c r="J6" s="1724">
        <v>25116360.699999999</v>
      </c>
      <c r="K6" s="433"/>
      <c r="L6" s="1452">
        <v>67765</v>
      </c>
      <c r="M6" s="1724">
        <v>14986156.43</v>
      </c>
    </row>
    <row r="7" spans="1:15" ht="12.5">
      <c r="A7" s="1906" t="s">
        <v>621</v>
      </c>
      <c r="B7" s="1906"/>
      <c r="C7" s="389">
        <v>4335</v>
      </c>
      <c r="D7" s="390">
        <v>912678.09</v>
      </c>
      <c r="F7" s="389">
        <v>5840</v>
      </c>
      <c r="G7" s="390">
        <v>1095441.3999999999</v>
      </c>
      <c r="I7" s="389">
        <v>6625</v>
      </c>
      <c r="J7" s="390">
        <v>1439198.43</v>
      </c>
      <c r="K7" s="433"/>
      <c r="L7" s="389">
        <v>6783</v>
      </c>
      <c r="M7" s="390">
        <v>1396821.2</v>
      </c>
    </row>
    <row r="8" spans="1:15" ht="12.75" customHeight="1">
      <c r="A8" s="1912" t="s">
        <v>622</v>
      </c>
      <c r="B8" s="1910"/>
      <c r="C8" s="389">
        <v>16294</v>
      </c>
      <c r="D8" s="390">
        <v>2252684.7999999998</v>
      </c>
      <c r="F8" s="389">
        <v>19788</v>
      </c>
      <c r="G8" s="390">
        <v>2601852.65</v>
      </c>
      <c r="I8" s="389">
        <v>37262</v>
      </c>
      <c r="J8" s="390">
        <v>5244447.8099999996</v>
      </c>
      <c r="K8" s="433"/>
      <c r="L8" s="389">
        <v>40491</v>
      </c>
      <c r="M8" s="390">
        <v>5211471.6500000004</v>
      </c>
    </row>
    <row r="9" spans="1:15" ht="12.5">
      <c r="A9" s="1906" t="s">
        <v>623</v>
      </c>
      <c r="B9" s="1906"/>
      <c r="C9" s="389">
        <v>1698</v>
      </c>
      <c r="D9" s="390">
        <v>258734.06</v>
      </c>
      <c r="F9" s="389">
        <v>2272</v>
      </c>
      <c r="G9" s="390">
        <v>309898.15000000002</v>
      </c>
      <c r="I9" s="389">
        <v>2314</v>
      </c>
      <c r="J9" s="390">
        <v>351093.01</v>
      </c>
      <c r="K9" s="433"/>
      <c r="L9" s="389">
        <v>2410</v>
      </c>
      <c r="M9" s="390">
        <v>359644.59</v>
      </c>
    </row>
    <row r="10" spans="1:15" ht="12.5">
      <c r="A10" s="1906" t="s">
        <v>624</v>
      </c>
      <c r="B10" s="1906"/>
      <c r="C10" s="389">
        <v>2005</v>
      </c>
      <c r="D10" s="390">
        <v>279658.76</v>
      </c>
      <c r="F10" s="389">
        <v>2226</v>
      </c>
      <c r="G10" s="390">
        <v>286306.44</v>
      </c>
      <c r="I10" s="389">
        <v>3919</v>
      </c>
      <c r="J10" s="390">
        <v>548832.85</v>
      </c>
      <c r="K10" s="433"/>
      <c r="L10" s="389">
        <v>4805</v>
      </c>
      <c r="M10" s="390">
        <v>606549.03</v>
      </c>
    </row>
    <row r="11" spans="1:15" ht="12.5">
      <c r="A11" s="105" t="s">
        <v>625</v>
      </c>
      <c r="B11" s="102"/>
      <c r="C11" s="389">
        <v>16476</v>
      </c>
      <c r="D11" s="390">
        <v>8252959.0099999998</v>
      </c>
      <c r="F11" s="389">
        <v>27635</v>
      </c>
      <c r="G11" s="390">
        <v>8688268.6300000008</v>
      </c>
      <c r="I11" s="389">
        <v>6781</v>
      </c>
      <c r="J11" s="390">
        <v>2487295.6800000002</v>
      </c>
      <c r="K11" s="433"/>
      <c r="L11" s="389">
        <v>2306</v>
      </c>
      <c r="M11" s="390">
        <v>1869537.17</v>
      </c>
    </row>
    <row r="12" spans="1:15" ht="12.5">
      <c r="A12" s="1911" t="s">
        <v>284</v>
      </c>
      <c r="B12" s="1911"/>
      <c r="C12" s="1452">
        <v>129680</v>
      </c>
      <c r="D12" s="1453">
        <v>22036178.760000002</v>
      </c>
      <c r="F12" s="1452">
        <v>151382</v>
      </c>
      <c r="G12" s="1453">
        <v>20855570.129999999</v>
      </c>
      <c r="I12" s="389">
        <v>124032</v>
      </c>
      <c r="J12" s="390">
        <v>20694617.34</v>
      </c>
      <c r="K12" s="433"/>
      <c r="L12" s="389">
        <v>91175</v>
      </c>
      <c r="M12" s="390">
        <v>14788383.75</v>
      </c>
    </row>
    <row r="13" spans="1:15" ht="12.5">
      <c r="A13" s="1911" t="s">
        <v>285</v>
      </c>
      <c r="B13" s="1911"/>
      <c r="C13" s="389">
        <v>113498</v>
      </c>
      <c r="D13" s="390">
        <v>18806390.030000001</v>
      </c>
      <c r="F13" s="389">
        <v>149958</v>
      </c>
      <c r="G13" s="390">
        <v>20369801.940000001</v>
      </c>
      <c r="I13" s="389">
        <v>114900</v>
      </c>
      <c r="J13" s="390">
        <v>18338563.329999998</v>
      </c>
      <c r="K13" s="433"/>
      <c r="L13" s="389">
        <v>93039</v>
      </c>
      <c r="M13" s="390">
        <v>15437520.27</v>
      </c>
    </row>
    <row r="14" spans="1:15" ht="12.5">
      <c r="A14" s="1911" t="s">
        <v>626</v>
      </c>
      <c r="B14" s="1911"/>
      <c r="C14" s="389">
        <v>6767</v>
      </c>
      <c r="D14" s="390">
        <v>608096.06999999995</v>
      </c>
      <c r="F14" s="389">
        <v>8267</v>
      </c>
      <c r="G14" s="390">
        <v>686459.6</v>
      </c>
      <c r="I14" s="389">
        <v>6190</v>
      </c>
      <c r="J14" s="390">
        <v>537884.18999999994</v>
      </c>
      <c r="K14" s="433"/>
      <c r="L14" s="389">
        <v>5960</v>
      </c>
      <c r="M14" s="390">
        <v>478133.7</v>
      </c>
    </row>
    <row r="15" spans="1:15" ht="12.5">
      <c r="A15" s="1906" t="s">
        <v>627</v>
      </c>
      <c r="B15" s="1906"/>
      <c r="C15" s="1452">
        <v>1282</v>
      </c>
      <c r="D15" s="1453">
        <v>352987.02</v>
      </c>
      <c r="F15" s="1452">
        <v>1732</v>
      </c>
      <c r="G15" s="1453">
        <v>373367.39</v>
      </c>
      <c r="I15" s="1452">
        <v>1379</v>
      </c>
      <c r="J15" s="390">
        <v>404823.16</v>
      </c>
      <c r="K15" s="433"/>
      <c r="L15" s="1452">
        <v>1086</v>
      </c>
      <c r="M15" s="390">
        <v>294920.27</v>
      </c>
    </row>
    <row r="16" spans="1:15" ht="21" customHeight="1">
      <c r="A16" s="1073" t="s">
        <v>892</v>
      </c>
      <c r="B16" s="1074"/>
      <c r="C16" s="1898">
        <v>3275</v>
      </c>
      <c r="D16" s="1899">
        <v>1213098.0900000001</v>
      </c>
      <c r="E16" s="1073"/>
      <c r="F16" s="1898">
        <v>27894</v>
      </c>
      <c r="G16" s="1899">
        <v>8682639.4900000002</v>
      </c>
      <c r="H16" s="1073"/>
      <c r="I16" s="1898">
        <v>17215</v>
      </c>
      <c r="J16" s="1899">
        <v>5057115.0199999996</v>
      </c>
      <c r="K16" s="1073"/>
      <c r="L16" s="1898">
        <v>2566</v>
      </c>
      <c r="M16" s="1899">
        <v>813724.61</v>
      </c>
    </row>
    <row r="17" spans="1:13" ht="15" customHeight="1">
      <c r="A17" s="1075"/>
      <c r="B17" s="1076" t="s">
        <v>628</v>
      </c>
      <c r="C17" s="1725">
        <f>SUM(C6:C16)</f>
        <v>416032</v>
      </c>
      <c r="D17" s="1726">
        <f>SUM(D6:D16)</f>
        <v>79619019.099999994</v>
      </c>
      <c r="E17" s="1727"/>
      <c r="F17" s="1725">
        <f>SUM(F6:F16)</f>
        <v>580829</v>
      </c>
      <c r="G17" s="1726">
        <f>SUM(G6:G16)</f>
        <v>92963986.069999978</v>
      </c>
      <c r="H17" s="1727"/>
      <c r="I17" s="1725">
        <f>SUM(I6:I16)</f>
        <v>439189</v>
      </c>
      <c r="J17" s="1726">
        <f>SUM(J6:J16)</f>
        <v>80220231.519999996</v>
      </c>
      <c r="K17" s="1727"/>
      <c r="L17" s="1725">
        <f>SUM(L6:L16)</f>
        <v>318386</v>
      </c>
      <c r="M17" s="1726">
        <f>SUM(M6:M16)</f>
        <v>56242862.670000009</v>
      </c>
    </row>
    <row r="18" spans="1:13" ht="6" customHeight="1">
      <c r="G18" s="1728"/>
      <c r="J18" s="1728"/>
      <c r="L18" s="1729"/>
      <c r="M18" s="1723"/>
    </row>
    <row r="19" spans="1:13" s="876" customFormat="1">
      <c r="A19" s="613" t="s">
        <v>18</v>
      </c>
      <c r="B19" s="613"/>
      <c r="C19" s="874"/>
      <c r="D19" s="613"/>
      <c r="E19" s="613"/>
      <c r="F19" s="874"/>
      <c r="G19" s="613"/>
      <c r="H19" s="613"/>
      <c r="I19" s="874"/>
      <c r="J19" s="613"/>
      <c r="K19" s="875"/>
      <c r="L19" s="874"/>
      <c r="M19" s="613"/>
    </row>
    <row r="20" spans="1:13" s="876" customFormat="1" ht="13" customHeight="1">
      <c r="A20" s="613" t="s">
        <v>774</v>
      </c>
      <c r="B20" s="613"/>
      <c r="C20" s="874"/>
      <c r="D20" s="613"/>
      <c r="E20" s="613"/>
      <c r="F20" s="874"/>
      <c r="G20" s="613"/>
      <c r="H20" s="613"/>
      <c r="I20" s="874"/>
      <c r="J20" s="613"/>
      <c r="K20" s="875"/>
      <c r="L20" s="874"/>
      <c r="M20" s="613"/>
    </row>
    <row r="21" spans="1:13" s="876" customFormat="1" ht="13" customHeight="1">
      <c r="A21" s="614" t="s">
        <v>899</v>
      </c>
      <c r="B21" s="771"/>
      <c r="C21" s="771"/>
      <c r="D21" s="771"/>
      <c r="E21" s="771"/>
      <c r="F21" s="771"/>
      <c r="G21" s="771"/>
      <c r="H21" s="771"/>
      <c r="I21" s="771"/>
      <c r="J21" s="771"/>
      <c r="K21" s="771"/>
      <c r="L21" s="771"/>
      <c r="M21" s="771"/>
    </row>
    <row r="22" spans="1:13" ht="13" customHeight="1">
      <c r="A22" s="1454" t="s">
        <v>1342</v>
      </c>
    </row>
    <row r="23" spans="1:13" ht="8" customHeight="1">
      <c r="A23" s="107"/>
    </row>
    <row r="24" spans="1:13" ht="8" customHeight="1">
      <c r="B24" s="106"/>
    </row>
    <row r="25" spans="1:13" ht="18">
      <c r="A25" s="108" t="s">
        <v>629</v>
      </c>
      <c r="C25" s="1730"/>
    </row>
    <row r="26" spans="1:13" ht="15.5">
      <c r="A26" s="110" t="s">
        <v>630</v>
      </c>
      <c r="C26" s="1730"/>
    </row>
    <row r="27" spans="1:13" ht="13.5" thickBot="1">
      <c r="B27" s="109"/>
      <c r="C27" s="1730"/>
    </row>
    <row r="28" spans="1:13">
      <c r="B28" s="111" t="s">
        <v>631</v>
      </c>
      <c r="C28" s="1731" t="s">
        <v>16</v>
      </c>
      <c r="F28" s="611"/>
      <c r="G28" s="611"/>
    </row>
    <row r="29" spans="1:13" ht="12.75" hidden="1" customHeight="1">
      <c r="B29" s="112">
        <v>2009</v>
      </c>
      <c r="C29" s="1517"/>
      <c r="F29" s="612"/>
      <c r="G29" s="1533"/>
    </row>
    <row r="30" spans="1:13" ht="12.75" customHeight="1">
      <c r="B30" s="112">
        <v>2010</v>
      </c>
      <c r="C30" s="1518">
        <v>18578293.82</v>
      </c>
      <c r="F30" s="612"/>
      <c r="G30" s="1533"/>
    </row>
    <row r="31" spans="1:13" ht="12.75" customHeight="1">
      <c r="B31" s="112">
        <v>2011</v>
      </c>
      <c r="C31" s="1519">
        <v>18104923.309999999</v>
      </c>
      <c r="F31" s="612"/>
      <c r="G31" s="1533"/>
    </row>
    <row r="32" spans="1:13" ht="12.75" customHeight="1">
      <c r="B32" s="112">
        <v>2012</v>
      </c>
      <c r="C32" s="1732">
        <v>17368776.620000001</v>
      </c>
      <c r="F32" s="612"/>
      <c r="G32" s="1533"/>
    </row>
    <row r="33" spans="1:14" ht="12.75" customHeight="1">
      <c r="B33" s="113">
        <v>2013</v>
      </c>
      <c r="C33" s="1732">
        <v>18211926.469999999</v>
      </c>
      <c r="F33" s="612"/>
      <c r="G33" s="1533"/>
    </row>
    <row r="34" spans="1:14" ht="12.75" customHeight="1">
      <c r="B34" s="113">
        <v>2014</v>
      </c>
      <c r="C34" s="1733">
        <v>19469019.920000002</v>
      </c>
      <c r="F34" s="612"/>
      <c r="G34" s="1533"/>
    </row>
    <row r="35" spans="1:14" ht="12.75" customHeight="1">
      <c r="B35" s="113">
        <v>2015</v>
      </c>
      <c r="C35" s="1733">
        <v>19206043.66</v>
      </c>
      <c r="F35" s="612"/>
      <c r="G35" s="1533"/>
    </row>
    <row r="36" spans="1:14" ht="12.75" customHeight="1">
      <c r="B36" s="114">
        <v>2016</v>
      </c>
      <c r="C36" s="1733">
        <v>16359793.289999999</v>
      </c>
      <c r="F36" s="612"/>
      <c r="G36" s="1533"/>
    </row>
    <row r="37" spans="1:14" ht="12.75" customHeight="1">
      <c r="B37" s="113">
        <v>2017</v>
      </c>
      <c r="C37" s="1733">
        <v>17431562.34</v>
      </c>
      <c r="F37" s="612"/>
      <c r="G37" s="1533"/>
    </row>
    <row r="38" spans="1:14" ht="12.75" customHeight="1">
      <c r="B38" s="113">
        <v>2018</v>
      </c>
      <c r="C38" s="1734">
        <v>16204019.57</v>
      </c>
      <c r="F38" s="612"/>
      <c r="G38" s="1533"/>
    </row>
    <row r="39" spans="1:14">
      <c r="B39" s="114">
        <v>2019</v>
      </c>
      <c r="C39" s="1734">
        <v>17428289.379999999</v>
      </c>
      <c r="F39" s="612"/>
    </row>
    <row r="40" spans="1:14" ht="12.75" customHeight="1">
      <c r="B40" s="113">
        <v>2020</v>
      </c>
      <c r="C40" s="1733">
        <v>18570711.949999999</v>
      </c>
      <c r="I40" s="115"/>
      <c r="J40" s="115"/>
    </row>
    <row r="41" spans="1:14" ht="12.75" customHeight="1">
      <c r="D41" s="1735"/>
      <c r="I41" s="115"/>
      <c r="J41" s="115"/>
    </row>
    <row r="42" spans="1:14" s="1289" customFormat="1" ht="10" customHeight="1">
      <c r="A42" s="1289" t="s">
        <v>18</v>
      </c>
      <c r="B42" s="1290"/>
      <c r="C42" s="1290"/>
      <c r="D42" s="1290"/>
      <c r="F42" s="1291"/>
      <c r="G42" s="1292"/>
      <c r="H42" s="1292"/>
      <c r="I42" s="1291"/>
      <c r="K42" s="1292"/>
      <c r="L42" s="1292"/>
      <c r="M42" s="1292"/>
      <c r="N42" s="1292"/>
    </row>
    <row r="43" spans="1:14" s="1289" customFormat="1" ht="10" customHeight="1">
      <c r="A43" s="1296" t="s">
        <v>1077</v>
      </c>
      <c r="B43" s="1297"/>
      <c r="C43" s="1297"/>
      <c r="D43" s="1297"/>
      <c r="E43" s="1293"/>
      <c r="F43" s="1294"/>
      <c r="I43" s="1291"/>
      <c r="K43" s="1295"/>
      <c r="L43" s="1291"/>
    </row>
    <row r="44" spans="1:14" s="772" customFormat="1" ht="12.75" customHeight="1">
      <c r="A44" s="862" t="s">
        <v>994</v>
      </c>
      <c r="B44" s="773"/>
      <c r="C44" s="943"/>
      <c r="D44" s="943"/>
      <c r="E44" s="943"/>
      <c r="F44" s="1561"/>
      <c r="G44" s="1561"/>
      <c r="H44" s="1561"/>
      <c r="I44" s="1561"/>
      <c r="J44" s="1561"/>
      <c r="K44" s="1561"/>
      <c r="L44" s="1561"/>
      <c r="M44" s="1561"/>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1">
    <mergeCell ref="A7:B7"/>
    <mergeCell ref="A4:B4"/>
    <mergeCell ref="A5:B5"/>
    <mergeCell ref="A6:B6"/>
    <mergeCell ref="A15:B15"/>
    <mergeCell ref="A14:B14"/>
    <mergeCell ref="A8:B8"/>
    <mergeCell ref="A9:B9"/>
    <mergeCell ref="A10:B10"/>
    <mergeCell ref="A12:B12"/>
    <mergeCell ref="A13:B13"/>
  </mergeCells>
  <hyperlinks>
    <hyperlink ref="O1" location="TOC!A1" display="Back"/>
  </hyperlinks>
  <pageMargins left="0.5" right="0.25" top="0.4" bottom="0.25" header="0.25" footer="0"/>
  <pageSetup scale="96" firstPageNumber="22" orientation="landscape" r:id="rId2"/>
  <headerFooter scaleWithDoc="0">
    <oddHeader>&amp;R&amp;P</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54"/>
  <sheetViews>
    <sheetView zoomScale="85" zoomScaleNormal="85" workbookViewId="0"/>
  </sheetViews>
  <sheetFormatPr defaultColWidth="9.54296875" defaultRowHeight="11.5"/>
  <cols>
    <col min="1" max="1" width="58.7265625" style="119" customWidth="1"/>
    <col min="2" max="2" width="10.1796875" style="119" hidden="1" customWidth="1"/>
    <col min="3" max="3" width="12.54296875" style="119" hidden="1" customWidth="1"/>
    <col min="4" max="4" width="2.54296875" style="119" hidden="1" customWidth="1"/>
    <col min="5" max="5" width="10.7265625" style="119" customWidth="1"/>
    <col min="6" max="6" width="12.7265625" style="119" customWidth="1"/>
    <col min="7" max="7" width="2.54296875" style="119" customWidth="1"/>
    <col min="8" max="8" width="10.7265625" style="135" customWidth="1"/>
    <col min="9" max="9" width="12.7265625" style="119" customWidth="1"/>
    <col min="10" max="10" width="2.54296875" style="119" customWidth="1"/>
    <col min="11" max="11" width="10.7265625" style="135" customWidth="1"/>
    <col min="12" max="12" width="12.7265625" style="119" customWidth="1"/>
    <col min="13" max="14" width="9.6328125" style="119" customWidth="1"/>
    <col min="15" max="16384" width="9.54296875" style="119"/>
  </cols>
  <sheetData>
    <row r="1" spans="1:15" ht="17.149999999999999" customHeight="1">
      <c r="A1" s="406" t="s">
        <v>632</v>
      </c>
      <c r="B1" s="116"/>
      <c r="C1" s="116"/>
      <c r="D1" s="116"/>
      <c r="E1" s="116"/>
      <c r="F1" s="116"/>
      <c r="G1" s="116"/>
      <c r="H1" s="117"/>
      <c r="I1" s="116"/>
      <c r="J1" s="116"/>
      <c r="K1" s="117"/>
      <c r="L1" s="116"/>
      <c r="M1" s="118"/>
      <c r="O1" s="939" t="s">
        <v>1018</v>
      </c>
    </row>
    <row r="2" spans="1:15" ht="15" customHeight="1">
      <c r="A2" s="120" t="s">
        <v>1270</v>
      </c>
      <c r="C2" s="116"/>
      <c r="D2" s="116"/>
      <c r="E2" s="116"/>
      <c r="F2" s="116"/>
      <c r="G2" s="116"/>
      <c r="H2" s="117"/>
      <c r="I2" s="116"/>
      <c r="J2" s="116"/>
      <c r="K2" s="117"/>
      <c r="L2" s="116"/>
      <c r="M2" s="118"/>
    </row>
    <row r="3" spans="1:15" ht="6" customHeight="1" thickBot="1">
      <c r="A3" s="121"/>
      <c r="B3" s="121"/>
      <c r="C3" s="121"/>
      <c r="D3" s="121"/>
      <c r="E3" s="121"/>
      <c r="F3" s="121"/>
      <c r="G3" s="121"/>
      <c r="H3" s="122"/>
      <c r="I3" s="121"/>
      <c r="J3" s="121"/>
      <c r="K3" s="122"/>
      <c r="L3" s="121"/>
      <c r="M3" s="118"/>
    </row>
    <row r="4" spans="1:15" ht="14.15" customHeight="1">
      <c r="A4" s="1299"/>
      <c r="B4" s="1300">
        <v>2017</v>
      </c>
      <c r="C4" s="1301"/>
      <c r="D4" s="1302"/>
      <c r="E4" s="1305">
        <v>2018</v>
      </c>
      <c r="F4" s="1306"/>
      <c r="G4" s="1302"/>
      <c r="H4" s="1305">
        <v>2019</v>
      </c>
      <c r="I4" s="1306"/>
      <c r="J4" s="1302"/>
      <c r="K4" s="1305">
        <v>2020</v>
      </c>
      <c r="L4" s="1306"/>
      <c r="M4" s="118"/>
    </row>
    <row r="5" spans="1:15" s="123" customFormat="1" ht="14.15" customHeight="1">
      <c r="A5" s="1303" t="s">
        <v>633</v>
      </c>
      <c r="B5" s="1304" t="s">
        <v>634</v>
      </c>
      <c r="C5" s="1304" t="s">
        <v>19</v>
      </c>
      <c r="D5" s="1304"/>
      <c r="E5" s="1304" t="s">
        <v>634</v>
      </c>
      <c r="F5" s="1304" t="s">
        <v>19</v>
      </c>
      <c r="G5" s="1304"/>
      <c r="H5" s="1304" t="s">
        <v>634</v>
      </c>
      <c r="I5" s="1304" t="s">
        <v>19</v>
      </c>
      <c r="J5" s="1304"/>
      <c r="K5" s="1304" t="s">
        <v>634</v>
      </c>
      <c r="L5" s="1304" t="s">
        <v>19</v>
      </c>
      <c r="M5" s="121"/>
      <c r="N5" s="119"/>
      <c r="O5" s="119"/>
    </row>
    <row r="6" spans="1:15" ht="21" customHeight="1">
      <c r="A6" s="878" t="s">
        <v>635</v>
      </c>
      <c r="B6" s="122">
        <v>2226</v>
      </c>
      <c r="C6" s="124">
        <v>48940.25</v>
      </c>
      <c r="D6" s="125"/>
      <c r="E6" s="122">
        <v>1681</v>
      </c>
      <c r="F6" s="124">
        <v>32622.68</v>
      </c>
      <c r="H6" s="122">
        <v>2890</v>
      </c>
      <c r="I6" s="124">
        <v>56719.53</v>
      </c>
      <c r="K6" s="122">
        <v>2385</v>
      </c>
      <c r="L6" s="124">
        <v>47376.68</v>
      </c>
      <c r="M6" s="118"/>
      <c r="N6" s="123"/>
      <c r="O6" s="123"/>
    </row>
    <row r="7" spans="1:15" s="984" customFormat="1" ht="14.15" customHeight="1">
      <c r="A7" s="879" t="s">
        <v>636</v>
      </c>
      <c r="B7" s="982">
        <v>646</v>
      </c>
      <c r="C7" s="983">
        <v>13398.64</v>
      </c>
      <c r="D7" s="982"/>
      <c r="E7" s="982">
        <v>641</v>
      </c>
      <c r="F7" s="983">
        <v>12070</v>
      </c>
      <c r="H7" s="982">
        <v>1051</v>
      </c>
      <c r="I7" s="983">
        <v>19978.64</v>
      </c>
      <c r="K7" s="985">
        <v>709</v>
      </c>
      <c r="L7" s="983">
        <v>14091.07</v>
      </c>
      <c r="M7" s="986"/>
    </row>
    <row r="8" spans="1:15" s="984" customFormat="1" ht="14.15" customHeight="1">
      <c r="A8" s="435" t="s">
        <v>637</v>
      </c>
      <c r="B8" s="982">
        <v>3601</v>
      </c>
      <c r="C8" s="983">
        <v>87143.97</v>
      </c>
      <c r="D8" s="982"/>
      <c r="E8" s="982">
        <v>3282</v>
      </c>
      <c r="F8" s="983">
        <v>74491.98</v>
      </c>
      <c r="H8" s="982">
        <v>5012</v>
      </c>
      <c r="I8" s="983">
        <v>108343.52</v>
      </c>
      <c r="K8" s="985">
        <v>5024</v>
      </c>
      <c r="L8" s="983">
        <v>115598.51</v>
      </c>
      <c r="M8" s="986"/>
    </row>
    <row r="9" spans="1:15" s="984" customFormat="1" ht="14.15" customHeight="1">
      <c r="A9" s="879" t="s">
        <v>638</v>
      </c>
      <c r="B9" s="19">
        <v>1808</v>
      </c>
      <c r="C9" s="983">
        <v>43610.400000000001</v>
      </c>
      <c r="D9" s="982"/>
      <c r="E9" s="19">
        <v>1701</v>
      </c>
      <c r="F9" s="983">
        <v>34905.919999999998</v>
      </c>
      <c r="H9" s="19">
        <v>3108</v>
      </c>
      <c r="I9" s="983">
        <v>66219.72</v>
      </c>
      <c r="K9" s="985">
        <v>3361</v>
      </c>
      <c r="L9" s="983">
        <v>83134.070000000007</v>
      </c>
      <c r="M9" s="986"/>
    </row>
    <row r="10" spans="1:15" s="984" customFormat="1" ht="14.15" customHeight="1">
      <c r="A10" s="879" t="s">
        <v>639</v>
      </c>
      <c r="B10" s="19">
        <v>2105</v>
      </c>
      <c r="C10" s="983">
        <v>45028.27</v>
      </c>
      <c r="D10" s="982"/>
      <c r="E10" s="19">
        <v>1762</v>
      </c>
      <c r="F10" s="983">
        <v>34553.26</v>
      </c>
      <c r="H10" s="19">
        <v>2501</v>
      </c>
      <c r="I10" s="983">
        <v>47135.12</v>
      </c>
      <c r="K10" s="985">
        <v>2551</v>
      </c>
      <c r="L10" s="983">
        <v>59776.17</v>
      </c>
      <c r="M10" s="986"/>
    </row>
    <row r="11" spans="1:15" s="984" customFormat="1" ht="14.15" customHeight="1">
      <c r="A11" s="879" t="s">
        <v>640</v>
      </c>
      <c r="B11" s="982">
        <v>1230</v>
      </c>
      <c r="C11" s="983">
        <v>28944.14</v>
      </c>
      <c r="D11" s="982"/>
      <c r="E11" s="982">
        <v>1213</v>
      </c>
      <c r="F11" s="983">
        <v>25353.87</v>
      </c>
      <c r="H11" s="982">
        <v>1455</v>
      </c>
      <c r="I11" s="983">
        <v>30981.59</v>
      </c>
      <c r="K11" s="985">
        <v>1760</v>
      </c>
      <c r="L11" s="983">
        <v>45925</v>
      </c>
      <c r="M11" s="986"/>
    </row>
    <row r="12" spans="1:15" s="984" customFormat="1" ht="14.15" customHeight="1">
      <c r="A12" s="879" t="s">
        <v>641</v>
      </c>
      <c r="B12" s="982">
        <v>3077</v>
      </c>
      <c r="C12" s="983">
        <v>68659.360000000001</v>
      </c>
      <c r="D12" s="982"/>
      <c r="E12" s="982">
        <v>2598</v>
      </c>
      <c r="F12" s="983">
        <v>52933.760000000002</v>
      </c>
      <c r="H12" s="982">
        <v>4157</v>
      </c>
      <c r="I12" s="983">
        <v>85910.32</v>
      </c>
      <c r="K12" s="985">
        <v>4125</v>
      </c>
      <c r="L12" s="983">
        <v>92703.73</v>
      </c>
      <c r="M12" s="986"/>
    </row>
    <row r="13" spans="1:15" s="984" customFormat="1" ht="14.15" customHeight="1">
      <c r="A13" s="879" t="s">
        <v>802</v>
      </c>
      <c r="B13" s="982">
        <v>2</v>
      </c>
      <c r="C13" s="983">
        <v>70</v>
      </c>
      <c r="D13" s="982"/>
      <c r="E13" s="982">
        <v>0</v>
      </c>
      <c r="F13" s="983">
        <v>0</v>
      </c>
      <c r="H13" s="982">
        <v>1</v>
      </c>
      <c r="I13" s="983">
        <v>10</v>
      </c>
      <c r="K13" s="985">
        <v>1</v>
      </c>
      <c r="L13" s="983">
        <v>25</v>
      </c>
      <c r="M13" s="986"/>
    </row>
    <row r="14" spans="1:15" s="984" customFormat="1" ht="14.15" customHeight="1">
      <c r="A14" s="435" t="s">
        <v>803</v>
      </c>
      <c r="B14" s="982">
        <v>1</v>
      </c>
      <c r="C14" s="983">
        <v>20</v>
      </c>
      <c r="D14" s="982"/>
      <c r="E14" s="982">
        <v>0</v>
      </c>
      <c r="F14" s="983">
        <v>0</v>
      </c>
      <c r="H14" s="982">
        <v>1</v>
      </c>
      <c r="I14" s="983">
        <v>10</v>
      </c>
      <c r="K14" s="985">
        <v>2</v>
      </c>
      <c r="L14" s="983">
        <v>50</v>
      </c>
      <c r="M14" s="986"/>
    </row>
    <row r="15" spans="1:15" s="984" customFormat="1" ht="14.15" customHeight="1">
      <c r="A15" s="879" t="s">
        <v>642</v>
      </c>
      <c r="B15" s="982">
        <v>2458</v>
      </c>
      <c r="C15" s="983">
        <v>49534.14</v>
      </c>
      <c r="D15" s="982"/>
      <c r="E15" s="982">
        <v>2143</v>
      </c>
      <c r="F15" s="983">
        <v>41120.980000000003</v>
      </c>
      <c r="H15" s="982">
        <v>3120</v>
      </c>
      <c r="I15" s="983">
        <v>54681.599999999999</v>
      </c>
      <c r="K15" s="985">
        <v>3094</v>
      </c>
      <c r="L15" s="983">
        <v>63368.07</v>
      </c>
      <c r="M15" s="986"/>
    </row>
    <row r="16" spans="1:15" s="984" customFormat="1" ht="14.15" customHeight="1">
      <c r="A16" s="879" t="s">
        <v>643</v>
      </c>
      <c r="B16" s="982">
        <v>3164</v>
      </c>
      <c r="C16" s="983">
        <v>83670.25</v>
      </c>
      <c r="D16" s="982"/>
      <c r="E16" s="982">
        <v>3285</v>
      </c>
      <c r="F16" s="983">
        <v>82044.710000000006</v>
      </c>
      <c r="H16" s="982">
        <v>3872</v>
      </c>
      <c r="I16" s="983">
        <v>91734.78</v>
      </c>
      <c r="K16" s="985">
        <v>4198</v>
      </c>
      <c r="L16" s="983">
        <v>113372.05</v>
      </c>
      <c r="M16" s="986"/>
    </row>
    <row r="17" spans="1:15" s="984" customFormat="1" ht="14.15" customHeight="1">
      <c r="A17" s="435" t="s">
        <v>804</v>
      </c>
      <c r="B17" s="982">
        <v>3</v>
      </c>
      <c r="C17" s="983">
        <v>120</v>
      </c>
      <c r="D17" s="982"/>
      <c r="E17" s="982">
        <v>0</v>
      </c>
      <c r="F17" s="983">
        <v>0</v>
      </c>
      <c r="H17" s="982">
        <v>0</v>
      </c>
      <c r="I17" s="983">
        <v>0</v>
      </c>
      <c r="K17" s="985">
        <v>0</v>
      </c>
      <c r="L17" s="983">
        <v>0</v>
      </c>
      <c r="M17" s="986"/>
    </row>
    <row r="18" spans="1:15" s="984" customFormat="1" ht="14.15" customHeight="1">
      <c r="A18" s="435" t="s">
        <v>699</v>
      </c>
      <c r="B18" s="982">
        <v>1942</v>
      </c>
      <c r="C18" s="983">
        <v>36736.89</v>
      </c>
      <c r="D18" s="982"/>
      <c r="E18" s="982">
        <v>2171</v>
      </c>
      <c r="F18" s="983">
        <v>38664.47</v>
      </c>
      <c r="H18" s="982">
        <v>2691</v>
      </c>
      <c r="I18" s="983">
        <v>48422.58</v>
      </c>
      <c r="K18" s="985">
        <v>3049</v>
      </c>
      <c r="L18" s="983">
        <v>65984.47</v>
      </c>
      <c r="M18" s="986"/>
    </row>
    <row r="19" spans="1:15" s="984" customFormat="1" ht="14.15" customHeight="1">
      <c r="A19" s="437" t="s">
        <v>805</v>
      </c>
      <c r="B19" s="982">
        <v>7</v>
      </c>
      <c r="C19" s="983">
        <v>82</v>
      </c>
      <c r="D19" s="982"/>
      <c r="E19" s="982">
        <v>6</v>
      </c>
      <c r="F19" s="983">
        <v>84</v>
      </c>
      <c r="H19" s="982">
        <v>0</v>
      </c>
      <c r="I19" s="983">
        <v>0</v>
      </c>
      <c r="K19" s="985">
        <v>1</v>
      </c>
      <c r="L19" s="983">
        <v>10</v>
      </c>
      <c r="M19" s="986"/>
    </row>
    <row r="20" spans="1:15" s="984" customFormat="1" ht="14.15" customHeight="1">
      <c r="A20" s="435" t="s">
        <v>917</v>
      </c>
      <c r="B20" s="982">
        <v>1</v>
      </c>
      <c r="C20" s="983">
        <v>50</v>
      </c>
      <c r="D20" s="982"/>
      <c r="E20" s="982">
        <v>998</v>
      </c>
      <c r="F20" s="983">
        <v>17151.45</v>
      </c>
      <c r="H20" s="982">
        <v>1651</v>
      </c>
      <c r="I20" s="983">
        <v>32090.91</v>
      </c>
      <c r="K20" s="985">
        <v>1751</v>
      </c>
      <c r="L20" s="983">
        <v>37142.35</v>
      </c>
      <c r="M20" s="986"/>
    </row>
    <row r="21" spans="1:15" s="988" customFormat="1" ht="14.15" customHeight="1">
      <c r="A21" s="880" t="s">
        <v>644</v>
      </c>
      <c r="B21" s="987">
        <v>1334</v>
      </c>
      <c r="C21" s="983">
        <v>43953.33</v>
      </c>
      <c r="D21" s="987"/>
      <c r="E21" s="987">
        <v>1273</v>
      </c>
      <c r="F21" s="983">
        <v>37614.75</v>
      </c>
      <c r="H21" s="987">
        <v>1599</v>
      </c>
      <c r="I21" s="983">
        <v>50293.58</v>
      </c>
      <c r="K21" s="985">
        <v>1586</v>
      </c>
      <c r="L21" s="983">
        <v>52515.03</v>
      </c>
      <c r="M21" s="986"/>
      <c r="N21" s="984"/>
      <c r="O21" s="984"/>
    </row>
    <row r="22" spans="1:15" s="984" customFormat="1" ht="14.15" customHeight="1">
      <c r="A22" s="879" t="s">
        <v>897</v>
      </c>
      <c r="B22" s="985">
        <v>20</v>
      </c>
      <c r="C22" s="983">
        <v>304</v>
      </c>
      <c r="D22" s="983"/>
      <c r="E22" s="985">
        <v>6</v>
      </c>
      <c r="F22" s="983">
        <v>423</v>
      </c>
      <c r="G22" s="989"/>
      <c r="H22" s="985">
        <v>5</v>
      </c>
      <c r="I22" s="983">
        <v>140</v>
      </c>
      <c r="J22" s="989"/>
      <c r="K22" s="985">
        <v>1</v>
      </c>
      <c r="L22" s="983">
        <v>10</v>
      </c>
      <c r="M22" s="986"/>
      <c r="N22" s="988"/>
      <c r="O22" s="988"/>
    </row>
    <row r="23" spans="1:15" s="984" customFormat="1" ht="14.15" customHeight="1">
      <c r="A23" s="435" t="s">
        <v>806</v>
      </c>
      <c r="B23" s="983">
        <v>1</v>
      </c>
      <c r="C23" s="983">
        <v>25</v>
      </c>
      <c r="D23" s="983"/>
      <c r="E23" s="983">
        <v>0</v>
      </c>
      <c r="F23" s="983">
        <v>0</v>
      </c>
      <c r="G23" s="989"/>
      <c r="H23" s="983">
        <v>0</v>
      </c>
      <c r="I23" s="983">
        <v>0</v>
      </c>
      <c r="J23" s="989"/>
      <c r="K23" s="985">
        <v>1</v>
      </c>
      <c r="L23" s="983">
        <v>10</v>
      </c>
      <c r="M23" s="986"/>
    </row>
    <row r="24" spans="1:15" s="984" customFormat="1" ht="14.15" customHeight="1">
      <c r="A24" s="879" t="s">
        <v>645</v>
      </c>
      <c r="B24" s="985">
        <v>2170</v>
      </c>
      <c r="C24" s="983">
        <v>46049.85</v>
      </c>
      <c r="D24" s="983"/>
      <c r="E24" s="985">
        <v>1831</v>
      </c>
      <c r="F24" s="983">
        <v>37980.720000000001</v>
      </c>
      <c r="G24" s="989"/>
      <c r="H24" s="985">
        <v>2410</v>
      </c>
      <c r="I24" s="983">
        <v>47489.87</v>
      </c>
      <c r="J24" s="989"/>
      <c r="K24" s="985">
        <v>2392</v>
      </c>
      <c r="L24" s="983">
        <v>50355.51</v>
      </c>
      <c r="M24" s="986"/>
    </row>
    <row r="25" spans="1:15" s="984" customFormat="1" ht="14.15" customHeight="1">
      <c r="A25" s="435" t="s">
        <v>807</v>
      </c>
      <c r="B25" s="983">
        <v>4</v>
      </c>
      <c r="C25" s="983">
        <v>155</v>
      </c>
      <c r="D25" s="127"/>
      <c r="E25" s="983">
        <v>0</v>
      </c>
      <c r="F25" s="983">
        <v>0</v>
      </c>
      <c r="G25" s="989"/>
      <c r="H25" s="983">
        <v>1</v>
      </c>
      <c r="I25" s="983">
        <v>10</v>
      </c>
      <c r="J25" s="989"/>
      <c r="K25" s="985">
        <v>1</v>
      </c>
      <c r="L25" s="983">
        <v>10</v>
      </c>
      <c r="M25" s="986"/>
    </row>
    <row r="26" spans="1:15" s="984" customFormat="1" ht="14.15" customHeight="1">
      <c r="A26" s="879" t="s">
        <v>646</v>
      </c>
      <c r="B26" s="982">
        <v>1600</v>
      </c>
      <c r="C26" s="983">
        <v>33485.279999999999</v>
      </c>
      <c r="D26" s="127"/>
      <c r="E26" s="982">
        <v>1246</v>
      </c>
      <c r="F26" s="983">
        <v>24994.47</v>
      </c>
      <c r="H26" s="982">
        <v>1922</v>
      </c>
      <c r="I26" s="983">
        <v>36849.47</v>
      </c>
      <c r="K26" s="985">
        <v>1804</v>
      </c>
      <c r="L26" s="983">
        <v>40715.35</v>
      </c>
      <c r="M26" s="986"/>
    </row>
    <row r="27" spans="1:15" s="984" customFormat="1" ht="14.15" customHeight="1">
      <c r="A27" s="879" t="s">
        <v>647</v>
      </c>
      <c r="B27" s="982">
        <v>1902</v>
      </c>
      <c r="C27" s="983">
        <v>42383.28</v>
      </c>
      <c r="D27" s="127"/>
      <c r="E27" s="982">
        <v>1679</v>
      </c>
      <c r="F27" s="983">
        <v>37630.160000000003</v>
      </c>
      <c r="H27" s="982">
        <v>2659</v>
      </c>
      <c r="I27" s="983">
        <v>57833.66</v>
      </c>
      <c r="K27" s="985">
        <v>2591</v>
      </c>
      <c r="L27" s="983">
        <v>63442.44</v>
      </c>
      <c r="M27" s="986"/>
    </row>
    <row r="28" spans="1:15" s="984" customFormat="1" ht="14.15" customHeight="1">
      <c r="A28" s="435" t="s">
        <v>808</v>
      </c>
      <c r="B28" s="982">
        <v>5</v>
      </c>
      <c r="C28" s="983">
        <v>295</v>
      </c>
      <c r="D28" s="127"/>
      <c r="E28" s="982">
        <v>0</v>
      </c>
      <c r="F28" s="983">
        <v>0</v>
      </c>
      <c r="H28" s="982">
        <v>0</v>
      </c>
      <c r="I28" s="983">
        <v>0</v>
      </c>
      <c r="K28" s="985">
        <v>1</v>
      </c>
      <c r="L28" s="983">
        <v>25</v>
      </c>
      <c r="M28" s="986"/>
    </row>
    <row r="29" spans="1:15" s="984" customFormat="1" ht="14.15" customHeight="1">
      <c r="A29" s="879" t="s">
        <v>648</v>
      </c>
      <c r="B29" s="982">
        <v>1804</v>
      </c>
      <c r="C29" s="983">
        <v>44190.239999999998</v>
      </c>
      <c r="D29" s="127"/>
      <c r="E29" s="982">
        <v>1796</v>
      </c>
      <c r="F29" s="983">
        <v>38476.67</v>
      </c>
      <c r="H29" s="982">
        <v>2224</v>
      </c>
      <c r="I29" s="983">
        <v>51726.78</v>
      </c>
      <c r="K29" s="985">
        <v>2198</v>
      </c>
      <c r="L29" s="983">
        <v>60345.96</v>
      </c>
      <c r="M29" s="986"/>
    </row>
    <row r="30" spans="1:15" s="984" customFormat="1" ht="14.15" customHeight="1">
      <c r="A30" s="435" t="s">
        <v>649</v>
      </c>
      <c r="B30" s="982">
        <v>1635</v>
      </c>
      <c r="C30" s="983">
        <v>43001.86</v>
      </c>
      <c r="D30" s="127"/>
      <c r="E30" s="982">
        <v>1565</v>
      </c>
      <c r="F30" s="983">
        <v>40105.050000000003</v>
      </c>
      <c r="H30" s="982">
        <v>2634</v>
      </c>
      <c r="I30" s="983">
        <v>64875.37</v>
      </c>
      <c r="K30" s="985">
        <v>2667</v>
      </c>
      <c r="L30" s="983">
        <v>81092.09</v>
      </c>
      <c r="M30" s="986"/>
    </row>
    <row r="31" spans="1:15" s="984" customFormat="1" ht="14.15" customHeight="1">
      <c r="A31" s="435" t="s">
        <v>809</v>
      </c>
      <c r="B31" s="982">
        <v>2</v>
      </c>
      <c r="C31" s="983">
        <v>36</v>
      </c>
      <c r="D31" s="127"/>
      <c r="E31" s="982">
        <v>0</v>
      </c>
      <c r="F31" s="983">
        <v>0</v>
      </c>
      <c r="H31" s="982">
        <v>0</v>
      </c>
      <c r="I31" s="983">
        <v>0</v>
      </c>
      <c r="K31" s="985">
        <v>0</v>
      </c>
      <c r="L31" s="983">
        <v>0</v>
      </c>
      <c r="M31" s="986"/>
    </row>
    <row r="32" spans="1:15" s="984" customFormat="1" ht="14.15" customHeight="1">
      <c r="A32" s="435" t="s">
        <v>756</v>
      </c>
      <c r="B32" s="983">
        <v>983</v>
      </c>
      <c r="C32" s="983">
        <v>648929</v>
      </c>
      <c r="D32" s="1033"/>
      <c r="E32" s="983">
        <v>949</v>
      </c>
      <c r="F32" s="983">
        <v>599362.82999999996</v>
      </c>
      <c r="G32" s="990"/>
      <c r="H32" s="983">
        <v>1024</v>
      </c>
      <c r="I32" s="983">
        <v>637076.97</v>
      </c>
      <c r="J32" s="990"/>
      <c r="K32" s="985">
        <v>995</v>
      </c>
      <c r="L32" s="983">
        <v>604040.1</v>
      </c>
      <c r="M32" s="986"/>
    </row>
    <row r="33" spans="1:14" s="984" customFormat="1" ht="14.15" customHeight="1">
      <c r="A33" s="435" t="s">
        <v>818</v>
      </c>
      <c r="B33" s="987">
        <v>384</v>
      </c>
      <c r="C33" s="987">
        <v>5534.87</v>
      </c>
      <c r="D33" s="991"/>
      <c r="E33" s="987">
        <v>339</v>
      </c>
      <c r="F33" s="987">
        <v>3939.81</v>
      </c>
      <c r="G33" s="992"/>
      <c r="H33" s="987">
        <v>8</v>
      </c>
      <c r="I33" s="987">
        <v>236</v>
      </c>
      <c r="J33" s="992"/>
      <c r="K33" s="985">
        <v>11</v>
      </c>
      <c r="L33" s="983">
        <v>111</v>
      </c>
      <c r="M33" s="986"/>
    </row>
    <row r="34" spans="1:14" s="984" customFormat="1" ht="14.15" customHeight="1">
      <c r="A34" s="435" t="s">
        <v>810</v>
      </c>
      <c r="B34" s="987">
        <v>144</v>
      </c>
      <c r="C34" s="987">
        <v>3640.9300000000003</v>
      </c>
      <c r="D34" s="991"/>
      <c r="E34" s="987">
        <v>134</v>
      </c>
      <c r="F34" s="987">
        <v>2876</v>
      </c>
      <c r="G34" s="992"/>
      <c r="H34" s="987">
        <v>25</v>
      </c>
      <c r="I34" s="987">
        <v>2541</v>
      </c>
      <c r="J34" s="992"/>
      <c r="K34" s="985">
        <v>11</v>
      </c>
      <c r="L34" s="983">
        <v>422</v>
      </c>
      <c r="M34" s="986"/>
    </row>
    <row r="35" spans="1:14" s="984" customFormat="1" ht="14.15" customHeight="1">
      <c r="A35" s="435" t="s">
        <v>811</v>
      </c>
      <c r="B35" s="987">
        <v>678</v>
      </c>
      <c r="C35" s="987">
        <v>13666.7</v>
      </c>
      <c r="D35" s="991"/>
      <c r="E35" s="987">
        <v>655</v>
      </c>
      <c r="F35" s="987">
        <v>11081.45</v>
      </c>
      <c r="G35" s="992"/>
      <c r="H35" s="987">
        <v>23</v>
      </c>
      <c r="I35" s="987">
        <v>654</v>
      </c>
      <c r="J35" s="992"/>
      <c r="K35" s="985">
        <v>12</v>
      </c>
      <c r="L35" s="983">
        <v>167</v>
      </c>
      <c r="M35" s="986"/>
    </row>
    <row r="36" spans="1:14" s="984" customFormat="1" ht="14.15" customHeight="1">
      <c r="A36" s="435" t="s">
        <v>813</v>
      </c>
      <c r="B36" s="987">
        <v>297</v>
      </c>
      <c r="C36" s="987">
        <v>3809</v>
      </c>
      <c r="D36" s="991"/>
      <c r="E36" s="987">
        <v>323</v>
      </c>
      <c r="F36" s="987">
        <v>4349.53</v>
      </c>
      <c r="G36" s="992"/>
      <c r="H36" s="987">
        <v>12</v>
      </c>
      <c r="I36" s="987">
        <v>144</v>
      </c>
      <c r="J36" s="992"/>
      <c r="K36" s="985">
        <v>7</v>
      </c>
      <c r="L36" s="983">
        <v>20</v>
      </c>
      <c r="M36" s="986"/>
    </row>
    <row r="37" spans="1:14" s="984" customFormat="1" ht="14.15" customHeight="1">
      <c r="A37" s="435" t="s">
        <v>812</v>
      </c>
      <c r="B37" s="987">
        <v>1149</v>
      </c>
      <c r="C37" s="987">
        <v>21960.7</v>
      </c>
      <c r="D37" s="991"/>
      <c r="E37" s="987">
        <v>1097</v>
      </c>
      <c r="F37" s="987">
        <v>18276.84</v>
      </c>
      <c r="G37" s="992"/>
      <c r="H37" s="987">
        <v>20</v>
      </c>
      <c r="I37" s="987">
        <v>369</v>
      </c>
      <c r="J37" s="992"/>
      <c r="K37" s="985">
        <v>21</v>
      </c>
      <c r="L37" s="983">
        <v>295</v>
      </c>
      <c r="M37" s="986"/>
    </row>
    <row r="38" spans="1:14" s="984" customFormat="1" ht="14.15" customHeight="1">
      <c r="A38" s="435" t="s">
        <v>814</v>
      </c>
      <c r="B38" s="987">
        <v>953</v>
      </c>
      <c r="C38" s="987">
        <v>15759.09</v>
      </c>
      <c r="D38" s="991"/>
      <c r="E38" s="987">
        <v>982</v>
      </c>
      <c r="F38" s="987">
        <v>14017</v>
      </c>
      <c r="G38" s="992"/>
      <c r="H38" s="987">
        <v>22</v>
      </c>
      <c r="I38" s="987">
        <v>1065</v>
      </c>
      <c r="J38" s="992"/>
      <c r="K38" s="985">
        <v>12</v>
      </c>
      <c r="L38" s="983">
        <v>126</v>
      </c>
      <c r="M38" s="986"/>
    </row>
    <row r="39" spans="1:14" s="984" customFormat="1" ht="14.15" customHeight="1">
      <c r="A39" s="435" t="s">
        <v>815</v>
      </c>
      <c r="B39" s="987">
        <v>136</v>
      </c>
      <c r="C39" s="987">
        <v>1481</v>
      </c>
      <c r="D39" s="991"/>
      <c r="E39" s="987">
        <v>134</v>
      </c>
      <c r="F39" s="987">
        <v>3315</v>
      </c>
      <c r="G39" s="992"/>
      <c r="H39" s="987">
        <v>3</v>
      </c>
      <c r="I39" s="987">
        <v>36</v>
      </c>
      <c r="J39" s="992"/>
      <c r="K39" s="985">
        <v>3</v>
      </c>
      <c r="L39" s="983">
        <v>4</v>
      </c>
      <c r="M39" s="986"/>
    </row>
    <row r="40" spans="1:14" s="984" customFormat="1" ht="14.15" customHeight="1">
      <c r="A40" s="435" t="s">
        <v>816</v>
      </c>
      <c r="B40" s="987">
        <v>1604</v>
      </c>
      <c r="C40" s="987">
        <v>31516.35</v>
      </c>
      <c r="D40" s="991"/>
      <c r="E40" s="987">
        <v>1518</v>
      </c>
      <c r="F40" s="987">
        <v>28169.599999999999</v>
      </c>
      <c r="G40" s="992"/>
      <c r="H40" s="987">
        <v>33</v>
      </c>
      <c r="I40" s="987">
        <v>1047</v>
      </c>
      <c r="J40" s="992"/>
      <c r="K40" s="985">
        <v>24</v>
      </c>
      <c r="L40" s="983">
        <v>384</v>
      </c>
      <c r="M40" s="986"/>
    </row>
    <row r="41" spans="1:14" s="984" customFormat="1" ht="14.15" customHeight="1">
      <c r="A41" s="435" t="s">
        <v>817</v>
      </c>
      <c r="B41" s="987">
        <v>2789</v>
      </c>
      <c r="C41" s="987">
        <v>72059.73</v>
      </c>
      <c r="D41" s="991"/>
      <c r="E41" s="987">
        <v>2811</v>
      </c>
      <c r="F41" s="987">
        <v>71122.28</v>
      </c>
      <c r="G41" s="992"/>
      <c r="H41" s="987">
        <v>4269</v>
      </c>
      <c r="I41" s="987">
        <v>136938.82</v>
      </c>
      <c r="J41" s="992"/>
      <c r="K41" s="985">
        <v>5121</v>
      </c>
      <c r="L41" s="983">
        <v>185866.94</v>
      </c>
      <c r="M41" s="986"/>
    </row>
    <row r="42" spans="1:14" ht="6" customHeight="1">
      <c r="A42" s="435"/>
      <c r="B42" s="126"/>
      <c r="C42" s="125"/>
      <c r="D42" s="129"/>
      <c r="E42" s="126"/>
      <c r="F42" s="125"/>
      <c r="G42" s="125"/>
      <c r="H42" s="126"/>
      <c r="I42" s="125"/>
      <c r="J42" s="125"/>
      <c r="K42" s="126"/>
      <c r="L42" s="125"/>
      <c r="M42" s="118"/>
    </row>
    <row r="43" spans="1:14" ht="14.5" customHeight="1">
      <c r="A43" s="436" t="s">
        <v>16</v>
      </c>
      <c r="B43" s="130">
        <f>SUM(B6:B41)</f>
        <v>41865</v>
      </c>
      <c r="C43" s="130">
        <f t="shared" ref="C43:L43" si="0">SUM(C6:C41)</f>
        <v>1578244.52</v>
      </c>
      <c r="D43" s="130"/>
      <c r="E43" s="130">
        <f t="shared" si="0"/>
        <v>39819</v>
      </c>
      <c r="F43" s="130">
        <f t="shared" si="0"/>
        <v>1419732.2400000002</v>
      </c>
      <c r="G43" s="130"/>
      <c r="H43" s="130">
        <f t="shared" ref="H43:I43" si="1">SUM(H6:H41)</f>
        <v>50403</v>
      </c>
      <c r="I43" s="130">
        <f t="shared" si="1"/>
        <v>1731564.83</v>
      </c>
      <c r="J43" s="130"/>
      <c r="K43" s="130">
        <f t="shared" si="0"/>
        <v>51470</v>
      </c>
      <c r="L43" s="130">
        <f t="shared" si="0"/>
        <v>1878514.5899999999</v>
      </c>
      <c r="M43" s="118"/>
    </row>
    <row r="44" spans="1:14" ht="9" customHeight="1">
      <c r="A44" s="128"/>
      <c r="B44" s="131"/>
      <c r="C44" s="132"/>
      <c r="D44" s="133"/>
      <c r="E44" s="131"/>
      <c r="F44" s="134"/>
      <c r="G44" s="134"/>
      <c r="H44" s="131"/>
      <c r="I44" s="131"/>
      <c r="J44" s="134"/>
      <c r="K44" s="131"/>
      <c r="L44" s="131"/>
      <c r="M44" s="118"/>
    </row>
    <row r="45" spans="1:14" s="1298" customFormat="1" ht="14.15" customHeight="1">
      <c r="A45" s="1307" t="s">
        <v>1</v>
      </c>
      <c r="B45" s="1308"/>
      <c r="C45" s="1309"/>
      <c r="D45" s="1309"/>
      <c r="E45" s="1308"/>
      <c r="F45" s="1310"/>
      <c r="G45" s="1310"/>
      <c r="H45" s="1308"/>
      <c r="I45" s="1310"/>
      <c r="J45" s="1310"/>
      <c r="K45" s="1308"/>
      <c r="L45" s="1310"/>
      <c r="M45" s="1311"/>
      <c r="N45" s="1311"/>
    </row>
    <row r="46" spans="1:14" s="1298" customFormat="1" ht="11" customHeight="1">
      <c r="A46" s="1915" t="s">
        <v>650</v>
      </c>
      <c r="B46" s="1915"/>
      <c r="C46" s="1915"/>
      <c r="D46" s="1915"/>
      <c r="E46" s="1915"/>
      <c r="F46" s="1915"/>
      <c r="G46" s="1915"/>
      <c r="H46" s="1915"/>
      <c r="I46" s="1915"/>
      <c r="J46" s="1915"/>
      <c r="K46" s="1915"/>
      <c r="L46" s="1915"/>
      <c r="M46" s="1914"/>
      <c r="N46" s="1914"/>
    </row>
    <row r="47" spans="1:14" s="1298" customFormat="1" ht="24" customHeight="1">
      <c r="A47" s="1915" t="s">
        <v>1060</v>
      </c>
      <c r="B47" s="1915"/>
      <c r="C47" s="1915"/>
      <c r="D47" s="1915"/>
      <c r="E47" s="1915"/>
      <c r="F47" s="1915"/>
      <c r="G47" s="1915"/>
      <c r="H47" s="1915"/>
      <c r="I47" s="1915"/>
      <c r="J47" s="1915"/>
      <c r="K47" s="1915"/>
      <c r="L47" s="1915"/>
      <c r="M47" s="1914"/>
      <c r="N47" s="1914"/>
    </row>
    <row r="48" spans="1:14" s="1298" customFormat="1" ht="11" customHeight="1">
      <c r="A48" s="1915" t="s">
        <v>1277</v>
      </c>
      <c r="B48" s="1915"/>
      <c r="C48" s="1915"/>
      <c r="D48" s="1915"/>
      <c r="E48" s="1915"/>
      <c r="F48" s="1915"/>
      <c r="G48" s="1915"/>
      <c r="H48" s="1915"/>
      <c r="I48" s="1915"/>
      <c r="J48" s="1915"/>
      <c r="K48" s="1915"/>
      <c r="L48" s="1915"/>
      <c r="M48" s="1914"/>
      <c r="N48" s="1914"/>
    </row>
    <row r="49" spans="1:15" s="1298" customFormat="1" ht="11" customHeight="1">
      <c r="A49" s="1916" t="s">
        <v>1278</v>
      </c>
      <c r="B49" s="1916"/>
      <c r="C49" s="1916"/>
      <c r="D49" s="1916"/>
      <c r="E49" s="1916"/>
      <c r="F49" s="1916"/>
      <c r="G49" s="1916"/>
      <c r="H49" s="1916"/>
      <c r="I49" s="1916"/>
      <c r="J49" s="1916"/>
      <c r="K49" s="1916"/>
      <c r="L49" s="1916"/>
      <c r="M49" s="1914"/>
      <c r="N49" s="1914"/>
    </row>
    <row r="50" spans="1:15" s="1298" customFormat="1" ht="24" customHeight="1">
      <c r="A50" s="1917" t="s">
        <v>1279</v>
      </c>
      <c r="B50" s="1913"/>
      <c r="C50" s="1913"/>
      <c r="D50" s="1913"/>
      <c r="E50" s="1913"/>
      <c r="F50" s="1913"/>
      <c r="G50" s="1913"/>
      <c r="H50" s="1913"/>
      <c r="I50" s="1913"/>
      <c r="J50" s="1913"/>
      <c r="K50" s="1913"/>
      <c r="L50" s="1913"/>
      <c r="M50" s="1914"/>
      <c r="N50" s="1914"/>
    </row>
    <row r="51" spans="1:15" s="1298" customFormat="1" ht="11" customHeight="1">
      <c r="A51" s="1913" t="s">
        <v>918</v>
      </c>
      <c r="B51" s="1913"/>
      <c r="C51" s="1913"/>
      <c r="D51" s="1913"/>
      <c r="E51" s="1913"/>
      <c r="F51" s="1913"/>
      <c r="G51" s="1913"/>
      <c r="H51" s="1913"/>
      <c r="I51" s="1913"/>
      <c r="J51" s="1913"/>
      <c r="K51" s="1913"/>
      <c r="L51" s="1913"/>
      <c r="M51" s="1914"/>
      <c r="N51" s="1914"/>
    </row>
    <row r="52" spans="1:15" s="1298" customFormat="1" ht="11" customHeight="1">
      <c r="A52" s="1913" t="s">
        <v>819</v>
      </c>
      <c r="B52" s="1913"/>
      <c r="C52" s="1913"/>
      <c r="D52" s="1913"/>
      <c r="E52" s="1913"/>
      <c r="F52" s="1913"/>
      <c r="G52" s="1913"/>
      <c r="H52" s="1913"/>
      <c r="I52" s="1913"/>
      <c r="J52" s="1913"/>
      <c r="K52" s="1913"/>
      <c r="L52" s="1913"/>
      <c r="M52" s="1914"/>
      <c r="N52" s="1914"/>
    </row>
    <row r="53" spans="1:15" s="772" customFormat="1" ht="12.75" customHeight="1">
      <c r="A53" s="862" t="s">
        <v>997</v>
      </c>
      <c r="B53" s="773"/>
      <c r="C53" s="773"/>
      <c r="D53" s="773"/>
      <c r="E53" s="774"/>
      <c r="O53" s="123"/>
    </row>
    <row r="54" spans="1:15" ht="13">
      <c r="O54" s="772"/>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7">
    <mergeCell ref="A52:N52"/>
    <mergeCell ref="A48:N48"/>
    <mergeCell ref="A47:N47"/>
    <mergeCell ref="A46:N46"/>
    <mergeCell ref="A49:N49"/>
    <mergeCell ref="A50:N50"/>
    <mergeCell ref="A51:N51"/>
  </mergeCells>
  <conditionalFormatting sqref="M6:M31">
    <cfRule type="cellIs" dxfId="2" priority="2" stopIfTrue="1" operator="equal">
      <formula>0</formula>
    </cfRule>
  </conditionalFormatting>
  <hyperlinks>
    <hyperlink ref="O1" location="TOC!A1" display="Back"/>
  </hyperlinks>
  <pageMargins left="0.6" right="0.25" top="0.4" bottom="0.25" header="0.25" footer="0.25"/>
  <pageSetup scale="78" firstPageNumber="23" orientation="landscape" r:id="rId2"/>
  <headerFooter scaleWithDoc="0">
    <oddHeader>&amp;R&amp;P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44"/>
  <sheetViews>
    <sheetView zoomScaleNormal="100" workbookViewId="0"/>
  </sheetViews>
  <sheetFormatPr defaultColWidth="11.453125" defaultRowHeight="15.5"/>
  <cols>
    <col min="1" max="1" width="18.7265625" style="65" customWidth="1"/>
    <col min="2" max="3" width="3.7265625" style="65" customWidth="1"/>
    <col min="4" max="4" width="18.7265625" style="65" customWidth="1"/>
    <col min="5" max="12" width="10.7265625" style="65" customWidth="1"/>
    <col min="13" max="16384" width="11.453125" style="65"/>
  </cols>
  <sheetData>
    <row r="1" spans="1:13" ht="18">
      <c r="A1" s="401" t="s">
        <v>280</v>
      </c>
      <c r="M1" s="939" t="s">
        <v>1018</v>
      </c>
    </row>
    <row r="2" spans="1:13">
      <c r="A2" s="66" t="s">
        <v>281</v>
      </c>
    </row>
    <row r="3" spans="1:13" ht="16" thickBot="1"/>
    <row r="4" spans="1:13" ht="16" thickTop="1">
      <c r="A4" s="68" t="s">
        <v>31</v>
      </c>
      <c r="B4" s="68"/>
      <c r="C4" s="68"/>
      <c r="D4" s="68" t="s">
        <v>19</v>
      </c>
      <c r="E4" s="67"/>
    </row>
    <row r="5" spans="1:13" hidden="1">
      <c r="A5" s="69">
        <v>2010</v>
      </c>
      <c r="B5" s="70"/>
      <c r="C5" s="70"/>
      <c r="D5" s="230">
        <v>806472760</v>
      </c>
      <c r="E5" s="71"/>
    </row>
    <row r="6" spans="1:13" hidden="1">
      <c r="A6" s="69">
        <v>2011</v>
      </c>
      <c r="B6" s="70"/>
      <c r="C6" s="70"/>
      <c r="D6" s="73">
        <v>822258802.83999991</v>
      </c>
      <c r="E6" s="71"/>
    </row>
    <row r="7" spans="1:13">
      <c r="A7" s="69">
        <v>2012</v>
      </c>
      <c r="B7" s="70"/>
      <c r="C7" s="70"/>
      <c r="D7" s="72">
        <v>859922839.54999995</v>
      </c>
      <c r="E7" s="71"/>
    </row>
    <row r="8" spans="1:13">
      <c r="A8" s="74">
        <v>2013</v>
      </c>
      <c r="B8" s="70"/>
      <c r="C8" s="70"/>
      <c r="D8" s="73">
        <v>796728154.4000001</v>
      </c>
      <c r="E8" s="71"/>
      <c r="F8" s="73"/>
    </row>
    <row r="9" spans="1:13">
      <c r="A9" s="74">
        <v>2014</v>
      </c>
      <c r="B9" s="70"/>
      <c r="C9" s="70"/>
      <c r="D9" s="73">
        <v>757490742.09000015</v>
      </c>
      <c r="E9" s="71"/>
    </row>
    <row r="10" spans="1:13">
      <c r="A10" s="74">
        <v>2015</v>
      </c>
      <c r="D10" s="73">
        <v>831906887.15999985</v>
      </c>
      <c r="E10" s="71"/>
    </row>
    <row r="11" spans="1:13">
      <c r="A11" s="74">
        <v>2016</v>
      </c>
      <c r="D11" s="73">
        <v>764948013.7700001</v>
      </c>
      <c r="E11" s="71"/>
    </row>
    <row r="12" spans="1:13">
      <c r="A12" s="74">
        <v>2017</v>
      </c>
      <c r="D12" s="75">
        <v>826960822.31000006</v>
      </c>
      <c r="E12" s="71"/>
    </row>
    <row r="13" spans="1:13">
      <c r="A13" s="74">
        <v>2018</v>
      </c>
      <c r="D13" s="75">
        <v>861897138.17999983</v>
      </c>
      <c r="E13" s="409">
        <f>D13/D12-1</f>
        <v>4.2246639656289942E-2</v>
      </c>
    </row>
    <row r="14" spans="1:13">
      <c r="A14" s="74">
        <v>2019</v>
      </c>
      <c r="D14" s="75">
        <v>943390660.94999993</v>
      </c>
      <c r="E14" s="438"/>
    </row>
    <row r="15" spans="1:13">
      <c r="A15" s="74">
        <v>2020</v>
      </c>
      <c r="D15" s="395">
        <f>1456048948.77-254758722.16-189640608.54</f>
        <v>1011649618.0699999</v>
      </c>
      <c r="E15" s="571"/>
    </row>
    <row r="16" spans="1:13">
      <c r="A16" s="74">
        <v>2021</v>
      </c>
      <c r="D16" s="395">
        <v>1515692110.6500001</v>
      </c>
      <c r="E16" s="571"/>
    </row>
    <row r="17" spans="1:5">
      <c r="A17" s="74">
        <v>2022</v>
      </c>
      <c r="D17" s="395">
        <v>1978697205.29</v>
      </c>
      <c r="E17" s="394"/>
    </row>
    <row r="18" spans="1:5">
      <c r="D18" s="528"/>
      <c r="E18" s="394"/>
    </row>
    <row r="19" spans="1:5" s="1312" customFormat="1" ht="10" customHeight="1">
      <c r="A19" s="1313" t="s">
        <v>1</v>
      </c>
      <c r="B19" s="1313"/>
      <c r="C19" s="1313"/>
      <c r="D19" s="1313"/>
    </row>
    <row r="20" spans="1:5" s="1312" customFormat="1" ht="10" customHeight="1">
      <c r="A20" s="1313" t="s">
        <v>282</v>
      </c>
      <c r="B20" s="1313"/>
      <c r="C20" s="1313"/>
      <c r="D20" s="1313"/>
    </row>
    <row r="21" spans="1:5" s="1312" customFormat="1" ht="47" customHeight="1">
      <c r="A21" s="1918" t="s">
        <v>1335</v>
      </c>
      <c r="B21" s="1919"/>
      <c r="C21" s="1919"/>
      <c r="D21" s="1919"/>
    </row>
    <row r="22" spans="1:5" s="772" customFormat="1" ht="12.75" customHeight="1">
      <c r="A22" s="862" t="s">
        <v>990</v>
      </c>
      <c r="B22" s="773"/>
      <c r="C22" s="773"/>
      <c r="D22" s="773"/>
      <c r="E22" s="774"/>
    </row>
    <row r="43" spans="1:4">
      <c r="A43" s="69"/>
      <c r="B43" s="70"/>
      <c r="C43" s="70"/>
      <c r="D43" s="76"/>
    </row>
    <row r="44" spans="1:4">
      <c r="A44" s="74"/>
      <c r="B44" s="70"/>
      <c r="C44" s="70"/>
      <c r="D44" s="77"/>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21:D21"/>
  </mergeCells>
  <hyperlinks>
    <hyperlink ref="M1" location="TOC!A1" display="Back"/>
  </hyperlinks>
  <pageMargins left="0.6" right="0.25" top="0.5" bottom="0.5" header="0.25" footer="0.5"/>
  <pageSetup orientation="landscape" r:id="rId2"/>
  <headerFooter scaleWithDoc="0">
    <oddHeader>&amp;R&amp;P</oddHead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
  <sheetViews>
    <sheetView zoomScaleNormal="100" workbookViewId="0"/>
  </sheetViews>
  <sheetFormatPr defaultColWidth="9.1796875" defaultRowHeight="12.5"/>
  <cols>
    <col min="1" max="1" width="23.6328125" style="23" customWidth="1"/>
    <col min="2" max="2" width="17.6328125" style="1534" customWidth="1"/>
    <col min="3" max="3" width="8.6328125" style="1534" customWidth="1"/>
    <col min="4" max="4" width="2.7265625" style="1534" customWidth="1"/>
    <col min="5" max="5" width="15.6328125" style="1534" customWidth="1"/>
    <col min="6" max="6" width="8.6328125" style="1534" customWidth="1"/>
    <col min="7" max="7" width="2.7265625" style="1534" customWidth="1"/>
    <col min="8" max="8" width="14.6328125" style="1534" customWidth="1"/>
    <col min="9" max="9" width="8.6328125" style="1534" customWidth="1"/>
    <col min="10" max="10" width="6.6328125" style="23" customWidth="1"/>
    <col min="11" max="16384" width="9.1796875" style="23"/>
  </cols>
  <sheetData>
    <row r="1" spans="1:12" ht="18">
      <c r="A1" s="402" t="s">
        <v>32</v>
      </c>
      <c r="B1" s="1499"/>
      <c r="C1" s="1500"/>
      <c r="D1" s="1500"/>
      <c r="E1" s="1499"/>
      <c r="F1" s="1500"/>
      <c r="G1" s="1500"/>
      <c r="H1" s="1499"/>
      <c r="I1" s="1500"/>
      <c r="J1" s="22"/>
      <c r="K1" s="939" t="s">
        <v>1018</v>
      </c>
    </row>
    <row r="2" spans="1:12" ht="15.5">
      <c r="A2" s="616" t="s">
        <v>1271</v>
      </c>
      <c r="B2" s="1499"/>
      <c r="C2" s="1500"/>
      <c r="D2" s="1500"/>
      <c r="E2" s="1499"/>
      <c r="F2" s="1500"/>
      <c r="G2" s="1500"/>
      <c r="H2" s="1499"/>
      <c r="I2" s="1500"/>
      <c r="J2" s="22"/>
    </row>
    <row r="3" spans="1:12">
      <c r="A3" s="617" t="s">
        <v>1071</v>
      </c>
      <c r="B3" s="1501"/>
      <c r="C3" s="1502"/>
      <c r="D3" s="1502"/>
      <c r="E3" s="1501"/>
      <c r="F3" s="1502"/>
      <c r="G3" s="1502"/>
      <c r="H3" s="1501"/>
      <c r="I3" s="1502"/>
      <c r="J3" s="24"/>
    </row>
    <row r="4" spans="1:12" ht="6" customHeight="1" thickBot="1">
      <c r="A4" s="618"/>
      <c r="B4" s="1501"/>
      <c r="C4" s="1502"/>
      <c r="D4" s="1502"/>
      <c r="E4" s="1501"/>
      <c r="F4" s="1502"/>
      <c r="G4" s="1502"/>
      <c r="H4" s="1501"/>
      <c r="I4" s="1502"/>
      <c r="J4" s="24"/>
    </row>
    <row r="5" spans="1:12" ht="28" customHeight="1">
      <c r="A5" s="1067" t="s">
        <v>1073</v>
      </c>
      <c r="B5" s="1623" t="s">
        <v>1072</v>
      </c>
      <c r="C5" s="1624" t="s">
        <v>1075</v>
      </c>
      <c r="D5" s="1625"/>
      <c r="E5" s="1627" t="s">
        <v>1074</v>
      </c>
      <c r="F5" s="1624" t="s">
        <v>1075</v>
      </c>
      <c r="G5" s="1624"/>
      <c r="H5" s="1626" t="s">
        <v>1067</v>
      </c>
      <c r="I5" s="1624" t="s">
        <v>1075</v>
      </c>
      <c r="J5" s="1314"/>
    </row>
    <row r="6" spans="1:12" ht="21" customHeight="1">
      <c r="A6" s="228" t="s">
        <v>34</v>
      </c>
      <c r="B6" s="1503">
        <v>44601</v>
      </c>
      <c r="C6" s="1504">
        <f t="shared" ref="C6:C14" si="0">B6/$B$15</f>
        <v>0.64460695755228281</v>
      </c>
      <c r="D6" s="1504"/>
      <c r="E6" s="1505">
        <v>0</v>
      </c>
      <c r="F6" s="1504">
        <f t="shared" ref="F6:F14" si="1">E6/$E$15</f>
        <v>0</v>
      </c>
      <c r="G6" s="1506"/>
      <c r="H6" s="1531">
        <v>5826456.8600000003</v>
      </c>
      <c r="I6" s="1504">
        <f>H6/$H$15</f>
        <v>4.9208753951171004E-3</v>
      </c>
      <c r="J6" s="615"/>
      <c r="K6" s="16"/>
      <c r="L6" s="164"/>
    </row>
    <row r="7" spans="1:12">
      <c r="A7" s="619" t="s">
        <v>35</v>
      </c>
      <c r="B7" s="1503">
        <v>12614</v>
      </c>
      <c r="C7" s="1504">
        <f t="shared" si="0"/>
        <v>0.18230694743536008</v>
      </c>
      <c r="D7" s="1504"/>
      <c r="E7" s="1507">
        <v>83897150.780000001</v>
      </c>
      <c r="F7" s="1504">
        <f t="shared" si="1"/>
        <v>4.4385378192686974E-3</v>
      </c>
      <c r="G7" s="1506"/>
      <c r="H7" s="1532">
        <v>5107792.57</v>
      </c>
      <c r="I7" s="1504">
        <f t="shared" ref="I7:I14" si="2">H7/$H$15</f>
        <v>4.3139100460232258E-3</v>
      </c>
      <c r="J7" s="615"/>
      <c r="K7" s="16"/>
      <c r="L7" s="164"/>
    </row>
    <row r="8" spans="1:12">
      <c r="A8" s="619" t="s">
        <v>36</v>
      </c>
      <c r="B8" s="1503">
        <v>2626</v>
      </c>
      <c r="C8" s="1504">
        <f t="shared" si="0"/>
        <v>3.7952912951106359E-2</v>
      </c>
      <c r="D8" s="1504"/>
      <c r="E8" s="1507">
        <v>95007311</v>
      </c>
      <c r="F8" s="1504">
        <f t="shared" si="1"/>
        <v>5.0263154238254443E-3</v>
      </c>
      <c r="G8" s="1506"/>
      <c r="H8" s="1532">
        <v>5700457.2400000002</v>
      </c>
      <c r="I8" s="1504">
        <f t="shared" si="2"/>
        <v>4.8144593613678854E-3</v>
      </c>
      <c r="J8" s="615"/>
      <c r="K8" s="16"/>
      <c r="L8" s="164"/>
    </row>
    <row r="9" spans="1:12">
      <c r="A9" s="619" t="s">
        <v>37</v>
      </c>
      <c r="B9" s="1503">
        <v>2346</v>
      </c>
      <c r="C9" s="1504">
        <f t="shared" si="0"/>
        <v>3.3906143862641097E-2</v>
      </c>
      <c r="D9" s="1504"/>
      <c r="E9" s="1507">
        <v>167901543</v>
      </c>
      <c r="F9" s="1504">
        <f t="shared" si="1"/>
        <v>8.8827491945855722E-3</v>
      </c>
      <c r="G9" s="1506"/>
      <c r="H9" s="1532">
        <v>10102453</v>
      </c>
      <c r="I9" s="1504">
        <f t="shared" si="2"/>
        <v>8.5322716004846439E-3</v>
      </c>
      <c r="J9" s="615"/>
      <c r="K9" s="16"/>
      <c r="L9" s="164"/>
    </row>
    <row r="10" spans="1:12">
      <c r="A10" s="619" t="s">
        <v>38</v>
      </c>
      <c r="B10" s="1503">
        <v>4112</v>
      </c>
      <c r="C10" s="1504">
        <f t="shared" si="0"/>
        <v>5.9429694613461287E-2</v>
      </c>
      <c r="D10" s="1504"/>
      <c r="E10" s="1507">
        <v>952977076</v>
      </c>
      <c r="F10" s="1504">
        <f t="shared" si="1"/>
        <v>5.041678714231658E-2</v>
      </c>
      <c r="G10" s="1506"/>
      <c r="H10" s="1532">
        <v>57190187</v>
      </c>
      <c r="I10" s="1504">
        <f t="shared" si="2"/>
        <v>4.8301358924065882E-2</v>
      </c>
      <c r="J10" s="615"/>
      <c r="K10" s="16"/>
      <c r="L10" s="164"/>
    </row>
    <row r="11" spans="1:12">
      <c r="A11" s="619" t="s">
        <v>39</v>
      </c>
      <c r="B11" s="1503">
        <v>1091</v>
      </c>
      <c r="C11" s="1504">
        <f t="shared" si="0"/>
        <v>1.5767946698270006E-2</v>
      </c>
      <c r="D11" s="1504"/>
      <c r="E11" s="1507">
        <v>780497069.33000004</v>
      </c>
      <c r="F11" s="1504">
        <f t="shared" si="1"/>
        <v>4.12918165616111E-2</v>
      </c>
      <c r="G11" s="1506"/>
      <c r="H11" s="1532">
        <v>46871874</v>
      </c>
      <c r="I11" s="1504">
        <f t="shared" si="2"/>
        <v>3.9586777527368312E-2</v>
      </c>
      <c r="J11" s="615"/>
      <c r="K11" s="16"/>
      <c r="L11" s="164"/>
    </row>
    <row r="12" spans="1:12">
      <c r="A12" s="619" t="s">
        <v>40</v>
      </c>
      <c r="B12" s="1503">
        <v>701</v>
      </c>
      <c r="C12" s="1504">
        <f t="shared" si="0"/>
        <v>1.0131375467907676E-2</v>
      </c>
      <c r="D12" s="1504"/>
      <c r="E12" s="1507">
        <v>994894383</v>
      </c>
      <c r="F12" s="1504">
        <f t="shared" si="1"/>
        <v>5.2634401813037301E-2</v>
      </c>
      <c r="G12" s="1506"/>
      <c r="H12" s="1532">
        <v>59986080</v>
      </c>
      <c r="I12" s="1504">
        <f t="shared" si="2"/>
        <v>5.0662698139590449E-2</v>
      </c>
      <c r="J12" s="615"/>
      <c r="K12" s="16"/>
      <c r="L12" s="164"/>
    </row>
    <row r="13" spans="1:12">
      <c r="A13" s="619" t="s">
        <v>41</v>
      </c>
      <c r="B13" s="1503">
        <v>848</v>
      </c>
      <c r="C13" s="1504">
        <f t="shared" si="0"/>
        <v>1.2255929239351938E-2</v>
      </c>
      <c r="D13" s="1504"/>
      <c r="E13" s="1507">
        <v>3509042744.6700001</v>
      </c>
      <c r="F13" s="1504">
        <f t="shared" si="1"/>
        <v>0.1856441939546904</v>
      </c>
      <c r="G13" s="1506"/>
      <c r="H13" s="1532">
        <v>210763064</v>
      </c>
      <c r="I13" s="1504">
        <f t="shared" si="2"/>
        <v>0.17800505534629338</v>
      </c>
      <c r="J13" s="615"/>
      <c r="K13" s="16"/>
      <c r="L13" s="164"/>
    </row>
    <row r="14" spans="1:12" ht="21" customHeight="1">
      <c r="A14" s="1068" t="s">
        <v>42</v>
      </c>
      <c r="B14" s="1628">
        <v>252</v>
      </c>
      <c r="C14" s="1629">
        <f t="shared" si="0"/>
        <v>3.6420921796187365E-3</v>
      </c>
      <c r="D14" s="1629"/>
      <c r="E14" s="1630">
        <v>12317762201.99</v>
      </c>
      <c r="F14" s="1629">
        <f t="shared" si="1"/>
        <v>0.65166519809066492</v>
      </c>
      <c r="G14" s="1631"/>
      <c r="H14" s="1632">
        <v>782480165.25</v>
      </c>
      <c r="I14" s="1629">
        <f t="shared" si="2"/>
        <v>0.66086259365968902</v>
      </c>
      <c r="J14" s="1069"/>
      <c r="K14" s="16"/>
      <c r="L14" s="164"/>
    </row>
    <row r="15" spans="1:12" ht="14" customHeight="1">
      <c r="A15" s="1072" t="s">
        <v>43</v>
      </c>
      <c r="B15" s="1736">
        <f>SUM(B6:B14)</f>
        <v>69191</v>
      </c>
      <c r="C15" s="1637">
        <f>SUM(C6:C14)</f>
        <v>0.99999999999999989</v>
      </c>
      <c r="D15" s="1637"/>
      <c r="E15" s="1737">
        <f>SUM(E6:E14)</f>
        <v>18901979479.77</v>
      </c>
      <c r="F15" s="1637">
        <f>SUM(F6:F14)</f>
        <v>1</v>
      </c>
      <c r="G15" s="1637"/>
      <c r="H15" s="1738">
        <f>SUM(H6:H14)</f>
        <v>1184028529.9200001</v>
      </c>
      <c r="I15" s="1739">
        <f>SUM(I6:I14)</f>
        <v>0.99999999999999989</v>
      </c>
      <c r="J15" s="1315"/>
    </row>
    <row r="16" spans="1:12" ht="21" customHeight="1">
      <c r="A16" s="1070" t="s">
        <v>44</v>
      </c>
      <c r="B16" s="1633"/>
      <c r="C16" s="1634"/>
      <c r="D16" s="1635"/>
      <c r="E16" s="1633">
        <v>18177079.979999501</v>
      </c>
      <c r="F16" s="1740">
        <f>E16/E17</f>
        <v>9.6072566432503568E-4</v>
      </c>
      <c r="G16" s="1634"/>
      <c r="H16" s="1636">
        <v>1090626.89000011</v>
      </c>
      <c r="I16" s="1740">
        <f>H16/H17</f>
        <v>9.2026770787822197E-4</v>
      </c>
      <c r="J16" s="1071"/>
    </row>
    <row r="17" spans="1:10" ht="14.5" customHeight="1">
      <c r="A17" s="25" t="s">
        <v>45</v>
      </c>
      <c r="B17" s="1508"/>
      <c r="C17" s="1509"/>
      <c r="D17" s="1509"/>
      <c r="E17" s="1741">
        <f>SUM(E15,E16)</f>
        <v>18920156559.75</v>
      </c>
      <c r="F17" s="1742">
        <f>E17/E17</f>
        <v>1</v>
      </c>
      <c r="G17" s="1509"/>
      <c r="H17" s="1743">
        <f>SUM(H15,H16)</f>
        <v>1185119156.8100002</v>
      </c>
      <c r="I17" s="1742">
        <f>H17/H17</f>
        <v>1</v>
      </c>
      <c r="J17" s="1316"/>
    </row>
    <row r="18" spans="1:10" ht="6" customHeight="1">
      <c r="A18" s="239"/>
      <c r="B18" s="1510"/>
      <c r="C18" s="1511"/>
      <c r="D18" s="1511"/>
      <c r="E18" s="1512"/>
      <c r="F18" s="1511"/>
      <c r="G18" s="1511"/>
      <c r="H18" s="1512"/>
      <c r="I18" s="1511"/>
      <c r="J18" s="26"/>
    </row>
    <row r="19" spans="1:10" s="1319" customFormat="1" ht="13.15" customHeight="1">
      <c r="A19" s="1317" t="s">
        <v>1</v>
      </c>
      <c r="B19" s="1744"/>
      <c r="C19" s="1745"/>
      <c r="D19" s="1745"/>
      <c r="E19" s="1746"/>
      <c r="F19" s="1745"/>
      <c r="G19" s="1745"/>
      <c r="H19" s="1746"/>
      <c r="I19" s="1745"/>
      <c r="J19" s="1318"/>
    </row>
    <row r="20" spans="1:10" s="1319" customFormat="1" ht="10" customHeight="1">
      <c r="A20" s="1920" t="s">
        <v>772</v>
      </c>
      <c r="B20" s="1921"/>
      <c r="C20" s="1921"/>
      <c r="D20" s="1921"/>
      <c r="E20" s="1921"/>
      <c r="F20" s="1921"/>
      <c r="G20" s="1921"/>
      <c r="H20" s="1921"/>
      <c r="I20" s="1921"/>
      <c r="J20" s="1922"/>
    </row>
    <row r="21" spans="1:10" s="1319" customFormat="1" ht="10" customHeight="1">
      <c r="A21" s="1320" t="s">
        <v>773</v>
      </c>
      <c r="B21" s="1747"/>
      <c r="C21" s="1748"/>
      <c r="D21" s="1748"/>
      <c r="E21" s="1747"/>
      <c r="F21" s="1748"/>
      <c r="G21" s="1748"/>
      <c r="H21" s="1749"/>
      <c r="I21" s="1748"/>
      <c r="J21" s="1321"/>
    </row>
    <row r="22" spans="1:10" s="1319" customFormat="1" ht="10" customHeight="1">
      <c r="A22" s="1322" t="s">
        <v>46</v>
      </c>
      <c r="B22" s="1747"/>
      <c r="C22" s="1748"/>
      <c r="D22" s="1748"/>
      <c r="E22" s="1747"/>
      <c r="F22" s="1748"/>
      <c r="G22" s="1748"/>
      <c r="H22" s="1747"/>
      <c r="I22" s="1748"/>
      <c r="J22" s="1321"/>
    </row>
    <row r="23" spans="1:10" s="1319" customFormat="1" ht="10" customHeight="1">
      <c r="A23" s="1322" t="s">
        <v>47</v>
      </c>
      <c r="B23" s="1747"/>
      <c r="C23" s="1748"/>
      <c r="D23" s="1748"/>
      <c r="E23" s="1747"/>
      <c r="F23" s="1748"/>
      <c r="G23" s="1748"/>
      <c r="H23" s="1747"/>
      <c r="I23" s="1748"/>
      <c r="J23" s="1321"/>
    </row>
    <row r="24" spans="1:10" s="1319" customFormat="1" ht="22" customHeight="1">
      <c r="A24" s="1923" t="s">
        <v>1280</v>
      </c>
      <c r="B24" s="1921"/>
      <c r="C24" s="1921"/>
      <c r="D24" s="1921"/>
      <c r="E24" s="1921"/>
      <c r="F24" s="1921"/>
      <c r="G24" s="1921"/>
      <c r="H24" s="1921"/>
      <c r="I24" s="1921"/>
      <c r="J24" s="1922"/>
    </row>
    <row r="25" spans="1:10" s="1319" customFormat="1" ht="22" customHeight="1">
      <c r="A25" s="1924" t="s">
        <v>1380</v>
      </c>
      <c r="B25" s="1924"/>
      <c r="C25" s="1924"/>
      <c r="D25" s="1924"/>
      <c r="E25" s="1924"/>
      <c r="F25" s="1924"/>
      <c r="G25" s="1924"/>
      <c r="H25" s="1924"/>
      <c r="I25" s="1924"/>
      <c r="J25" s="1922"/>
    </row>
    <row r="26" spans="1:10" s="772" customFormat="1" ht="12.75" customHeight="1">
      <c r="A26" s="862" t="s">
        <v>995</v>
      </c>
      <c r="B26" s="943"/>
      <c r="C26" s="943"/>
      <c r="D26" s="943"/>
      <c r="E26" s="1561"/>
      <c r="F26" s="1561"/>
      <c r="G26" s="1561"/>
      <c r="H26" s="1561"/>
      <c r="I26" s="1561"/>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A20:J20"/>
    <mergeCell ref="A24:J24"/>
    <mergeCell ref="A25:J25"/>
  </mergeCells>
  <phoneticPr fontId="12" type="noConversion"/>
  <hyperlinks>
    <hyperlink ref="K1" location="TOC!A1" display="Back"/>
  </hyperlinks>
  <pageMargins left="0.5" right="0.25" top="0.5" bottom="0.5" header="0.25" footer="0.25"/>
  <pageSetup firstPageNumber="25" orientation="landscape" r:id="rId2"/>
  <headerFooter scaleWithDoc="0">
    <oddHeader>&amp;R&amp;P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H57"/>
  <sheetViews>
    <sheetView zoomScale="90" zoomScaleNormal="90" workbookViewId="0"/>
  </sheetViews>
  <sheetFormatPr defaultRowHeight="12.5"/>
  <cols>
    <col min="1" max="1" width="25.7265625" style="61" customWidth="1"/>
    <col min="2" max="2" width="64.7265625" style="61" customWidth="1"/>
    <col min="3" max="3" width="25.6328125" style="61" customWidth="1"/>
    <col min="4" max="4" width="36.7265625" style="61" customWidth="1"/>
    <col min="5" max="5" width="10.453125" bestFit="1" customWidth="1"/>
    <col min="6" max="6" width="11.7265625" style="61" customWidth="1"/>
  </cols>
  <sheetData>
    <row r="1" spans="1:8" ht="17.149999999999999" customHeight="1">
      <c r="A1" s="400" t="s">
        <v>48</v>
      </c>
      <c r="E1" s="1445"/>
      <c r="H1" s="939" t="s">
        <v>1018</v>
      </c>
    </row>
    <row r="2" spans="1:8" ht="15" customHeight="1">
      <c r="A2" s="62" t="s">
        <v>1261</v>
      </c>
    </row>
    <row r="3" spans="1:8" ht="12.75" customHeight="1">
      <c r="A3" s="165" t="s">
        <v>1262</v>
      </c>
    </row>
    <row r="4" spans="1:8" ht="6" customHeight="1" thickBot="1">
      <c r="A4" s="63"/>
      <c r="B4" s="63"/>
      <c r="C4" s="63"/>
      <c r="D4" s="63"/>
      <c r="E4" s="64"/>
      <c r="F4" s="63"/>
    </row>
    <row r="5" spans="1:8" ht="26.15" customHeight="1" thickTop="1">
      <c r="A5" s="877" t="s">
        <v>235</v>
      </c>
      <c r="B5" s="877" t="s">
        <v>189</v>
      </c>
      <c r="C5" s="877" t="s">
        <v>190</v>
      </c>
      <c r="D5" s="877" t="s">
        <v>236</v>
      </c>
      <c r="E5" s="391" t="s">
        <v>237</v>
      </c>
      <c r="F5" s="391" t="s">
        <v>19</v>
      </c>
    </row>
    <row r="6" spans="1:8" ht="21" customHeight="1">
      <c r="A6" s="1431" t="s">
        <v>191</v>
      </c>
      <c r="B6" s="1432" t="s">
        <v>242</v>
      </c>
      <c r="C6" s="1433" t="s">
        <v>192</v>
      </c>
      <c r="D6" s="1432" t="s">
        <v>743</v>
      </c>
      <c r="E6" s="1435">
        <v>3694</v>
      </c>
      <c r="F6" s="1435">
        <v>14102633.65</v>
      </c>
    </row>
    <row r="7" spans="1:8">
      <c r="A7" s="1431" t="s">
        <v>193</v>
      </c>
      <c r="B7" s="1432" t="s">
        <v>1249</v>
      </c>
      <c r="C7" s="1433" t="s">
        <v>194</v>
      </c>
      <c r="D7" s="1432" t="s">
        <v>238</v>
      </c>
      <c r="E7" s="1435">
        <v>65</v>
      </c>
      <c r="F7" s="1435">
        <v>100132</v>
      </c>
    </row>
    <row r="8" spans="1:8">
      <c r="A8" s="1431" t="s">
        <v>195</v>
      </c>
      <c r="B8" s="1432" t="s">
        <v>1250</v>
      </c>
      <c r="C8" s="1433" t="s">
        <v>196</v>
      </c>
      <c r="D8" s="1432" t="s">
        <v>238</v>
      </c>
      <c r="E8" s="1435">
        <v>39</v>
      </c>
      <c r="F8" s="1435">
        <v>69180</v>
      </c>
    </row>
    <row r="9" spans="1:8" ht="25">
      <c r="A9" s="1431" t="s">
        <v>197</v>
      </c>
      <c r="B9" s="1432" t="s">
        <v>198</v>
      </c>
      <c r="C9" s="1433" t="s">
        <v>199</v>
      </c>
      <c r="D9" s="1432" t="s">
        <v>238</v>
      </c>
      <c r="E9" s="1434">
        <v>202</v>
      </c>
      <c r="F9" s="1436">
        <v>323251.43</v>
      </c>
    </row>
    <row r="10" spans="1:8">
      <c r="A10" s="1437" t="s">
        <v>200</v>
      </c>
      <c r="B10" s="1438" t="s">
        <v>297</v>
      </c>
      <c r="C10" s="1439" t="s">
        <v>201</v>
      </c>
      <c r="D10" s="1438" t="s">
        <v>743</v>
      </c>
      <c r="E10" s="1440">
        <v>5</v>
      </c>
      <c r="F10" s="1440">
        <v>843581.68</v>
      </c>
    </row>
    <row r="11" spans="1:8" ht="21" customHeight="1">
      <c r="A11" s="1431" t="s">
        <v>202</v>
      </c>
      <c r="B11" s="1432" t="s">
        <v>1251</v>
      </c>
      <c r="C11" s="1433" t="s">
        <v>203</v>
      </c>
      <c r="D11" s="1432" t="s">
        <v>238</v>
      </c>
      <c r="E11" s="1435" t="s">
        <v>1340</v>
      </c>
      <c r="F11" s="1435">
        <v>295684.11</v>
      </c>
    </row>
    <row r="12" spans="1:8" ht="12.75" customHeight="1">
      <c r="A12" s="1431" t="s">
        <v>204</v>
      </c>
      <c r="B12" s="1432" t="s">
        <v>243</v>
      </c>
      <c r="C12" s="1433" t="s">
        <v>205</v>
      </c>
      <c r="D12" s="1432" t="s">
        <v>743</v>
      </c>
      <c r="E12" s="1435">
        <v>536</v>
      </c>
      <c r="F12" s="1435">
        <v>52718433.759999998</v>
      </c>
    </row>
    <row r="13" spans="1:8" ht="12.75" customHeight="1">
      <c r="A13" s="1431" t="s">
        <v>206</v>
      </c>
      <c r="B13" s="1432" t="s">
        <v>1252</v>
      </c>
      <c r="C13" s="1433" t="s">
        <v>207</v>
      </c>
      <c r="D13" s="1432" t="s">
        <v>238</v>
      </c>
      <c r="E13" s="1435">
        <v>69</v>
      </c>
      <c r="F13" s="1435">
        <v>186529.82</v>
      </c>
    </row>
    <row r="14" spans="1:8" ht="12.75" customHeight="1">
      <c r="A14" s="1431" t="s">
        <v>209</v>
      </c>
      <c r="B14" s="1432" t="s">
        <v>210</v>
      </c>
      <c r="C14" s="1433" t="s">
        <v>211</v>
      </c>
      <c r="D14" s="1432" t="s">
        <v>239</v>
      </c>
      <c r="E14" s="1434">
        <v>264</v>
      </c>
      <c r="F14" s="1436">
        <v>514407.19</v>
      </c>
    </row>
    <row r="15" spans="1:8">
      <c r="A15" s="1441" t="s">
        <v>212</v>
      </c>
      <c r="B15" s="1442" t="s">
        <v>213</v>
      </c>
      <c r="C15" s="1443" t="s">
        <v>214</v>
      </c>
      <c r="D15" s="1442" t="s">
        <v>239</v>
      </c>
      <c r="E15" s="1444">
        <v>322</v>
      </c>
      <c r="F15" s="1444">
        <v>3221596.77</v>
      </c>
    </row>
    <row r="16" spans="1:8" ht="21" customHeight="1">
      <c r="A16" s="1431" t="s">
        <v>215</v>
      </c>
      <c r="B16" s="1432" t="s">
        <v>1253</v>
      </c>
      <c r="C16" s="1433" t="s">
        <v>214</v>
      </c>
      <c r="D16" s="1432" t="s">
        <v>238</v>
      </c>
      <c r="E16" s="1435">
        <v>43</v>
      </c>
      <c r="F16" s="1435">
        <v>110013</v>
      </c>
    </row>
    <row r="17" spans="1:6" ht="12.75" customHeight="1">
      <c r="A17" s="1431" t="s">
        <v>208</v>
      </c>
      <c r="B17" s="1432" t="s">
        <v>1254</v>
      </c>
      <c r="C17" s="1433" t="s">
        <v>214</v>
      </c>
      <c r="D17" s="1432" t="s">
        <v>238</v>
      </c>
      <c r="E17" s="1435">
        <v>44</v>
      </c>
      <c r="F17" s="1435">
        <v>1313891.6399999999</v>
      </c>
    </row>
    <row r="18" spans="1:6" ht="12.75" customHeight="1">
      <c r="A18" s="1431" t="s">
        <v>219</v>
      </c>
      <c r="B18" s="1432" t="s">
        <v>220</v>
      </c>
      <c r="C18" s="1433" t="s">
        <v>218</v>
      </c>
      <c r="D18" s="1432" t="s">
        <v>239</v>
      </c>
      <c r="E18" s="1434">
        <v>54</v>
      </c>
      <c r="F18" s="1436">
        <v>1932</v>
      </c>
    </row>
    <row r="19" spans="1:6" ht="12.75" customHeight="1">
      <c r="A19" s="1431" t="s">
        <v>221</v>
      </c>
      <c r="B19" s="1432" t="s">
        <v>222</v>
      </c>
      <c r="C19" s="1433" t="s">
        <v>218</v>
      </c>
      <c r="D19" s="1432" t="s">
        <v>238</v>
      </c>
      <c r="E19" s="1435">
        <v>188</v>
      </c>
      <c r="F19" s="1435">
        <v>1056269.19</v>
      </c>
    </row>
    <row r="20" spans="1:6">
      <c r="A20" s="1441" t="s">
        <v>216</v>
      </c>
      <c r="B20" s="1442" t="s">
        <v>217</v>
      </c>
      <c r="C20" s="1443" t="s">
        <v>218</v>
      </c>
      <c r="D20" s="1442" t="s">
        <v>238</v>
      </c>
      <c r="E20" s="1444">
        <v>5204</v>
      </c>
      <c r="F20" s="1444">
        <v>73509068.859999999</v>
      </c>
    </row>
    <row r="21" spans="1:6" ht="21" customHeight="1">
      <c r="A21" s="1431" t="s">
        <v>223</v>
      </c>
      <c r="B21" s="1432" t="s">
        <v>1255</v>
      </c>
      <c r="C21" s="1433" t="s">
        <v>224</v>
      </c>
      <c r="D21" s="1432" t="s">
        <v>240</v>
      </c>
      <c r="E21" s="1435" t="s">
        <v>1340</v>
      </c>
      <c r="F21" s="1435">
        <v>51589</v>
      </c>
    </row>
    <row r="22" spans="1:6" ht="12.75" customHeight="1">
      <c r="A22" s="1431" t="s">
        <v>225</v>
      </c>
      <c r="B22" s="1432" t="s">
        <v>226</v>
      </c>
      <c r="C22" s="1433" t="s">
        <v>227</v>
      </c>
      <c r="D22" s="1432" t="s">
        <v>239</v>
      </c>
      <c r="E22" s="1436">
        <v>398037</v>
      </c>
      <c r="F22" s="1436">
        <v>123863582.81999999</v>
      </c>
    </row>
    <row r="23" spans="1:6" ht="12.75" customHeight="1">
      <c r="A23" s="1431" t="s">
        <v>228</v>
      </c>
      <c r="B23" s="1432" t="s">
        <v>1256</v>
      </c>
      <c r="C23" s="1433" t="s">
        <v>227</v>
      </c>
      <c r="D23" s="1432" t="s">
        <v>238</v>
      </c>
      <c r="E23" s="1435">
        <v>123</v>
      </c>
      <c r="F23" s="1435">
        <v>425937.91</v>
      </c>
    </row>
    <row r="24" spans="1:6">
      <c r="A24" s="1431" t="s">
        <v>229</v>
      </c>
      <c r="B24" s="1432" t="s">
        <v>230</v>
      </c>
      <c r="C24" s="1433" t="s">
        <v>231</v>
      </c>
      <c r="D24" s="1432" t="s">
        <v>239</v>
      </c>
      <c r="E24" s="1435">
        <v>13</v>
      </c>
      <c r="F24" s="1435">
        <v>16615</v>
      </c>
    </row>
    <row r="25" spans="1:6">
      <c r="A25" s="1441" t="s">
        <v>232</v>
      </c>
      <c r="B25" s="1442" t="s">
        <v>233</v>
      </c>
      <c r="C25" s="1443" t="s">
        <v>234</v>
      </c>
      <c r="D25" s="1442" t="s">
        <v>238</v>
      </c>
      <c r="E25" s="1444" t="s">
        <v>1340</v>
      </c>
      <c r="F25" s="1444">
        <v>882</v>
      </c>
    </row>
    <row r="26" spans="1:6" ht="21" customHeight="1">
      <c r="A26" s="1431" t="s">
        <v>696</v>
      </c>
      <c r="B26" s="1432" t="s">
        <v>697</v>
      </c>
      <c r="C26" s="1433" t="s">
        <v>695</v>
      </c>
      <c r="D26" s="1432" t="s">
        <v>238</v>
      </c>
      <c r="E26" s="1435">
        <v>63</v>
      </c>
      <c r="F26" s="1435">
        <v>392692.9</v>
      </c>
    </row>
    <row r="27" spans="1:6" ht="12.75" customHeight="1">
      <c r="A27" s="1431" t="s">
        <v>693</v>
      </c>
      <c r="B27" s="1432" t="s">
        <v>694</v>
      </c>
      <c r="C27" s="1433" t="s">
        <v>695</v>
      </c>
      <c r="D27" s="1432" t="s">
        <v>238</v>
      </c>
      <c r="E27" s="1434">
        <v>11</v>
      </c>
      <c r="F27" s="1436">
        <v>34679</v>
      </c>
    </row>
    <row r="28" spans="1:6" ht="12.75" customHeight="1">
      <c r="A28" s="1431" t="s">
        <v>703</v>
      </c>
      <c r="B28" s="1432" t="s">
        <v>704</v>
      </c>
      <c r="C28" s="1433" t="s">
        <v>761</v>
      </c>
      <c r="D28" s="1432" t="s">
        <v>238</v>
      </c>
      <c r="E28" s="1434" t="s">
        <v>1340</v>
      </c>
      <c r="F28" s="1435">
        <v>4500000</v>
      </c>
    </row>
    <row r="29" spans="1:6" ht="12.75" customHeight="1">
      <c r="A29" s="1431" t="s">
        <v>700</v>
      </c>
      <c r="B29" s="1432" t="s">
        <v>701</v>
      </c>
      <c r="C29" s="1433" t="s">
        <v>702</v>
      </c>
      <c r="D29" s="1432" t="s">
        <v>238</v>
      </c>
      <c r="E29" s="1435">
        <v>44</v>
      </c>
      <c r="F29" s="1435">
        <v>248396.6</v>
      </c>
    </row>
    <row r="30" spans="1:6">
      <c r="A30" s="1441" t="s">
        <v>705</v>
      </c>
      <c r="B30" s="1442" t="s">
        <v>706</v>
      </c>
      <c r="C30" s="1443" t="s">
        <v>702</v>
      </c>
      <c r="D30" s="1442" t="s">
        <v>238</v>
      </c>
      <c r="E30" s="1444" t="s">
        <v>1340</v>
      </c>
      <c r="F30" s="1444">
        <v>29605</v>
      </c>
    </row>
    <row r="31" spans="1:6" ht="21" customHeight="1">
      <c r="A31" s="1431" t="s">
        <v>707</v>
      </c>
      <c r="B31" s="1432" t="s">
        <v>1257</v>
      </c>
      <c r="C31" s="1433" t="s">
        <v>702</v>
      </c>
      <c r="D31" s="1432" t="s">
        <v>238</v>
      </c>
      <c r="E31" s="1434">
        <v>297</v>
      </c>
      <c r="F31" s="1436">
        <v>2652684</v>
      </c>
    </row>
    <row r="32" spans="1:6" ht="12.75" customHeight="1">
      <c r="A32" s="1431" t="s">
        <v>708</v>
      </c>
      <c r="B32" s="1432" t="s">
        <v>709</v>
      </c>
      <c r="C32" s="1433" t="s">
        <v>702</v>
      </c>
      <c r="D32" s="1432" t="s">
        <v>743</v>
      </c>
      <c r="E32" s="1435">
        <v>4</v>
      </c>
      <c r="F32" s="1435">
        <v>142653</v>
      </c>
    </row>
    <row r="33" spans="1:7" ht="12.75" customHeight="1">
      <c r="A33" s="1431" t="s">
        <v>710</v>
      </c>
      <c r="B33" s="1432" t="s">
        <v>711</v>
      </c>
      <c r="C33" s="1433" t="s">
        <v>702</v>
      </c>
      <c r="D33" s="1432" t="s">
        <v>238</v>
      </c>
      <c r="E33" s="1434">
        <v>21</v>
      </c>
      <c r="F33" s="1435">
        <v>316701</v>
      </c>
    </row>
    <row r="34" spans="1:7" ht="12.75" customHeight="1">
      <c r="A34" s="1431" t="s">
        <v>744</v>
      </c>
      <c r="B34" s="1432" t="s">
        <v>745</v>
      </c>
      <c r="C34" s="1433" t="s">
        <v>746</v>
      </c>
      <c r="D34" s="1432" t="s">
        <v>743</v>
      </c>
      <c r="E34" s="1435">
        <v>1583</v>
      </c>
      <c r="F34" s="1435">
        <v>11381952.33</v>
      </c>
    </row>
    <row r="35" spans="1:7">
      <c r="A35" s="1425" t="s">
        <v>797</v>
      </c>
      <c r="B35" s="1426" t="s">
        <v>798</v>
      </c>
      <c r="C35" s="1427" t="s">
        <v>799</v>
      </c>
      <c r="D35" s="1426" t="s">
        <v>238</v>
      </c>
      <c r="E35" s="949">
        <v>50</v>
      </c>
      <c r="F35" s="949">
        <v>9934435.2300000004</v>
      </c>
    </row>
    <row r="36" spans="1:7" ht="21" customHeight="1">
      <c r="A36" s="1420" t="s">
        <v>800</v>
      </c>
      <c r="B36" s="1421" t="s">
        <v>801</v>
      </c>
      <c r="C36" s="1422" t="s">
        <v>799</v>
      </c>
      <c r="D36" s="1421" t="s">
        <v>238</v>
      </c>
      <c r="E36" s="1424">
        <v>30</v>
      </c>
      <c r="F36" s="1423">
        <v>47167</v>
      </c>
    </row>
    <row r="37" spans="1:7" ht="12.75" customHeight="1">
      <c r="A37" s="1420" t="s">
        <v>904</v>
      </c>
      <c r="B37" s="1421" t="s">
        <v>905</v>
      </c>
      <c r="C37" s="1422" t="s">
        <v>971</v>
      </c>
      <c r="D37" s="1421" t="s">
        <v>743</v>
      </c>
      <c r="E37" s="946">
        <v>6</v>
      </c>
      <c r="F37" s="946">
        <v>7738</v>
      </c>
    </row>
    <row r="38" spans="1:7" ht="12.75" customHeight="1">
      <c r="A38" s="1431" t="s">
        <v>1258</v>
      </c>
      <c r="B38" s="1432" t="s">
        <v>1259</v>
      </c>
      <c r="C38" s="1433" t="s">
        <v>1260</v>
      </c>
      <c r="D38" s="1432" t="s">
        <v>238</v>
      </c>
      <c r="E38" s="1434">
        <v>54</v>
      </c>
      <c r="F38" s="1435">
        <v>360208</v>
      </c>
    </row>
    <row r="39" spans="1:7" ht="3" customHeight="1">
      <c r="A39" s="1420"/>
      <c r="B39" s="1421"/>
      <c r="C39" s="1422"/>
      <c r="D39" s="1421"/>
      <c r="E39" s="946"/>
      <c r="F39" s="1423"/>
    </row>
    <row r="40" spans="1:7" ht="3" customHeight="1">
      <c r="A40" s="1425"/>
      <c r="B40" s="1426"/>
      <c r="C40" s="1427"/>
      <c r="D40" s="1426"/>
      <c r="E40" s="949"/>
      <c r="F40" s="949"/>
    </row>
    <row r="41" spans="1:7" ht="3" customHeight="1">
      <c r="A41" s="1420"/>
      <c r="B41" s="1421"/>
      <c r="C41" s="1422"/>
      <c r="D41" s="1421"/>
      <c r="E41" s="1424"/>
      <c r="F41" s="1423"/>
    </row>
    <row r="42" spans="1:7" ht="3" customHeight="1">
      <c r="A42" s="1428"/>
      <c r="B42" s="1429"/>
      <c r="C42" s="1429"/>
      <c r="D42" s="1429"/>
      <c r="E42" s="946"/>
      <c r="F42" s="1423"/>
    </row>
    <row r="43" spans="1:7" ht="3" customHeight="1">
      <c r="A43" s="1428"/>
      <c r="B43" s="1429"/>
      <c r="C43" s="1429"/>
      <c r="D43" s="1429"/>
      <c r="E43" s="946"/>
      <c r="F43" s="1423"/>
    </row>
    <row r="44" spans="1:7" s="770" customFormat="1" ht="3" customHeight="1">
      <c r="A44" s="1428"/>
      <c r="B44" s="1429"/>
      <c r="C44" s="1429"/>
      <c r="D44" s="1429"/>
      <c r="E44" s="946"/>
      <c r="F44" s="1423"/>
      <c r="G44"/>
    </row>
    <row r="45" spans="1:7" s="1430" customFormat="1" ht="3" customHeight="1">
      <c r="A45" s="993"/>
      <c r="B45" s="941"/>
      <c r="C45" s="945"/>
      <c r="D45" s="944"/>
      <c r="E45" s="946"/>
      <c r="F45" s="946"/>
      <c r="G45" s="13"/>
    </row>
    <row r="46" spans="1:7" s="13" customFormat="1" ht="3" customHeight="1">
      <c r="A46" s="993"/>
      <c r="B46" s="944"/>
      <c r="C46" s="945"/>
      <c r="D46" s="944"/>
      <c r="E46" s="1424"/>
      <c r="F46" s="947"/>
    </row>
    <row r="47" spans="1:7" s="1430" customFormat="1" ht="3" customHeight="1">
      <c r="A47" s="994"/>
      <c r="B47" s="948"/>
      <c r="C47" s="948"/>
      <c r="D47" s="948"/>
      <c r="E47" s="946"/>
      <c r="F47" s="947"/>
      <c r="G47" s="13"/>
    </row>
    <row r="48" spans="1:7" s="770" customFormat="1" ht="3" customHeight="1">
      <c r="A48" s="994"/>
      <c r="B48" s="948"/>
      <c r="C48" s="948"/>
      <c r="D48" s="948"/>
      <c r="E48" s="946"/>
      <c r="F48" s="947"/>
      <c r="G48"/>
    </row>
    <row r="49" spans="1:7" s="1323" customFormat="1" ht="11" customHeight="1">
      <c r="A49" s="1323" t="s">
        <v>1</v>
      </c>
      <c r="E49" s="1460"/>
      <c r="F49" s="1325"/>
    </row>
    <row r="50" spans="1:7" s="1327" customFormat="1" ht="11" customHeight="1">
      <c r="A50" s="1326" t="s">
        <v>1247</v>
      </c>
      <c r="B50" s="1326"/>
      <c r="C50" s="1326"/>
      <c r="D50" s="1326"/>
      <c r="E50" s="1326"/>
      <c r="F50" s="1326"/>
      <c r="G50" s="1323"/>
    </row>
    <row r="51" spans="1:7" s="1323" customFormat="1" ht="11" customHeight="1">
      <c r="A51" s="1323" t="s">
        <v>1045</v>
      </c>
    </row>
    <row r="52" spans="1:7" s="1323" customFormat="1" ht="11" customHeight="1">
      <c r="A52" s="1323" t="s">
        <v>1046</v>
      </c>
    </row>
    <row r="53" spans="1:7" s="1323" customFormat="1" ht="11" customHeight="1">
      <c r="A53" s="1323" t="s">
        <v>1047</v>
      </c>
    </row>
    <row r="54" spans="1:7" s="1323" customFormat="1" ht="11" customHeight="1">
      <c r="A54" s="1324" t="s">
        <v>1248</v>
      </c>
      <c r="B54" s="1324"/>
      <c r="C54" s="1324"/>
      <c r="D54" s="1324"/>
      <c r="E54" s="1324"/>
      <c r="F54" s="1324"/>
    </row>
    <row r="55" spans="1:7" ht="13">
      <c r="A55" s="862" t="s">
        <v>996</v>
      </c>
      <c r="B55" s="773"/>
      <c r="C55" s="773"/>
      <c r="D55" s="773"/>
      <c r="E55" s="943"/>
      <c r="F55" s="772"/>
      <c r="G55" s="772"/>
    </row>
    <row r="56" spans="1:7">
      <c r="E56" s="1180">
        <f>SUM(E6:E49)</f>
        <v>411065</v>
      </c>
      <c r="F56" s="1180">
        <f>SUM(F6:F49)</f>
        <v>302774123.88999999</v>
      </c>
    </row>
    <row r="57" spans="1:7">
      <c r="A57" s="1925"/>
      <c r="B57" s="1926"/>
      <c r="C57" s="1926"/>
      <c r="D57" s="535"/>
      <c r="E57" s="576"/>
      <c r="F57" s="576"/>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1">
    <mergeCell ref="A57:C57"/>
  </mergeCells>
  <phoneticPr fontId="12" type="noConversion"/>
  <hyperlinks>
    <hyperlink ref="H1" location="TOC!A1" display="Back"/>
  </hyperlinks>
  <pageMargins left="0.45" right="0.35" top="0.5" bottom="0" header="0.25" footer="0.25"/>
  <pageSetup scale="75" orientation="landscape" r:id="rId2"/>
  <headerFooter scaleWithDoc="0">
    <oddHeader>&amp;R&amp;P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X71"/>
  <sheetViews>
    <sheetView defaultGridColor="0" colorId="22" zoomScale="90" zoomScaleNormal="90" workbookViewId="0"/>
  </sheetViews>
  <sheetFormatPr defaultColWidth="15.1796875" defaultRowHeight="15.5"/>
  <cols>
    <col min="1" max="1" width="7.7265625" style="27" customWidth="1"/>
    <col min="2" max="3" width="14.6328125" style="1514" customWidth="1"/>
    <col min="4" max="4" width="13.6328125" style="1514" customWidth="1"/>
    <col min="5" max="5" width="16.6328125" style="1514" customWidth="1"/>
    <col min="6" max="6" width="16.7265625" style="1514" customWidth="1"/>
    <col min="7" max="8" width="13.6328125" style="1514" customWidth="1"/>
    <col min="9" max="9" width="13.1796875" style="1514" bestFit="1" customWidth="1"/>
    <col min="10" max="12" width="12.6328125" style="1514" customWidth="1"/>
    <col min="13" max="14" width="14.6328125" style="1514" customWidth="1"/>
    <col min="15" max="15" width="17.7265625" style="1514" customWidth="1"/>
    <col min="16" max="16" width="15.6328125" style="1514" customWidth="1"/>
    <col min="17" max="17" width="8.6328125" style="27" customWidth="1"/>
    <col min="18" max="20" width="8.6328125" style="690" customWidth="1"/>
    <col min="21" max="21" width="8.6328125" style="691" customWidth="1"/>
    <col min="22" max="23" width="8.6328125" style="690" customWidth="1"/>
    <col min="24" max="24" width="8.6328125" style="691" customWidth="1"/>
    <col min="25" max="29" width="8.6328125" style="27" customWidth="1"/>
    <col min="30" max="16384" width="15.1796875" style="27"/>
  </cols>
  <sheetData>
    <row r="1" spans="1:24" ht="17.149999999999999" customHeight="1">
      <c r="A1" s="407" t="s">
        <v>180</v>
      </c>
      <c r="B1" s="1750"/>
      <c r="C1" s="1750"/>
      <c r="D1" s="1750"/>
      <c r="E1" s="1568"/>
      <c r="F1" s="1568"/>
      <c r="Q1" s="939" t="s">
        <v>1018</v>
      </c>
    </row>
    <row r="2" spans="1:24" ht="15" customHeight="1">
      <c r="A2" s="28" t="s">
        <v>49</v>
      </c>
      <c r="F2" s="1568"/>
    </row>
    <row r="3" spans="1:24" ht="6" customHeight="1" thickBot="1">
      <c r="A3" s="237"/>
      <c r="B3" s="1513"/>
      <c r="C3" s="1513"/>
      <c r="D3" s="1513"/>
      <c r="E3" s="1513"/>
      <c r="F3" s="1513"/>
      <c r="G3" s="1513"/>
      <c r="H3" s="1513"/>
      <c r="I3" s="1513"/>
      <c r="J3" s="1513"/>
      <c r="K3" s="1513"/>
      <c r="L3" s="1513"/>
      <c r="M3" s="1513"/>
      <c r="N3" s="1513"/>
      <c r="O3" s="1513"/>
      <c r="P3" s="1513"/>
      <c r="Q3" s="30"/>
    </row>
    <row r="4" spans="1:24" ht="15" customHeight="1">
      <c r="A4" s="34"/>
      <c r="B4" s="1928" t="s">
        <v>50</v>
      </c>
      <c r="C4" s="1928"/>
      <c r="D4" s="1928"/>
      <c r="E4" s="1929"/>
      <c r="F4" s="1929"/>
      <c r="G4" s="1929"/>
      <c r="H4" s="1929"/>
      <c r="I4" s="1929"/>
      <c r="J4" s="1929"/>
      <c r="K4" s="1929"/>
      <c r="L4" s="1929"/>
      <c r="M4" s="1515"/>
      <c r="N4" s="1927" t="s">
        <v>51</v>
      </c>
      <c r="O4" s="1927"/>
      <c r="P4" s="1515"/>
      <c r="Q4" s="30"/>
    </row>
    <row r="5" spans="1:24" ht="39" customHeight="1" thickBot="1">
      <c r="A5" s="684" t="s">
        <v>951</v>
      </c>
      <c r="B5" s="1751" t="s">
        <v>946</v>
      </c>
      <c r="C5" s="1584" t="s">
        <v>1035</v>
      </c>
      <c r="D5" s="1583" t="s">
        <v>1036</v>
      </c>
      <c r="E5" s="1583" t="s">
        <v>1037</v>
      </c>
      <c r="F5" s="1583" t="s">
        <v>1038</v>
      </c>
      <c r="G5" s="1583" t="s">
        <v>1039</v>
      </c>
      <c r="H5" s="1583" t="s">
        <v>944</v>
      </c>
      <c r="I5" s="1583" t="s">
        <v>945</v>
      </c>
      <c r="J5" s="1583" t="s">
        <v>943</v>
      </c>
      <c r="K5" s="1583" t="s">
        <v>942</v>
      </c>
      <c r="L5" s="1585" t="s">
        <v>1356</v>
      </c>
      <c r="M5" s="1535" t="s">
        <v>947</v>
      </c>
      <c r="N5" s="1583" t="s">
        <v>948</v>
      </c>
      <c r="O5" s="1583" t="s">
        <v>949</v>
      </c>
      <c r="P5" s="1583" t="s">
        <v>950</v>
      </c>
      <c r="Q5" s="30"/>
    </row>
    <row r="6" spans="1:24" hidden="1">
      <c r="A6" s="31">
        <v>2011</v>
      </c>
      <c r="B6" s="1521">
        <v>3012379000</v>
      </c>
      <c r="C6" s="1586"/>
      <c r="D6" s="1521">
        <v>477329000</v>
      </c>
      <c r="E6" s="1526" t="s">
        <v>52</v>
      </c>
      <c r="F6" s="1526" t="s">
        <v>52</v>
      </c>
      <c r="G6" s="1526" t="s">
        <v>52</v>
      </c>
      <c r="H6" s="1526" t="s">
        <v>52</v>
      </c>
      <c r="I6" s="1526" t="s">
        <v>52</v>
      </c>
      <c r="J6" s="1522"/>
      <c r="K6" s="1522"/>
      <c r="L6" s="1587"/>
      <c r="M6" s="1521">
        <f t="shared" ref="M6:M17" si="0">SUM(B6:L6)</f>
        <v>3489708000</v>
      </c>
      <c r="N6" s="1521">
        <v>1010205000</v>
      </c>
      <c r="O6" s="1522">
        <v>204027000</v>
      </c>
      <c r="P6" s="1521">
        <v>4762261000</v>
      </c>
      <c r="Q6" s="33"/>
      <c r="R6" s="692"/>
      <c r="S6" s="692"/>
      <c r="T6" s="692"/>
      <c r="U6" s="693"/>
      <c r="V6" s="692"/>
      <c r="W6" s="692"/>
      <c r="X6" s="693"/>
    </row>
    <row r="7" spans="1:24" hidden="1">
      <c r="A7" s="31">
        <v>2012</v>
      </c>
      <c r="B7" s="1576">
        <v>3121503000</v>
      </c>
      <c r="C7" s="1579"/>
      <c r="D7" s="1576">
        <v>503070000</v>
      </c>
      <c r="E7" s="1577" t="s">
        <v>52</v>
      </c>
      <c r="F7" s="1577" t="s">
        <v>52</v>
      </c>
      <c r="G7" s="1577" t="s">
        <v>52</v>
      </c>
      <c r="H7" s="1577" t="s">
        <v>52</v>
      </c>
      <c r="I7" s="1577" t="s">
        <v>52</v>
      </c>
      <c r="J7" s="1576"/>
      <c r="K7" s="1576"/>
      <c r="L7" s="1579"/>
      <c r="M7" s="1576">
        <f t="shared" si="0"/>
        <v>3624573000</v>
      </c>
      <c r="N7" s="1576">
        <v>1052522000</v>
      </c>
      <c r="O7" s="1576">
        <v>214098000</v>
      </c>
      <c r="P7" s="1576">
        <f t="shared" ref="P7:P15" si="1">SUM(M7:O7)</f>
        <v>4891193000</v>
      </c>
      <c r="Q7" s="33"/>
      <c r="R7" s="698"/>
      <c r="S7" s="692"/>
      <c r="T7" s="692"/>
      <c r="U7" s="693"/>
      <c r="V7" s="692"/>
      <c r="W7" s="692"/>
      <c r="X7" s="693"/>
    </row>
    <row r="8" spans="1:24" ht="21" customHeight="1">
      <c r="A8" s="31">
        <v>2013</v>
      </c>
      <c r="B8" s="1579">
        <v>3219798000</v>
      </c>
      <c r="C8" s="1579"/>
      <c r="D8" s="1579">
        <v>521180000</v>
      </c>
      <c r="E8" s="1622" t="s">
        <v>52</v>
      </c>
      <c r="F8" s="1622" t="s">
        <v>52</v>
      </c>
      <c r="G8" s="1622" t="s">
        <v>52</v>
      </c>
      <c r="H8" s="1622" t="s">
        <v>52</v>
      </c>
      <c r="I8" s="1622" t="s">
        <v>52</v>
      </c>
      <c r="J8" s="1579"/>
      <c r="K8" s="1579"/>
      <c r="L8" s="1579"/>
      <c r="M8" s="1576">
        <f t="shared" si="0"/>
        <v>3740978000</v>
      </c>
      <c r="N8" s="1576">
        <v>1089743000</v>
      </c>
      <c r="O8" s="1576">
        <v>221396000</v>
      </c>
      <c r="P8" s="1576">
        <f t="shared" si="1"/>
        <v>5052117000</v>
      </c>
      <c r="Q8" s="33"/>
      <c r="R8" s="698"/>
      <c r="S8" s="692"/>
      <c r="T8" s="692"/>
      <c r="U8" s="693"/>
      <c r="V8" s="692"/>
      <c r="W8" s="692"/>
      <c r="X8" s="693"/>
    </row>
    <row r="9" spans="1:24" ht="15" customHeight="1">
      <c r="A9" s="31">
        <v>2014</v>
      </c>
      <c r="B9" s="1579">
        <v>3066456000</v>
      </c>
      <c r="C9" s="1579"/>
      <c r="D9" s="1579">
        <v>492018000</v>
      </c>
      <c r="E9" s="1622">
        <v>191217000</v>
      </c>
      <c r="F9" s="1622">
        <v>41908000</v>
      </c>
      <c r="G9" s="1622">
        <v>62864000</v>
      </c>
      <c r="H9" s="1622">
        <v>203933000</v>
      </c>
      <c r="I9" s="1622">
        <v>107424000</v>
      </c>
      <c r="J9" s="1579"/>
      <c r="K9" s="1579"/>
      <c r="L9" s="1579"/>
      <c r="M9" s="1576">
        <f t="shared" si="0"/>
        <v>4165820000</v>
      </c>
      <c r="N9" s="1576">
        <v>1094794000</v>
      </c>
      <c r="O9" s="1579">
        <v>334030000</v>
      </c>
      <c r="P9" s="1576">
        <f t="shared" si="1"/>
        <v>5594644000</v>
      </c>
      <c r="Q9" s="33"/>
      <c r="R9" s="698"/>
      <c r="S9" s="692"/>
      <c r="T9" s="692"/>
      <c r="U9" s="693"/>
      <c r="V9" s="692"/>
      <c r="W9" s="692"/>
      <c r="X9" s="693"/>
    </row>
    <row r="10" spans="1:24" ht="15" customHeight="1">
      <c r="A10" s="31">
        <v>2015</v>
      </c>
      <c r="B10" s="1579">
        <v>3235444000</v>
      </c>
      <c r="C10" s="1579"/>
      <c r="D10" s="1579">
        <v>590709000</v>
      </c>
      <c r="E10" s="1622">
        <v>277880000</v>
      </c>
      <c r="F10" s="1622">
        <v>50520000</v>
      </c>
      <c r="G10" s="1622">
        <v>75746000</v>
      </c>
      <c r="H10" s="1622">
        <v>246324000</v>
      </c>
      <c r="I10" s="1622">
        <v>129918000</v>
      </c>
      <c r="J10" s="1579"/>
      <c r="K10" s="1579"/>
      <c r="L10" s="1579"/>
      <c r="M10" s="1576">
        <f t="shared" si="0"/>
        <v>4606541000</v>
      </c>
      <c r="N10" s="1576">
        <v>1143330000</v>
      </c>
      <c r="O10" s="1576">
        <v>352406000</v>
      </c>
      <c r="P10" s="1576">
        <f t="shared" si="1"/>
        <v>6102277000</v>
      </c>
      <c r="Q10" s="33"/>
      <c r="R10" s="698"/>
      <c r="S10" s="692"/>
      <c r="T10" s="692"/>
      <c r="U10" s="693"/>
      <c r="V10" s="692"/>
      <c r="W10" s="692"/>
      <c r="X10" s="693"/>
    </row>
    <row r="11" spans="1:24" ht="15" customHeight="1">
      <c r="A11" s="31">
        <v>2016</v>
      </c>
      <c r="B11" s="1579">
        <v>3295853000</v>
      </c>
      <c r="C11" s="1579"/>
      <c r="D11" s="1579">
        <v>599055000</v>
      </c>
      <c r="E11" s="1622">
        <v>276849000</v>
      </c>
      <c r="F11" s="1622">
        <v>49877000</v>
      </c>
      <c r="G11" s="1622">
        <v>74782000</v>
      </c>
      <c r="H11" s="1622">
        <v>237314000</v>
      </c>
      <c r="I11" s="1622">
        <v>126537000</v>
      </c>
      <c r="J11" s="1579"/>
      <c r="K11" s="1579"/>
      <c r="L11" s="1579"/>
      <c r="M11" s="1576">
        <f t="shared" si="0"/>
        <v>4660267000</v>
      </c>
      <c r="N11" s="1576">
        <v>1188704000</v>
      </c>
      <c r="O11" s="1576">
        <v>355547000</v>
      </c>
      <c r="P11" s="1576">
        <f t="shared" si="1"/>
        <v>6204518000</v>
      </c>
      <c r="Q11" s="33"/>
      <c r="R11" s="698"/>
      <c r="S11" s="692"/>
      <c r="T11" s="692"/>
      <c r="U11" s="693"/>
      <c r="V11" s="692"/>
      <c r="W11" s="692"/>
      <c r="X11" s="693"/>
    </row>
    <row r="12" spans="1:24" ht="15" customHeight="1">
      <c r="A12" s="31">
        <v>2017</v>
      </c>
      <c r="B12" s="1579">
        <v>3354561000</v>
      </c>
      <c r="C12" s="1579"/>
      <c r="D12" s="1579">
        <v>615572000</v>
      </c>
      <c r="E12" s="1622">
        <v>277061000</v>
      </c>
      <c r="F12" s="1622">
        <v>51043000</v>
      </c>
      <c r="G12" s="1622">
        <v>76683000</v>
      </c>
      <c r="H12" s="1622">
        <v>251601000</v>
      </c>
      <c r="I12" s="1622">
        <v>131472000</v>
      </c>
      <c r="J12" s="1579"/>
      <c r="K12" s="1579"/>
      <c r="L12" s="1579"/>
      <c r="M12" s="1576">
        <f t="shared" si="0"/>
        <v>4757993000</v>
      </c>
      <c r="N12" s="1576">
        <v>1213929000</v>
      </c>
      <c r="O12" s="1576">
        <v>365878000</v>
      </c>
      <c r="P12" s="1576">
        <f t="shared" si="1"/>
        <v>6337800000</v>
      </c>
      <c r="Q12" s="33"/>
      <c r="R12" s="701"/>
      <c r="S12" s="692"/>
      <c r="T12" s="692"/>
      <c r="U12" s="704"/>
      <c r="V12" s="700"/>
      <c r="W12" s="699"/>
    </row>
    <row r="13" spans="1:24" ht="15" customHeight="1">
      <c r="A13" s="31">
        <v>2018</v>
      </c>
      <c r="B13" s="1581">
        <v>3458249000</v>
      </c>
      <c r="C13" s="1581"/>
      <c r="D13" s="1581">
        <v>618387000</v>
      </c>
      <c r="E13" s="1622">
        <v>292518000</v>
      </c>
      <c r="F13" s="1622">
        <v>53159000</v>
      </c>
      <c r="G13" s="1622">
        <v>79742000</v>
      </c>
      <c r="H13" s="1622">
        <v>256443000</v>
      </c>
      <c r="I13" s="1622">
        <v>137059000</v>
      </c>
      <c r="J13" s="1581"/>
      <c r="K13" s="1581"/>
      <c r="L13" s="1581"/>
      <c r="M13" s="1576">
        <f t="shared" si="0"/>
        <v>4895557000</v>
      </c>
      <c r="N13" s="1576">
        <v>1243480000</v>
      </c>
      <c r="O13" s="1578">
        <v>376561000</v>
      </c>
      <c r="P13" s="1576">
        <f t="shared" si="1"/>
        <v>6515598000</v>
      </c>
      <c r="Q13" s="33"/>
      <c r="R13" s="705"/>
      <c r="S13" s="692"/>
      <c r="T13" s="692"/>
      <c r="U13" s="706"/>
      <c r="V13" s="697"/>
      <c r="W13" s="697"/>
      <c r="X13" s="696"/>
    </row>
    <row r="14" spans="1:24" ht="15" customHeight="1">
      <c r="A14" s="31">
        <v>2019</v>
      </c>
      <c r="B14" s="1581">
        <v>3580355000</v>
      </c>
      <c r="C14" s="1581"/>
      <c r="D14" s="1581">
        <v>649451000</v>
      </c>
      <c r="E14" s="1582">
        <v>301429000</v>
      </c>
      <c r="F14" s="1582">
        <v>54797000</v>
      </c>
      <c r="G14" s="1582">
        <v>82165000</v>
      </c>
      <c r="H14" s="1582">
        <v>263031000</v>
      </c>
      <c r="I14" s="1582">
        <v>139640000</v>
      </c>
      <c r="J14" s="1581">
        <v>20358000</v>
      </c>
      <c r="K14" s="1581"/>
      <c r="L14" s="1581"/>
      <c r="M14" s="1576">
        <f t="shared" si="0"/>
        <v>5091226000</v>
      </c>
      <c r="N14" s="1576">
        <v>1292804000</v>
      </c>
      <c r="O14" s="1578">
        <v>392605000</v>
      </c>
      <c r="P14" s="1576">
        <f t="shared" si="1"/>
        <v>6776635000</v>
      </c>
      <c r="Q14" s="33"/>
      <c r="R14" s="707"/>
      <c r="S14" s="692"/>
      <c r="T14" s="692"/>
      <c r="U14" s="709"/>
      <c r="V14" s="692"/>
      <c r="W14" s="692"/>
      <c r="X14" s="694"/>
    </row>
    <row r="15" spans="1:24" ht="15" customHeight="1">
      <c r="A15" s="31">
        <v>2020</v>
      </c>
      <c r="B15" s="1581">
        <v>3706817000</v>
      </c>
      <c r="C15" s="1581">
        <v>0</v>
      </c>
      <c r="D15" s="1581">
        <v>678024000</v>
      </c>
      <c r="E15" s="1582">
        <v>304875000</v>
      </c>
      <c r="F15" s="1582">
        <v>56216000</v>
      </c>
      <c r="G15" s="1582">
        <v>84325000</v>
      </c>
      <c r="H15" s="1582">
        <v>268748000</v>
      </c>
      <c r="I15" s="1582">
        <v>142864000</v>
      </c>
      <c r="J15" s="1581">
        <v>22731000</v>
      </c>
      <c r="K15" s="1581"/>
      <c r="L15" s="1581"/>
      <c r="M15" s="1576">
        <f t="shared" si="0"/>
        <v>5264600000</v>
      </c>
      <c r="N15" s="1576">
        <f>ROUND(1358988340.78,-3)</f>
        <v>1358988000</v>
      </c>
      <c r="O15" s="1578">
        <f>ROUND(406044118.99,-3)</f>
        <v>406044000</v>
      </c>
      <c r="P15" s="1576">
        <f t="shared" si="1"/>
        <v>7029632000</v>
      </c>
      <c r="R15" s="707"/>
      <c r="S15" s="708"/>
      <c r="T15" s="708"/>
      <c r="U15" s="709"/>
      <c r="V15" s="692"/>
      <c r="W15" s="692"/>
      <c r="X15" s="694"/>
    </row>
    <row r="16" spans="1:24" ht="15" customHeight="1">
      <c r="A16" s="31">
        <v>2021</v>
      </c>
      <c r="B16" s="1581">
        <v>4166182000</v>
      </c>
      <c r="C16" s="1581">
        <v>1264050000</v>
      </c>
      <c r="D16" s="1582">
        <v>0</v>
      </c>
      <c r="E16" s="1582">
        <v>0</v>
      </c>
      <c r="F16" s="1582">
        <v>0</v>
      </c>
      <c r="G16" s="1582">
        <v>0</v>
      </c>
      <c r="H16" s="1582">
        <v>286170000</v>
      </c>
      <c r="I16" s="1582">
        <v>168804000</v>
      </c>
      <c r="J16" s="1581">
        <v>22969000</v>
      </c>
      <c r="K16" s="1581">
        <v>89337000</v>
      </c>
      <c r="L16" s="1581">
        <v>2689000</v>
      </c>
      <c r="M16" s="1576">
        <f t="shared" si="0"/>
        <v>6000201000</v>
      </c>
      <c r="N16" s="1576">
        <f>ROUND(1477201024.21,-3)</f>
        <v>1477201000</v>
      </c>
      <c r="O16" s="1578">
        <f>ROUND(458362738.92,-3)</f>
        <v>458363000</v>
      </c>
      <c r="P16" s="1576">
        <f>SUM(M16:O16)</f>
        <v>7935765000</v>
      </c>
      <c r="R16" s="707"/>
      <c r="S16" s="708"/>
      <c r="T16" s="708"/>
      <c r="U16" s="709"/>
      <c r="V16" s="692"/>
      <c r="W16" s="692"/>
      <c r="X16" s="694"/>
    </row>
    <row r="17" spans="1:24" ht="15" customHeight="1">
      <c r="A17" s="31">
        <v>2022</v>
      </c>
      <c r="B17" s="1578">
        <v>4558082000</v>
      </c>
      <c r="C17" s="1581">
        <v>1368275000</v>
      </c>
      <c r="D17" s="1582">
        <v>0</v>
      </c>
      <c r="E17" s="1582">
        <v>0</v>
      </c>
      <c r="F17" s="1582">
        <v>0</v>
      </c>
      <c r="G17" s="1582">
        <v>0</v>
      </c>
      <c r="H17" s="1580">
        <v>321756000</v>
      </c>
      <c r="I17" s="1580">
        <v>179779000</v>
      </c>
      <c r="J17" s="1578">
        <v>27210000</v>
      </c>
      <c r="K17" s="1578">
        <v>152019000</v>
      </c>
      <c r="L17" s="1581">
        <v>17784000</v>
      </c>
      <c r="M17" s="1576">
        <f t="shared" si="0"/>
        <v>6624905000</v>
      </c>
      <c r="N17" s="1576">
        <v>1662897000</v>
      </c>
      <c r="O17" s="1578">
        <v>522472000</v>
      </c>
      <c r="P17" s="1576">
        <f>SUM(M17:O17)</f>
        <v>8810274000</v>
      </c>
      <c r="R17" s="707"/>
      <c r="S17" s="708"/>
      <c r="T17" s="708"/>
      <c r="U17" s="709"/>
      <c r="V17" s="692"/>
      <c r="W17" s="692"/>
      <c r="X17" s="694"/>
    </row>
    <row r="18" spans="1:24" s="1416" customFormat="1" ht="6" customHeight="1">
      <c r="A18" s="1415"/>
      <c r="B18" s="1662"/>
      <c r="C18" s="1662"/>
      <c r="D18" s="1662"/>
      <c r="E18" s="1662"/>
      <c r="F18" s="1662"/>
      <c r="G18" s="1662"/>
      <c r="H18" s="1662"/>
      <c r="I18" s="1662"/>
      <c r="J18" s="1662"/>
      <c r="K18" s="1662"/>
      <c r="L18" s="1662"/>
      <c r="M18" s="1662"/>
      <c r="N18" s="1662"/>
      <c r="O18" s="1662"/>
      <c r="P18" s="1663"/>
      <c r="R18" s="1417"/>
      <c r="S18" s="1417"/>
      <c r="T18" s="1417"/>
      <c r="U18" s="1418"/>
      <c r="V18" s="1417"/>
      <c r="W18" s="1417"/>
      <c r="X18" s="1418"/>
    </row>
    <row r="19" spans="1:24" s="1328" customFormat="1" ht="11" customHeight="1">
      <c r="A19" s="1332" t="s">
        <v>1</v>
      </c>
      <c r="B19" s="1648"/>
      <c r="C19" s="1648"/>
      <c r="D19" s="1648"/>
      <c r="E19" s="1648"/>
      <c r="F19" s="1648"/>
      <c r="G19" s="1648"/>
      <c r="H19" s="1648"/>
      <c r="I19" s="1648"/>
      <c r="J19" s="1648"/>
      <c r="K19" s="1648"/>
      <c r="L19" s="1648"/>
      <c r="M19" s="1648"/>
      <c r="N19" s="1648"/>
      <c r="O19" s="1648"/>
      <c r="P19" s="1648"/>
      <c r="R19" s="1329"/>
      <c r="S19" s="1329"/>
      <c r="T19" s="1329"/>
      <c r="U19" s="1330"/>
      <c r="V19" s="1329"/>
      <c r="W19" s="1329"/>
      <c r="X19" s="1330"/>
    </row>
    <row r="20" spans="1:24" s="1328" customFormat="1" ht="11" customHeight="1">
      <c r="A20" s="1333" t="s">
        <v>1000</v>
      </c>
      <c r="B20" s="1649"/>
      <c r="C20" s="1649"/>
      <c r="D20" s="1649"/>
      <c r="E20" s="1649"/>
      <c r="F20" s="1649"/>
      <c r="G20" s="1649"/>
      <c r="H20" s="1649"/>
      <c r="I20" s="1649"/>
      <c r="J20" s="1649"/>
      <c r="K20" s="1649"/>
      <c r="L20" s="1649"/>
      <c r="M20" s="1649"/>
      <c r="N20" s="1649"/>
      <c r="O20" s="1649"/>
      <c r="P20" s="1649"/>
      <c r="R20" s="1329"/>
      <c r="S20" s="1329"/>
      <c r="T20" s="1329"/>
      <c r="U20" s="1330"/>
      <c r="V20" s="1329"/>
      <c r="W20" s="1329"/>
      <c r="X20" s="1330"/>
    </row>
    <row r="21" spans="1:24" s="1328" customFormat="1" ht="11" customHeight="1">
      <c r="A21" s="1333" t="s">
        <v>1001</v>
      </c>
      <c r="B21" s="1649"/>
      <c r="C21" s="1649"/>
      <c r="D21" s="1649"/>
      <c r="E21" s="1649"/>
      <c r="F21" s="1649"/>
      <c r="G21" s="1649"/>
      <c r="H21" s="1649"/>
      <c r="I21" s="1649"/>
      <c r="J21" s="1649"/>
      <c r="K21" s="1649"/>
      <c r="L21" s="1649"/>
      <c r="M21" s="1649"/>
      <c r="N21" s="1650"/>
      <c r="O21" s="1650"/>
      <c r="P21" s="1649"/>
      <c r="R21" s="1329"/>
      <c r="S21" s="1329"/>
      <c r="T21" s="1329"/>
      <c r="U21" s="1330"/>
      <c r="V21" s="1329"/>
      <c r="W21" s="1329"/>
      <c r="X21" s="1330"/>
    </row>
    <row r="22" spans="1:24" s="1328" customFormat="1" ht="11" customHeight="1">
      <c r="A22" s="1333" t="s">
        <v>1002</v>
      </c>
      <c r="B22" s="1649"/>
      <c r="C22" s="1649"/>
      <c r="D22" s="1649"/>
      <c r="E22" s="1649"/>
      <c r="F22" s="1649"/>
      <c r="G22" s="1649"/>
      <c r="H22" s="1649"/>
      <c r="I22" s="1649"/>
      <c r="J22" s="1649"/>
      <c r="K22" s="1649"/>
      <c r="L22" s="1649"/>
      <c r="M22" s="1649"/>
      <c r="N22" s="1649"/>
      <c r="O22" s="1752"/>
      <c r="P22" s="1651"/>
      <c r="R22" s="1329"/>
      <c r="S22" s="1329"/>
      <c r="T22" s="1329"/>
      <c r="U22" s="1330"/>
      <c r="V22" s="1329"/>
      <c r="W22" s="1329"/>
      <c r="X22" s="1330"/>
    </row>
    <row r="23" spans="1:24" s="1328" customFormat="1" ht="11" customHeight="1">
      <c r="A23" s="1333" t="s">
        <v>1025</v>
      </c>
      <c r="B23" s="1649"/>
      <c r="C23" s="1649"/>
      <c r="D23" s="1649"/>
      <c r="E23" s="1649"/>
      <c r="F23" s="1649"/>
      <c r="G23" s="1649"/>
      <c r="H23" s="1649"/>
      <c r="I23" s="1649"/>
      <c r="J23" s="1649"/>
      <c r="K23" s="1649"/>
      <c r="L23" s="1649"/>
      <c r="M23" s="1649"/>
      <c r="N23" s="1649"/>
      <c r="O23" s="1752"/>
      <c r="P23" s="1651"/>
      <c r="R23" s="1329"/>
      <c r="S23" s="1329"/>
      <c r="T23" s="1329"/>
      <c r="U23" s="1330"/>
      <c r="V23" s="1329"/>
      <c r="W23" s="1329"/>
      <c r="X23" s="1330"/>
    </row>
    <row r="24" spans="1:24" s="1328" customFormat="1" ht="11" customHeight="1">
      <c r="A24" s="1333" t="s">
        <v>1026</v>
      </c>
      <c r="B24" s="1649"/>
      <c r="C24" s="1649"/>
      <c r="D24" s="1649"/>
      <c r="E24" s="1649"/>
      <c r="F24" s="1649"/>
      <c r="G24" s="1649"/>
      <c r="H24" s="1649"/>
      <c r="I24" s="1649"/>
      <c r="J24" s="1649"/>
      <c r="K24" s="1649"/>
      <c r="L24" s="1649"/>
      <c r="M24" s="1649"/>
      <c r="N24" s="1649"/>
      <c r="O24" s="1649"/>
      <c r="P24" s="1649"/>
      <c r="R24" s="1329"/>
      <c r="S24" s="1329"/>
      <c r="T24" s="1329"/>
      <c r="U24" s="1330"/>
      <c r="V24" s="1329"/>
      <c r="W24" s="1329"/>
      <c r="X24" s="1330"/>
    </row>
    <row r="25" spans="1:24" s="1328" customFormat="1" ht="11" customHeight="1">
      <c r="A25" s="1333" t="s">
        <v>1281</v>
      </c>
      <c r="B25" s="1649"/>
      <c r="C25" s="1649"/>
      <c r="D25" s="1649"/>
      <c r="E25" s="1649"/>
      <c r="F25" s="1649"/>
      <c r="G25" s="1649"/>
      <c r="H25" s="1649"/>
      <c r="I25" s="1649"/>
      <c r="J25" s="1649"/>
      <c r="K25" s="1649"/>
      <c r="L25" s="1649"/>
      <c r="M25" s="1649"/>
      <c r="N25" s="1649"/>
      <c r="O25" s="1649"/>
      <c r="P25" s="1649"/>
      <c r="R25" s="1329"/>
      <c r="S25" s="1329"/>
      <c r="T25" s="1329"/>
      <c r="U25" s="1330"/>
      <c r="V25" s="1329"/>
      <c r="W25" s="1329"/>
      <c r="X25" s="1330"/>
    </row>
    <row r="26" spans="1:24" s="1328" customFormat="1" ht="11" customHeight="1">
      <c r="A26" s="1333" t="s">
        <v>1028</v>
      </c>
      <c r="B26" s="1323"/>
      <c r="C26" s="1323"/>
      <c r="D26" s="1323"/>
      <c r="E26" s="1323"/>
      <c r="F26" s="1323"/>
      <c r="G26" s="1323"/>
      <c r="H26" s="1323"/>
      <c r="I26" s="1323"/>
      <c r="J26" s="1323"/>
      <c r="K26" s="1323"/>
      <c r="L26" s="1323"/>
      <c r="M26" s="1323"/>
      <c r="N26" s="1323"/>
      <c r="O26" s="1323"/>
      <c r="P26" s="1323"/>
      <c r="R26" s="1329"/>
      <c r="S26" s="1329"/>
      <c r="T26" s="1329"/>
      <c r="U26" s="1330"/>
      <c r="V26" s="1329"/>
      <c r="W26" s="1329"/>
      <c r="X26" s="1330"/>
    </row>
    <row r="27" spans="1:24" s="1328" customFormat="1" ht="11" customHeight="1">
      <c r="A27" s="1333" t="s">
        <v>1029</v>
      </c>
      <c r="B27" s="1649"/>
      <c r="C27" s="1649"/>
      <c r="D27" s="1649"/>
      <c r="E27" s="1649"/>
      <c r="F27" s="1649"/>
      <c r="G27" s="1649"/>
      <c r="H27" s="1649"/>
      <c r="I27" s="1649"/>
      <c r="J27" s="1649"/>
      <c r="K27" s="1649"/>
      <c r="L27" s="1649"/>
      <c r="M27" s="1649"/>
      <c r="N27" s="1649"/>
      <c r="O27" s="1649"/>
      <c r="P27" s="1649"/>
      <c r="R27" s="1329"/>
      <c r="S27" s="1329"/>
      <c r="T27" s="1329"/>
      <c r="U27" s="1330"/>
      <c r="V27" s="1329"/>
      <c r="W27" s="1329"/>
      <c r="X27" s="1330"/>
    </row>
    <row r="28" spans="1:24" s="1328" customFormat="1" ht="11" customHeight="1">
      <c r="A28" s="1333" t="s">
        <v>1030</v>
      </c>
      <c r="B28" s="1649"/>
      <c r="C28" s="1649"/>
      <c r="D28" s="1649"/>
      <c r="E28" s="1649"/>
      <c r="F28" s="1649"/>
      <c r="G28" s="1649"/>
      <c r="H28" s="1649"/>
      <c r="I28" s="1649"/>
      <c r="J28" s="1649"/>
      <c r="K28" s="1649"/>
      <c r="L28" s="1649"/>
      <c r="M28" s="1649"/>
      <c r="N28" s="1649"/>
      <c r="O28" s="1649"/>
      <c r="P28" s="1649"/>
      <c r="R28" s="1329"/>
      <c r="S28" s="1329"/>
      <c r="T28" s="1329"/>
      <c r="U28" s="1330"/>
      <c r="V28" s="1329"/>
      <c r="W28" s="1329"/>
      <c r="X28" s="1330"/>
    </row>
    <row r="29" spans="1:24" s="1328" customFormat="1" ht="11" customHeight="1">
      <c r="A29" s="1455" t="s">
        <v>1282</v>
      </c>
      <c r="B29" s="1753"/>
      <c r="C29" s="1753"/>
      <c r="D29" s="1753"/>
      <c r="E29" s="1753"/>
      <c r="F29" s="1753"/>
      <c r="G29" s="1753"/>
      <c r="H29" s="1753"/>
      <c r="I29" s="1753"/>
      <c r="J29" s="1753"/>
      <c r="K29" s="1753"/>
      <c r="L29" s="1753"/>
      <c r="M29" s="1753"/>
      <c r="N29" s="1753"/>
      <c r="O29" s="1753"/>
      <c r="P29" s="1753"/>
      <c r="R29" s="1329"/>
      <c r="S29" s="1329"/>
      <c r="T29" s="1329"/>
      <c r="U29" s="1330"/>
      <c r="V29" s="1329"/>
      <c r="W29" s="1329"/>
      <c r="X29" s="1330"/>
    </row>
    <row r="30" spans="1:24" s="1328" customFormat="1" ht="11" customHeight="1">
      <c r="A30" s="1333" t="s">
        <v>1283</v>
      </c>
      <c r="B30" s="1754"/>
      <c r="C30" s="1754"/>
      <c r="D30" s="1754"/>
      <c r="E30" s="1754"/>
      <c r="F30" s="1754"/>
      <c r="G30" s="1754"/>
      <c r="H30" s="1754"/>
      <c r="I30" s="1754"/>
      <c r="J30" s="1754"/>
      <c r="K30" s="1754"/>
      <c r="L30" s="1754"/>
      <c r="M30" s="1754"/>
      <c r="N30" s="1754"/>
      <c r="O30" s="1754"/>
      <c r="P30" s="1754"/>
      <c r="R30" s="1329"/>
      <c r="S30" s="1329"/>
      <c r="T30" s="1329"/>
      <c r="U30" s="1330"/>
      <c r="V30" s="1329"/>
      <c r="W30" s="1329"/>
      <c r="X30" s="1330"/>
    </row>
    <row r="31" spans="1:24" s="1328" customFormat="1" ht="11" customHeight="1">
      <c r="A31" s="1334" t="s">
        <v>1033</v>
      </c>
      <c r="B31" s="1652"/>
      <c r="C31" s="1652"/>
      <c r="D31" s="1652"/>
      <c r="E31" s="1652"/>
      <c r="F31" s="1652"/>
      <c r="G31" s="1652"/>
      <c r="H31" s="1652"/>
      <c r="I31" s="1652"/>
      <c r="J31" s="1652"/>
      <c r="K31" s="1652"/>
      <c r="L31" s="1652"/>
      <c r="M31" s="1652"/>
      <c r="N31" s="1652"/>
      <c r="O31" s="1649"/>
      <c r="P31" s="1649"/>
      <c r="R31" s="1329"/>
      <c r="S31" s="1329"/>
      <c r="T31" s="1329"/>
      <c r="U31" s="1330"/>
      <c r="V31" s="1329"/>
      <c r="W31" s="1329"/>
      <c r="X31" s="1330"/>
    </row>
    <row r="32" spans="1:24" s="1328" customFormat="1" ht="11" customHeight="1">
      <c r="A32" s="1334" t="s">
        <v>1266</v>
      </c>
      <c r="B32" s="1652"/>
      <c r="C32" s="1652"/>
      <c r="D32" s="1652"/>
      <c r="E32" s="1652"/>
      <c r="F32" s="1652"/>
      <c r="G32" s="1652"/>
      <c r="H32" s="1652"/>
      <c r="I32" s="1652"/>
      <c r="J32" s="1652"/>
      <c r="K32" s="1652"/>
      <c r="L32" s="1652"/>
      <c r="M32" s="1652"/>
      <c r="N32" s="1652"/>
      <c r="O32" s="1649"/>
      <c r="P32" s="1649"/>
      <c r="R32" s="1329"/>
      <c r="S32" s="1329"/>
      <c r="T32" s="1329"/>
      <c r="U32" s="1330"/>
      <c r="V32" s="1329"/>
      <c r="W32" s="1329"/>
      <c r="X32" s="1330"/>
    </row>
    <row r="33" spans="1:24" s="1328" customFormat="1" ht="11" customHeight="1">
      <c r="A33" s="1248" t="s">
        <v>1034</v>
      </c>
      <c r="B33" s="1652"/>
      <c r="C33" s="1652"/>
      <c r="D33" s="1652"/>
      <c r="E33" s="1652"/>
      <c r="F33" s="1652"/>
      <c r="G33" s="1652"/>
      <c r="H33" s="1652"/>
      <c r="I33" s="1652"/>
      <c r="J33" s="1652"/>
      <c r="K33" s="1652"/>
      <c r="L33" s="1652"/>
      <c r="M33" s="1652"/>
      <c r="N33" s="1652"/>
      <c r="O33" s="1649"/>
      <c r="P33" s="1649"/>
      <c r="R33" s="1329"/>
      <c r="S33" s="1329"/>
      <c r="T33" s="1329"/>
      <c r="U33" s="1330"/>
      <c r="V33" s="1329"/>
      <c r="W33" s="1329"/>
      <c r="X33" s="1330"/>
    </row>
    <row r="34" spans="1:24" s="1328" customFormat="1" ht="11" customHeight="1">
      <c r="A34" s="1248" t="s">
        <v>1284</v>
      </c>
      <c r="B34" s="1652"/>
      <c r="C34" s="1652"/>
      <c r="D34" s="1652"/>
      <c r="E34" s="1652"/>
      <c r="F34" s="1652"/>
      <c r="G34" s="1652"/>
      <c r="H34" s="1652"/>
      <c r="I34" s="1652"/>
      <c r="J34" s="1652"/>
      <c r="K34" s="1652"/>
      <c r="L34" s="1652"/>
      <c r="M34" s="1652"/>
      <c r="N34" s="1652"/>
      <c r="O34" s="1649"/>
      <c r="P34" s="1649"/>
      <c r="R34" s="1329"/>
      <c r="S34" s="1329"/>
      <c r="T34" s="1329"/>
      <c r="U34" s="1330"/>
      <c r="V34" s="1329"/>
      <c r="W34" s="1329"/>
      <c r="X34" s="1330"/>
    </row>
    <row r="35" spans="1:24" s="1197" customFormat="1" ht="11" customHeight="1">
      <c r="A35" s="1331"/>
      <c r="B35" s="1196"/>
      <c r="C35" s="1196"/>
      <c r="D35" s="1196"/>
      <c r="E35" s="1196"/>
      <c r="F35" s="1196"/>
      <c r="G35" s="1646"/>
      <c r="H35" s="1646"/>
      <c r="I35" s="1646"/>
      <c r="J35" s="1646"/>
      <c r="K35" s="1646"/>
      <c r="L35" s="1646"/>
      <c r="M35" s="1646"/>
      <c r="N35" s="1646"/>
      <c r="O35" s="1646"/>
      <c r="P35" s="1646"/>
    </row>
    <row r="36" spans="1:24" s="1197" customFormat="1" ht="11" customHeight="1">
      <c r="A36" s="1331"/>
      <c r="B36" s="1196"/>
      <c r="C36" s="1196"/>
      <c r="D36" s="1196"/>
      <c r="E36" s="1196"/>
      <c r="F36" s="1196"/>
      <c r="G36" s="1646"/>
      <c r="H36" s="1646"/>
      <c r="I36" s="1646"/>
      <c r="J36" s="1646"/>
      <c r="K36" s="1646"/>
      <c r="L36" s="1646"/>
      <c r="M36" s="1646"/>
      <c r="N36" s="1646"/>
      <c r="O36" s="1646"/>
      <c r="P36" s="1646"/>
    </row>
    <row r="37" spans="1:24" s="772" customFormat="1" ht="12.75" customHeight="1">
      <c r="A37" s="862"/>
      <c r="B37" s="943"/>
      <c r="C37" s="943"/>
      <c r="D37" s="943"/>
      <c r="E37" s="943"/>
      <c r="F37" s="943"/>
      <c r="G37" s="1561"/>
      <c r="H37" s="1561"/>
      <c r="I37" s="1561"/>
      <c r="J37" s="1561"/>
      <c r="K37" s="1561"/>
      <c r="L37" s="1561"/>
      <c r="M37" s="1561"/>
      <c r="N37" s="1561"/>
      <c r="O37" s="1561"/>
      <c r="P37" s="1605"/>
    </row>
    <row r="38" spans="1:24" s="772" customFormat="1" ht="12.75" customHeight="1">
      <c r="A38" s="862"/>
      <c r="B38" s="943"/>
      <c r="C38" s="943"/>
      <c r="D38" s="943"/>
      <c r="E38" s="943"/>
      <c r="F38" s="943"/>
      <c r="G38" s="1561"/>
      <c r="H38" s="1561"/>
      <c r="I38" s="1561"/>
      <c r="J38" s="1561"/>
      <c r="K38" s="1561"/>
      <c r="L38" s="1561"/>
      <c r="M38" s="1561"/>
      <c r="N38" s="1561"/>
      <c r="O38" s="1561"/>
      <c r="P38" s="1561"/>
    </row>
    <row r="39" spans="1:24" s="772" customFormat="1" ht="12.75" customHeight="1">
      <c r="A39" s="862"/>
      <c r="B39" s="943"/>
      <c r="C39" s="943"/>
      <c r="D39" s="943"/>
      <c r="E39" s="943"/>
      <c r="F39" s="943"/>
      <c r="G39" s="1561"/>
      <c r="H39" s="1561"/>
      <c r="I39" s="1561"/>
      <c r="J39" s="1561"/>
      <c r="K39" s="1561"/>
      <c r="L39" s="1561"/>
      <c r="M39" s="1561"/>
      <c r="N39" s="1561"/>
      <c r="O39" s="1561"/>
      <c r="P39" s="1561"/>
    </row>
    <row r="40" spans="1:24" s="772" customFormat="1" ht="12.75" customHeight="1">
      <c r="A40" s="862"/>
      <c r="B40" s="943"/>
      <c r="C40" s="943"/>
      <c r="D40" s="943"/>
      <c r="E40" s="943"/>
      <c r="F40" s="943"/>
      <c r="G40" s="1561"/>
      <c r="H40" s="1561"/>
      <c r="I40" s="1561"/>
      <c r="J40" s="1561"/>
      <c r="K40" s="1561"/>
      <c r="L40" s="1561"/>
      <c r="M40" s="1561"/>
      <c r="N40" s="1561"/>
      <c r="O40" s="1561"/>
      <c r="P40" s="1561"/>
    </row>
    <row r="50" spans="1:16">
      <c r="M50" s="1514" t="s">
        <v>955</v>
      </c>
    </row>
    <row r="61" spans="1:16">
      <c r="A61" s="35"/>
      <c r="B61" s="1516"/>
      <c r="C61" s="1516"/>
      <c r="D61" s="1516"/>
      <c r="E61" s="1516"/>
      <c r="F61" s="1516"/>
      <c r="G61" s="1516"/>
      <c r="H61" s="1516"/>
      <c r="I61" s="1516"/>
      <c r="J61" s="1516"/>
      <c r="K61" s="1516"/>
      <c r="L61" s="1516"/>
      <c r="M61" s="1516"/>
      <c r="N61" s="1516"/>
      <c r="O61" s="1516"/>
      <c r="P61" s="1516"/>
    </row>
    <row r="64" spans="1:16">
      <c r="A64" s="862" t="s">
        <v>990</v>
      </c>
    </row>
    <row r="65" spans="1:23">
      <c r="A65" s="862" t="s">
        <v>1245</v>
      </c>
    </row>
    <row r="71" spans="1:23" s="1466" customFormat="1" ht="11.5">
      <c r="B71" s="1755"/>
      <c r="C71" s="1755"/>
      <c r="D71" s="1755"/>
      <c r="E71" s="1755"/>
      <c r="F71" s="1755"/>
      <c r="G71" s="1755"/>
      <c r="H71" s="1755"/>
      <c r="I71" s="1755"/>
      <c r="J71" s="1755"/>
      <c r="K71" s="1755"/>
      <c r="L71" s="1755"/>
      <c r="M71" s="1755"/>
      <c r="N71" s="1755"/>
      <c r="O71" s="1755"/>
      <c r="P71" s="1755"/>
      <c r="R71" s="1467"/>
      <c r="S71" s="1467"/>
      <c r="T71" s="1467"/>
      <c r="V71" s="1467"/>
      <c r="W71" s="1467"/>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2">
    <mergeCell ref="N4:O4"/>
    <mergeCell ref="B4:L4"/>
  </mergeCells>
  <phoneticPr fontId="4" type="noConversion"/>
  <hyperlinks>
    <hyperlink ref="Q1" location="TOC!A1" display="Back"/>
  </hyperlinks>
  <pageMargins left="0.35" right="0.2" top="0.4" bottom="0.25" header="0.25" footer="0.25"/>
  <pageSetup scale="60" orientation="landscape" cellComments="asDisplayed" r:id="rId2"/>
  <headerFooter scaleWithDoc="0">
    <oddHeader>&amp;R&amp;P</oddHeader>
  </headerFooter>
  <rowBreaks count="1" manualBreakCount="1">
    <brk id="62" max="16383" man="1"/>
  </rowBreak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C00000"/>
    <pageSetUpPr fitToPage="1"/>
  </sheetPr>
  <dimension ref="A1:AA59"/>
  <sheetViews>
    <sheetView defaultGridColor="0" colorId="22" zoomScale="90" zoomScaleNormal="90" workbookViewId="0"/>
  </sheetViews>
  <sheetFormatPr defaultColWidth="15.1796875" defaultRowHeight="15.5"/>
  <cols>
    <col min="1" max="1" width="7.7265625" style="27" customWidth="1"/>
    <col min="2" max="2" width="15.54296875" style="27" bestFit="1" customWidth="1"/>
    <col min="3" max="3" width="14.1796875" style="27" customWidth="1"/>
    <col min="4" max="4" width="17.81640625" style="27" customWidth="1"/>
    <col min="5" max="5" width="16.1796875" style="27" customWidth="1"/>
    <col min="6" max="6" width="14.7265625" style="27" customWidth="1"/>
    <col min="7" max="8" width="13.1796875" style="27" bestFit="1" customWidth="1"/>
    <col min="9" max="10" width="11.54296875" style="27" bestFit="1" customWidth="1"/>
    <col min="11" max="11" width="14.453125" style="27" bestFit="1" customWidth="1"/>
    <col min="12" max="12" width="14.7265625" style="27" bestFit="1" customWidth="1"/>
    <col min="13" max="13" width="17.7265625" style="27" customWidth="1"/>
    <col min="14" max="14" width="14.453125" style="27" bestFit="1" customWidth="1"/>
    <col min="15" max="15" width="1.7265625" style="27" customWidth="1"/>
    <col min="16" max="16" width="4.453125" style="690" bestFit="1" customWidth="1"/>
    <col min="17" max="18" width="11.54296875" style="690" customWidth="1"/>
    <col min="19" max="19" width="7.7265625" style="691" customWidth="1"/>
    <col min="20" max="20" width="1.7265625" style="690" customWidth="1"/>
    <col min="21" max="21" width="17.81640625" style="690" bestFit="1" customWidth="1"/>
    <col min="22" max="22" width="7.7265625" style="691" customWidth="1"/>
    <col min="23" max="23" width="7.7265625" style="655" customWidth="1"/>
    <col min="24" max="16384" width="15.1796875" style="27"/>
  </cols>
  <sheetData>
    <row r="1" spans="1:27" ht="17.149999999999999" customHeight="1">
      <c r="A1" s="407" t="s">
        <v>180</v>
      </c>
      <c r="B1" s="896"/>
      <c r="C1" s="896"/>
      <c r="D1" s="897"/>
      <c r="E1" s="897"/>
    </row>
    <row r="2" spans="1:27" ht="15" customHeight="1">
      <c r="A2" s="28" t="s">
        <v>49</v>
      </c>
      <c r="E2" s="897"/>
    </row>
    <row r="3" spans="1:27" ht="6" customHeight="1" thickBot="1">
      <c r="A3" s="237"/>
      <c r="B3" s="29"/>
      <c r="C3" s="29"/>
      <c r="D3" s="29"/>
      <c r="E3" s="29"/>
      <c r="F3" s="29"/>
      <c r="G3" s="29"/>
      <c r="H3" s="29"/>
      <c r="I3" s="29"/>
      <c r="J3" s="29"/>
      <c r="K3" s="29"/>
      <c r="L3" s="29"/>
      <c r="M3" s="29"/>
      <c r="N3" s="29"/>
      <c r="O3" s="30"/>
    </row>
    <row r="4" spans="1:27" ht="15" customHeight="1">
      <c r="A4" s="34"/>
      <c r="B4" s="1928" t="s">
        <v>50</v>
      </c>
      <c r="C4" s="1928"/>
      <c r="D4" s="1930"/>
      <c r="E4" s="1930"/>
      <c r="F4" s="1930"/>
      <c r="G4" s="1930"/>
      <c r="H4" s="1930"/>
      <c r="I4" s="1930"/>
      <c r="J4" s="1930"/>
      <c r="K4" s="34"/>
      <c r="L4" s="1927" t="s">
        <v>51</v>
      </c>
      <c r="M4" s="1927"/>
      <c r="N4" s="34"/>
      <c r="O4" s="30"/>
    </row>
    <row r="5" spans="1:27" ht="39" customHeight="1" thickBot="1">
      <c r="A5" s="684" t="s">
        <v>951</v>
      </c>
      <c r="B5" s="684" t="s">
        <v>946</v>
      </c>
      <c r="C5" s="683" t="s">
        <v>1012</v>
      </c>
      <c r="D5" s="683" t="s">
        <v>1011</v>
      </c>
      <c r="E5" s="683" t="s">
        <v>1013</v>
      </c>
      <c r="F5" s="683" t="s">
        <v>1014</v>
      </c>
      <c r="G5" s="683" t="s">
        <v>944</v>
      </c>
      <c r="H5" s="683" t="s">
        <v>945</v>
      </c>
      <c r="I5" s="683" t="s">
        <v>943</v>
      </c>
      <c r="J5" s="683" t="s">
        <v>942</v>
      </c>
      <c r="K5" s="685" t="s">
        <v>947</v>
      </c>
      <c r="L5" s="683" t="s">
        <v>948</v>
      </c>
      <c r="M5" s="683" t="s">
        <v>949</v>
      </c>
      <c r="N5" s="683" t="s">
        <v>950</v>
      </c>
      <c r="O5" s="30"/>
      <c r="W5" s="689"/>
      <c r="X5" s="27" t="s">
        <v>5</v>
      </c>
      <c r="Y5" s="27" t="s">
        <v>952</v>
      </c>
      <c r="Z5" s="27" t="s">
        <v>953</v>
      </c>
      <c r="AA5" s="27" t="s">
        <v>954</v>
      </c>
    </row>
    <row r="6" spans="1:27" hidden="1">
      <c r="A6" s="31">
        <v>2011</v>
      </c>
      <c r="B6" s="231">
        <v>3012379000</v>
      </c>
      <c r="C6" s="231">
        <v>477329000</v>
      </c>
      <c r="D6" s="393" t="s">
        <v>52</v>
      </c>
      <c r="E6" s="393" t="s">
        <v>52</v>
      </c>
      <c r="F6" s="393" t="s">
        <v>52</v>
      </c>
      <c r="G6" s="393" t="s">
        <v>52</v>
      </c>
      <c r="H6" s="393" t="s">
        <v>52</v>
      </c>
      <c r="I6" s="240"/>
      <c r="J6" s="240"/>
      <c r="K6" s="679">
        <f t="shared" ref="K6:K16" si="0">SUM(B6:J6)</f>
        <v>3489708000</v>
      </c>
      <c r="L6" s="231">
        <v>1010205000</v>
      </c>
      <c r="M6" s="240">
        <v>204027000</v>
      </c>
      <c r="N6" s="688">
        <v>4762261000</v>
      </c>
      <c r="O6" s="33"/>
      <c r="P6" s="692"/>
      <c r="Q6" s="692"/>
      <c r="R6" s="692"/>
      <c r="S6" s="693"/>
      <c r="T6" s="692"/>
      <c r="U6" s="692"/>
      <c r="V6" s="693"/>
      <c r="W6" s="656"/>
      <c r="X6" s="229"/>
    </row>
    <row r="7" spans="1:27" ht="21" customHeight="1">
      <c r="A7" s="31">
        <v>2012</v>
      </c>
      <c r="B7" s="32">
        <v>3121503000</v>
      </c>
      <c r="C7" s="32">
        <v>503070000</v>
      </c>
      <c r="D7" s="393" t="s">
        <v>52</v>
      </c>
      <c r="E7" s="393" t="s">
        <v>52</v>
      </c>
      <c r="F7" s="393" t="s">
        <v>52</v>
      </c>
      <c r="G7" s="393" t="s">
        <v>52</v>
      </c>
      <c r="H7" s="393" t="s">
        <v>52</v>
      </c>
      <c r="I7" s="32"/>
      <c r="J7" s="32"/>
      <c r="K7" s="680">
        <f t="shared" si="0"/>
        <v>3624573000</v>
      </c>
      <c r="L7" s="32">
        <v>1052522000</v>
      </c>
      <c r="M7" s="32">
        <v>214098000</v>
      </c>
      <c r="N7" s="680">
        <f t="shared" ref="N7:N13" si="1">SUM(K7:M7)</f>
        <v>4891193000</v>
      </c>
      <c r="O7" s="33"/>
      <c r="P7" s="698"/>
      <c r="Q7" s="692"/>
      <c r="R7" s="692"/>
      <c r="S7" s="693"/>
      <c r="T7" s="692"/>
      <c r="U7" s="692"/>
      <c r="V7" s="693"/>
      <c r="W7" s="656"/>
      <c r="X7" s="658">
        <f t="shared" ref="X7:X16" si="2">B7/B6-1</f>
        <v>3.6225189459891949E-2</v>
      </c>
      <c r="Y7" s="658">
        <f t="shared" ref="Y7:Z16" si="3">K7/K6-1</f>
        <v>3.8646499936384471E-2</v>
      </c>
      <c r="Z7" s="658">
        <f t="shared" si="3"/>
        <v>4.1889517474176019E-2</v>
      </c>
      <c r="AA7" s="658">
        <f t="shared" ref="AA7:AA15" si="4">N7/N6-1</f>
        <v>2.7073694616905675E-2</v>
      </c>
    </row>
    <row r="8" spans="1:27" ht="15" customHeight="1">
      <c r="A8" s="31">
        <v>2013</v>
      </c>
      <c r="B8" s="32">
        <v>3219798000</v>
      </c>
      <c r="C8" s="32">
        <v>521180000</v>
      </c>
      <c r="D8" s="393" t="s">
        <v>52</v>
      </c>
      <c r="E8" s="393" t="s">
        <v>52</v>
      </c>
      <c r="F8" s="393" t="s">
        <v>52</v>
      </c>
      <c r="G8" s="393" t="s">
        <v>52</v>
      </c>
      <c r="H8" s="393" t="s">
        <v>52</v>
      </c>
      <c r="I8" s="32"/>
      <c r="J8" s="32"/>
      <c r="K8" s="680">
        <f t="shared" si="0"/>
        <v>3740978000</v>
      </c>
      <c r="L8" s="32">
        <v>1089743000</v>
      </c>
      <c r="M8" s="32">
        <v>221396000</v>
      </c>
      <c r="N8" s="680">
        <f t="shared" si="1"/>
        <v>5052117000</v>
      </c>
      <c r="O8" s="33"/>
      <c r="P8" s="698"/>
      <c r="Q8" s="692"/>
      <c r="R8" s="692"/>
      <c r="S8" s="693"/>
      <c r="T8" s="692"/>
      <c r="U8" s="692"/>
      <c r="V8" s="693"/>
      <c r="W8" s="656"/>
      <c r="X8" s="658">
        <f t="shared" si="2"/>
        <v>3.1489638164691858E-2</v>
      </c>
      <c r="Y8" s="658">
        <f t="shared" si="3"/>
        <v>3.2115507123183784E-2</v>
      </c>
      <c r="Z8" s="658">
        <f t="shared" si="3"/>
        <v>3.5363631354023983E-2</v>
      </c>
      <c r="AA8" s="658">
        <f t="shared" si="4"/>
        <v>3.2900766745454613E-2</v>
      </c>
    </row>
    <row r="9" spans="1:27" ht="15" customHeight="1">
      <c r="A9" s="31">
        <v>2014</v>
      </c>
      <c r="B9" s="898">
        <v>3066456000</v>
      </c>
      <c r="C9" s="682">
        <f>ROUND(492018037.25,-3)</f>
        <v>492018000</v>
      </c>
      <c r="D9" s="899">
        <f>ROUND(146680019.76+44537298.65,-3)</f>
        <v>191217000</v>
      </c>
      <c r="E9" s="899">
        <v>41908000</v>
      </c>
      <c r="F9" s="899">
        <v>62864000</v>
      </c>
      <c r="G9" s="899">
        <v>203933000</v>
      </c>
      <c r="H9" s="899">
        <v>107424000</v>
      </c>
      <c r="I9" s="32"/>
      <c r="J9" s="32"/>
      <c r="K9" s="680">
        <f t="shared" si="0"/>
        <v>4165820000</v>
      </c>
      <c r="L9" s="682">
        <v>1094794000</v>
      </c>
      <c r="M9" s="898">
        <v>334030000</v>
      </c>
      <c r="N9" s="680">
        <f t="shared" si="1"/>
        <v>5594644000</v>
      </c>
      <c r="O9" s="33"/>
      <c r="P9" s="698"/>
      <c r="Q9" s="692"/>
      <c r="R9" s="692"/>
      <c r="S9" s="693"/>
      <c r="T9" s="692"/>
      <c r="U9" s="692"/>
      <c r="V9" s="693"/>
      <c r="W9" s="656"/>
      <c r="X9" s="658">
        <f t="shared" si="2"/>
        <v>-4.7624726768573655E-2</v>
      </c>
      <c r="Y9" s="658">
        <f t="shared" si="3"/>
        <v>0.11356442085465357</v>
      </c>
      <c r="Z9" s="658">
        <f t="shared" si="3"/>
        <v>4.6350378024910821E-3</v>
      </c>
      <c r="AA9" s="658">
        <f t="shared" si="4"/>
        <v>0.10738607201693862</v>
      </c>
    </row>
    <row r="10" spans="1:27" ht="15" customHeight="1">
      <c r="A10" s="31">
        <v>2015</v>
      </c>
      <c r="B10" s="682">
        <v>3235444000</v>
      </c>
      <c r="C10" s="682">
        <v>590709000</v>
      </c>
      <c r="D10" s="900">
        <f>ROUND(176785752.29+101094512.7,-3)</f>
        <v>277880000</v>
      </c>
      <c r="E10" s="900">
        <v>50520000</v>
      </c>
      <c r="F10" s="900">
        <v>75746000</v>
      </c>
      <c r="G10" s="900">
        <v>246324000</v>
      </c>
      <c r="H10" s="900">
        <v>129918000</v>
      </c>
      <c r="I10" s="32"/>
      <c r="J10" s="32"/>
      <c r="K10" s="680">
        <f t="shared" si="0"/>
        <v>4606541000</v>
      </c>
      <c r="L10" s="682">
        <v>1143330000</v>
      </c>
      <c r="M10" s="682">
        <v>352406000</v>
      </c>
      <c r="N10" s="680">
        <f t="shared" si="1"/>
        <v>6102277000</v>
      </c>
      <c r="O10" s="33"/>
      <c r="P10" s="698"/>
      <c r="Q10" s="692"/>
      <c r="R10" s="692"/>
      <c r="S10" s="693"/>
      <c r="T10" s="692"/>
      <c r="U10" s="692"/>
      <c r="V10" s="693"/>
      <c r="W10" s="656"/>
      <c r="X10" s="658">
        <f t="shared" si="2"/>
        <v>5.5108568327737251E-2</v>
      </c>
      <c r="Y10" s="658">
        <f t="shared" si="3"/>
        <v>0.10579453745000977</v>
      </c>
      <c r="Z10" s="658">
        <f t="shared" si="3"/>
        <v>4.4333454512903714E-2</v>
      </c>
      <c r="AA10" s="658">
        <f t="shared" si="4"/>
        <v>9.0735532055301382E-2</v>
      </c>
    </row>
    <row r="11" spans="1:27" ht="15" customHeight="1">
      <c r="A11" s="31">
        <v>2016</v>
      </c>
      <c r="B11" s="682">
        <v>3295853000</v>
      </c>
      <c r="C11" s="682">
        <v>599055000</v>
      </c>
      <c r="D11" s="900">
        <f>ROUND(174535019.41+102314212,-3)</f>
        <v>276849000</v>
      </c>
      <c r="E11" s="900">
        <v>49877000</v>
      </c>
      <c r="F11" s="900">
        <v>74782000</v>
      </c>
      <c r="G11" s="900">
        <v>237314000</v>
      </c>
      <c r="H11" s="900">
        <v>126537000</v>
      </c>
      <c r="I11" s="32"/>
      <c r="J11" s="32"/>
      <c r="K11" s="680">
        <f t="shared" si="0"/>
        <v>4660267000</v>
      </c>
      <c r="L11" s="682">
        <v>1188704000</v>
      </c>
      <c r="M11" s="682">
        <v>355547000</v>
      </c>
      <c r="N11" s="680">
        <f t="shared" si="1"/>
        <v>6204518000</v>
      </c>
      <c r="O11" s="33"/>
      <c r="P11" s="698"/>
      <c r="Q11" s="692"/>
      <c r="R11" s="692"/>
      <c r="S11" s="693"/>
      <c r="T11" s="692"/>
      <c r="U11" s="692"/>
      <c r="V11" s="693"/>
      <c r="W11" s="656"/>
      <c r="X11" s="658">
        <f t="shared" si="2"/>
        <v>1.8671007750404645E-2</v>
      </c>
      <c r="Y11" s="658">
        <f t="shared" si="3"/>
        <v>1.1662980965544412E-2</v>
      </c>
      <c r="Z11" s="658">
        <f t="shared" si="3"/>
        <v>3.9685829987842425E-2</v>
      </c>
      <c r="AA11" s="658">
        <f t="shared" si="4"/>
        <v>1.6754565549875977E-2</v>
      </c>
    </row>
    <row r="12" spans="1:27" ht="15" customHeight="1">
      <c r="A12" s="31">
        <v>2017</v>
      </c>
      <c r="B12" s="682">
        <f>ROUND(3357064365.72,-3)+3354561000*0</f>
        <v>3357064000</v>
      </c>
      <c r="C12" s="682">
        <f>ROUND(589823540.29+25748098.43,-3)</f>
        <v>615572000</v>
      </c>
      <c r="D12" s="900">
        <f>ROUND(178769862.17+98290993.56,-3)</f>
        <v>277061000</v>
      </c>
      <c r="E12" s="900">
        <v>51043000</v>
      </c>
      <c r="F12" s="900">
        <v>76683000</v>
      </c>
      <c r="G12" s="900">
        <v>251601000</v>
      </c>
      <c r="H12" s="900">
        <v>131472000</v>
      </c>
      <c r="I12" s="32"/>
      <c r="J12" s="32"/>
      <c r="K12" s="680">
        <f t="shared" si="0"/>
        <v>4760496000</v>
      </c>
      <c r="L12" s="682">
        <v>1213929000</v>
      </c>
      <c r="M12" s="682">
        <v>365878000</v>
      </c>
      <c r="N12" s="680">
        <f t="shared" si="1"/>
        <v>6340303000</v>
      </c>
      <c r="O12" s="33"/>
      <c r="P12" s="701"/>
      <c r="Q12" s="702" t="s">
        <v>961</v>
      </c>
      <c r="R12" s="703"/>
      <c r="S12" s="704"/>
      <c r="T12" s="700"/>
      <c r="U12" s="699"/>
      <c r="W12" s="656"/>
      <c r="X12" s="658">
        <f t="shared" si="2"/>
        <v>1.8572126851531312E-2</v>
      </c>
      <c r="Y12" s="658">
        <f t="shared" si="3"/>
        <v>2.1507136822847217E-2</v>
      </c>
      <c r="Z12" s="658">
        <f t="shared" si="3"/>
        <v>2.1220589818827795E-2</v>
      </c>
      <c r="AA12" s="658">
        <f t="shared" si="4"/>
        <v>2.1884858743257629E-2</v>
      </c>
    </row>
    <row r="13" spans="1:27" ht="15" customHeight="1">
      <c r="A13" s="31">
        <v>2018</v>
      </c>
      <c r="B13" s="677">
        <f>ROUND(3461771752.8,-3)+3458249000*0</f>
        <v>3461772000</v>
      </c>
      <c r="C13" s="677">
        <f>ROUND(592516174.16+25870695.34,-3)</f>
        <v>618387000</v>
      </c>
      <c r="D13" s="900">
        <f>ROUND(186058734.59+106459499.7,-3)</f>
        <v>292518000</v>
      </c>
      <c r="E13" s="900">
        <v>53159000</v>
      </c>
      <c r="F13" s="900">
        <v>79742000</v>
      </c>
      <c r="G13" s="900">
        <v>256443000</v>
      </c>
      <c r="H13" s="900">
        <v>137059000</v>
      </c>
      <c r="I13" s="170"/>
      <c r="J13" s="170"/>
      <c r="K13" s="680">
        <f t="shared" si="0"/>
        <v>4899080000</v>
      </c>
      <c r="L13" s="682">
        <v>1243480000</v>
      </c>
      <c r="M13" s="677">
        <v>376561000</v>
      </c>
      <c r="N13" s="680">
        <f t="shared" si="1"/>
        <v>6519121000</v>
      </c>
      <c r="O13" s="33"/>
      <c r="P13" s="705" t="s">
        <v>960</v>
      </c>
      <c r="Q13" s="705" t="s">
        <v>958</v>
      </c>
      <c r="R13" s="705" t="s">
        <v>959</v>
      </c>
      <c r="S13" s="706" t="s">
        <v>957</v>
      </c>
      <c r="T13" s="697"/>
      <c r="U13" s="697" t="s">
        <v>962</v>
      </c>
      <c r="V13" s="696" t="s">
        <v>957</v>
      </c>
      <c r="W13" s="656"/>
      <c r="X13" s="658">
        <f t="shared" si="2"/>
        <v>3.1190349662681527E-2</v>
      </c>
      <c r="Y13" s="658">
        <f t="shared" si="3"/>
        <v>2.9111252272872479E-2</v>
      </c>
      <c r="Z13" s="658">
        <f t="shared" si="3"/>
        <v>2.4343268840269827E-2</v>
      </c>
      <c r="AA13" s="658">
        <f t="shared" si="4"/>
        <v>2.8203383970766049E-2</v>
      </c>
    </row>
    <row r="14" spans="1:27" ht="15" customHeight="1">
      <c r="A14" s="31">
        <v>2019</v>
      </c>
      <c r="B14" s="677">
        <v>3580355000</v>
      </c>
      <c r="C14" s="677">
        <f>ROUND(622280986.85+27169809.32,-3)</f>
        <v>649451000</v>
      </c>
      <c r="D14" s="676">
        <f>ROUND(191758807.58+109669908.6,-3)</f>
        <v>301429000</v>
      </c>
      <c r="E14" s="676">
        <v>54797000</v>
      </c>
      <c r="F14" s="676">
        <v>82165000</v>
      </c>
      <c r="G14" s="676">
        <f>ROUND(263033838.77,-3)</f>
        <v>263034000</v>
      </c>
      <c r="H14" s="676">
        <f>ROUND(139641901.73,-3)</f>
        <v>139642000</v>
      </c>
      <c r="I14" s="677">
        <v>20358000</v>
      </c>
      <c r="J14" s="677"/>
      <c r="K14" s="680">
        <f t="shared" si="0"/>
        <v>5091231000</v>
      </c>
      <c r="L14" s="682">
        <v>1292804000</v>
      </c>
      <c r="M14" s="677">
        <v>392605000</v>
      </c>
      <c r="N14" s="680">
        <f>SUM(K14:M14)</f>
        <v>6776640000</v>
      </c>
      <c r="O14" s="33"/>
      <c r="P14" s="707">
        <v>2019</v>
      </c>
      <c r="Q14" s="708">
        <f>N14</f>
        <v>6776640000</v>
      </c>
      <c r="R14" s="708">
        <v>6764132129.4500237</v>
      </c>
      <c r="S14" s="709">
        <f>N14/R14-1</f>
        <v>1.8491463961087806E-3</v>
      </c>
      <c r="T14" s="692"/>
      <c r="U14" s="692">
        <v>6409139000</v>
      </c>
      <c r="V14" s="694">
        <f>U14/R14-1</f>
        <v>-5.2481696492065355E-2</v>
      </c>
      <c r="W14" s="656"/>
      <c r="X14" s="658">
        <f t="shared" si="2"/>
        <v>3.4255000040441796E-2</v>
      </c>
      <c r="Y14" s="658">
        <f t="shared" si="3"/>
        <v>3.9221853899099379E-2</v>
      </c>
      <c r="Z14" s="658">
        <f t="shared" si="3"/>
        <v>3.9666098369093294E-2</v>
      </c>
      <c r="AA14" s="658">
        <f t="shared" si="4"/>
        <v>3.9502104654906667E-2</v>
      </c>
    </row>
    <row r="15" spans="1:27" ht="15" customHeight="1">
      <c r="A15" s="31">
        <v>2020</v>
      </c>
      <c r="B15" s="677">
        <f>ROUND(2683258.31+208033441.59+53040341.29+3169525635.96+-34441737.4+2478935.49+173593188.29+-5477492.26+540921001.82+-406044118.99+132233.73+2033538.76+338923.1,-3)</f>
        <v>3706817000</v>
      </c>
      <c r="C15" s="681">
        <f>ROUND(26831467.7+508394214.76+93910136.99+15332267.26+33555422.32,-3)</f>
        <v>678024000</v>
      </c>
      <c r="D15" s="678">
        <f>ROUND(188570036.5+108118849.5+14033366.21,-3)</f>
        <v>310722000</v>
      </c>
      <c r="E15" s="676">
        <f>ROUND(53877017.19,-3)</f>
        <v>53877000</v>
      </c>
      <c r="F15" s="676">
        <f>ROUND(80816271.36,-3)</f>
        <v>80816000</v>
      </c>
      <c r="G15" s="676">
        <f>ROUND(268751277.28,-3)</f>
        <v>268751000</v>
      </c>
      <c r="H15" s="676">
        <f>ROUND(142869323.15,-3)</f>
        <v>142869000</v>
      </c>
      <c r="I15" s="677">
        <f>ROUND(11366680.58+11364295.82,-3)</f>
        <v>22731000</v>
      </c>
      <c r="J15" s="677"/>
      <c r="K15" s="680">
        <f t="shared" si="0"/>
        <v>5264607000</v>
      </c>
      <c r="L15" s="682">
        <f>ROUND(1358988340.78,-3)</f>
        <v>1358988000</v>
      </c>
      <c r="M15" s="677">
        <f>ROUND(406044118.99,-3)</f>
        <v>406044000</v>
      </c>
      <c r="N15" s="680">
        <f>SUM(K15:M15)</f>
        <v>7029639000</v>
      </c>
      <c r="O15" s="33"/>
      <c r="P15" s="707">
        <v>2020</v>
      </c>
      <c r="Q15" s="708">
        <f t="shared" ref="Q15:Q16" si="5">N15</f>
        <v>7029639000</v>
      </c>
      <c r="R15" s="708">
        <v>6965941756.3400993</v>
      </c>
      <c r="S15" s="709">
        <f t="shared" ref="S15:S16" si="6">N15/R15-1</f>
        <v>9.1440965038109834E-3</v>
      </c>
      <c r="T15" s="692"/>
      <c r="U15" s="692">
        <v>6921512000</v>
      </c>
      <c r="V15" s="694">
        <f>U15/R15-1</f>
        <v>-6.3781406583913736E-3</v>
      </c>
      <c r="W15" s="656"/>
      <c r="X15" s="658">
        <f t="shared" si="2"/>
        <v>3.5321078496405978E-2</v>
      </c>
      <c r="Y15" s="658">
        <f t="shared" si="3"/>
        <v>3.4053846702300383E-2</v>
      </c>
      <c r="Z15" s="658">
        <f t="shared" si="3"/>
        <v>5.1194148532956341E-2</v>
      </c>
      <c r="AA15" s="658">
        <f t="shared" si="4"/>
        <v>3.7333988525286799E-2</v>
      </c>
    </row>
    <row r="16" spans="1:27" ht="15" customHeight="1">
      <c r="A16" s="31">
        <v>2021</v>
      </c>
      <c r="B16" s="677">
        <f>ROUND(4166181778.91,-3)</f>
        <v>4166182000</v>
      </c>
      <c r="C16" s="681">
        <f>ROUND(883351323.76,-3)</f>
        <v>883351000</v>
      </c>
      <c r="D16" s="678">
        <f>ROUND(381740948.12,-3)+ROUND(-415199.89,-3)+ROUND(-627216.85,-3)</f>
        <v>380699000</v>
      </c>
      <c r="E16" s="676">
        <f>ROUND(-415199.89,-3)+ROUND(415199.89,-3)</f>
        <v>0</v>
      </c>
      <c r="F16" s="676">
        <f>ROUND(-627216.85,-3)+ROUND(627216.85,-3)</f>
        <v>0</v>
      </c>
      <c r="G16" s="676">
        <f>ROUND(286169787.36,-3)</f>
        <v>286170000</v>
      </c>
      <c r="H16" s="676">
        <f>ROUND(168804319.76,-3)</f>
        <v>168804000</v>
      </c>
      <c r="I16" s="677">
        <f>ROUND(11485184.74+11483982.06,-3)</f>
        <v>22969000</v>
      </c>
      <c r="J16" s="677">
        <f>ROUND(89337245.13,-3)</f>
        <v>89337000</v>
      </c>
      <c r="K16" s="680">
        <f t="shared" si="0"/>
        <v>5997512000</v>
      </c>
      <c r="L16" s="682">
        <f>ROUND(1477201024.21,-3)</f>
        <v>1477201000</v>
      </c>
      <c r="M16" s="677">
        <f>ROUND(458362738.92,-3)</f>
        <v>458363000</v>
      </c>
      <c r="N16" s="680">
        <f>SUM(K16:M16)</f>
        <v>7933076000</v>
      </c>
      <c r="O16" s="33"/>
      <c r="P16" s="707">
        <v>2021</v>
      </c>
      <c r="Q16" s="708">
        <f t="shared" si="5"/>
        <v>7933076000</v>
      </c>
      <c r="R16" s="708">
        <v>7924865481.6600456</v>
      </c>
      <c r="S16" s="709">
        <f t="shared" si="6"/>
        <v>1.0360451365332146E-3</v>
      </c>
      <c r="T16" s="692"/>
      <c r="U16" s="692"/>
      <c r="V16" s="694"/>
      <c r="W16" s="656"/>
      <c r="X16" s="658">
        <f t="shared" si="2"/>
        <v>0.12392438040507536</v>
      </c>
      <c r="Y16" s="658">
        <f t="shared" si="3"/>
        <v>0.13921362031391893</v>
      </c>
      <c r="Z16" s="658">
        <f t="shared" si="3"/>
        <v>8.6986051385295582E-2</v>
      </c>
      <c r="AA16" s="658">
        <f>N16/N15-1</f>
        <v>0.12851826388239851</v>
      </c>
    </row>
    <row r="17" spans="1:24" s="574" customFormat="1" ht="6" customHeight="1">
      <c r="A17" s="572"/>
      <c r="B17" s="573">
        <f>B16/B14-1</f>
        <v>0.16362260166938758</v>
      </c>
      <c r="C17" s="573">
        <f t="shared" ref="C17:N17" si="7">C16/C14-1</f>
        <v>0.36015034236609078</v>
      </c>
      <c r="D17" s="573">
        <f t="shared" si="7"/>
        <v>0.26298066874786441</v>
      </c>
      <c r="E17" s="573">
        <f t="shared" si="7"/>
        <v>-1</v>
      </c>
      <c r="F17" s="573">
        <f t="shared" si="7"/>
        <v>-1</v>
      </c>
      <c r="G17" s="573">
        <f t="shared" si="7"/>
        <v>8.7958210725609609E-2</v>
      </c>
      <c r="H17" s="573">
        <f t="shared" si="7"/>
        <v>0.20883401841852733</v>
      </c>
      <c r="I17" s="573">
        <f t="shared" si="7"/>
        <v>0.12825424894390403</v>
      </c>
      <c r="J17" s="573" t="e">
        <f t="shared" si="7"/>
        <v>#DIV/0!</v>
      </c>
      <c r="K17" s="573">
        <f t="shared" si="7"/>
        <v>0.1780082263012619</v>
      </c>
      <c r="L17" s="573">
        <f t="shared" si="7"/>
        <v>0.14263337675316601</v>
      </c>
      <c r="M17" s="573">
        <f t="shared" si="7"/>
        <v>0.16749149908941563</v>
      </c>
      <c r="N17" s="573">
        <f t="shared" si="7"/>
        <v>0.17065035179676058</v>
      </c>
      <c r="P17" s="692"/>
      <c r="Q17" s="692"/>
      <c r="R17" s="692"/>
      <c r="S17" s="695"/>
      <c r="T17" s="692"/>
      <c r="U17" s="692"/>
      <c r="V17" s="695"/>
      <c r="W17" s="657"/>
      <c r="X17" s="575"/>
    </row>
    <row r="18" spans="1:24" s="884" customFormat="1" ht="12.65" customHeight="1">
      <c r="A18" s="881" t="s">
        <v>941</v>
      </c>
      <c r="B18" s="882"/>
      <c r="C18" s="882"/>
      <c r="D18" s="882"/>
      <c r="E18" s="882"/>
      <c r="F18" s="882"/>
      <c r="G18" s="882"/>
      <c r="H18" s="883"/>
      <c r="I18" s="883"/>
      <c r="J18" s="883"/>
      <c r="K18" s="882"/>
      <c r="L18" s="882"/>
      <c r="M18" s="882"/>
      <c r="N18" s="882"/>
      <c r="P18" s="885"/>
      <c r="Q18" s="885"/>
      <c r="R18" s="885"/>
      <c r="S18" s="886"/>
      <c r="T18" s="885"/>
      <c r="U18" s="885"/>
      <c r="V18" s="886"/>
      <c r="W18" s="887"/>
      <c r="X18" s="888"/>
    </row>
    <row r="19" spans="1:24" s="884" customFormat="1" ht="12.65" customHeight="1">
      <c r="A19" s="884" t="s">
        <v>1000</v>
      </c>
      <c r="P19" s="885"/>
      <c r="Q19" s="885"/>
      <c r="R19" s="885"/>
      <c r="S19" s="886"/>
      <c r="T19" s="885"/>
      <c r="U19" s="885"/>
      <c r="V19" s="886"/>
      <c r="W19" s="887"/>
      <c r="X19" s="888"/>
    </row>
    <row r="20" spans="1:24" s="884" customFormat="1" ht="12.65" customHeight="1">
      <c r="A20" s="884" t="s">
        <v>1001</v>
      </c>
      <c r="L20" s="889"/>
      <c r="M20" s="889"/>
      <c r="P20" s="885"/>
      <c r="Q20" s="885"/>
      <c r="R20" s="885"/>
      <c r="S20" s="886"/>
      <c r="T20" s="885"/>
      <c r="U20" s="885"/>
      <c r="V20" s="886"/>
      <c r="W20" s="887"/>
      <c r="X20" s="888"/>
    </row>
    <row r="21" spans="1:24" s="884" customFormat="1" ht="12.65" customHeight="1">
      <c r="A21" s="890" t="s">
        <v>1002</v>
      </c>
      <c r="B21" s="890"/>
      <c r="C21" s="890"/>
      <c r="D21" s="890"/>
      <c r="E21" s="890"/>
      <c r="F21" s="890"/>
      <c r="G21" s="890"/>
      <c r="H21" s="890"/>
      <c r="I21" s="890"/>
      <c r="J21" s="890"/>
      <c r="K21" s="890"/>
      <c r="L21" s="890"/>
      <c r="M21" s="890"/>
      <c r="N21" s="890"/>
      <c r="P21" s="885"/>
      <c r="Q21" s="885"/>
      <c r="R21" s="885"/>
      <c r="S21" s="886"/>
      <c r="T21" s="885"/>
      <c r="U21" s="885"/>
      <c r="V21" s="886"/>
      <c r="W21" s="887"/>
    </row>
    <row r="22" spans="1:24" s="884" customFormat="1" ht="12.65" customHeight="1">
      <c r="A22" s="890" t="s">
        <v>1003</v>
      </c>
      <c r="B22" s="890"/>
      <c r="C22" s="890"/>
      <c r="D22" s="890"/>
      <c r="E22" s="890"/>
      <c r="F22" s="890"/>
      <c r="G22" s="890"/>
      <c r="H22" s="890"/>
      <c r="I22" s="890"/>
      <c r="J22" s="890"/>
      <c r="K22" s="890"/>
      <c r="L22" s="890"/>
      <c r="M22" s="890"/>
      <c r="N22" s="890"/>
      <c r="P22" s="885"/>
      <c r="Q22" s="885"/>
      <c r="R22" s="885"/>
      <c r="S22" s="886"/>
      <c r="T22" s="885"/>
      <c r="U22" s="885"/>
      <c r="V22" s="886"/>
      <c r="W22" s="887"/>
    </row>
    <row r="23" spans="1:24" s="884" customFormat="1" ht="12.65" customHeight="1">
      <c r="A23" s="890" t="s">
        <v>1004</v>
      </c>
      <c r="B23" s="890"/>
      <c r="C23" s="890"/>
      <c r="D23" s="890"/>
      <c r="E23" s="890"/>
      <c r="F23" s="890"/>
      <c r="G23" s="890"/>
      <c r="H23" s="890"/>
      <c r="I23" s="890"/>
      <c r="J23" s="890"/>
      <c r="K23" s="890"/>
      <c r="L23" s="890"/>
      <c r="M23" s="890"/>
      <c r="N23" s="890"/>
      <c r="P23" s="885"/>
      <c r="Q23" s="885"/>
      <c r="R23" s="885"/>
      <c r="S23" s="886"/>
      <c r="T23" s="885"/>
      <c r="U23" s="885"/>
      <c r="V23" s="886"/>
      <c r="W23" s="887"/>
    </row>
    <row r="24" spans="1:24" s="884" customFormat="1" ht="12.65" customHeight="1">
      <c r="A24" s="890" t="s">
        <v>1005</v>
      </c>
      <c r="B24" s="890"/>
      <c r="C24" s="890"/>
      <c r="D24" s="890"/>
      <c r="E24" s="890"/>
      <c r="F24" s="890"/>
      <c r="G24" s="890"/>
      <c r="H24" s="890"/>
      <c r="I24" s="890"/>
      <c r="J24" s="890"/>
      <c r="K24" s="890"/>
      <c r="L24" s="890"/>
      <c r="M24" s="890"/>
      <c r="N24" s="890"/>
      <c r="P24" s="885"/>
      <c r="Q24" s="885"/>
      <c r="R24" s="885"/>
      <c r="S24" s="886"/>
      <c r="T24" s="885"/>
      <c r="U24" s="885"/>
      <c r="V24" s="886"/>
      <c r="W24" s="887"/>
    </row>
    <row r="25" spans="1:24" s="884" customFormat="1" ht="12.65" customHeight="1">
      <c r="A25" s="890" t="s">
        <v>1006</v>
      </c>
      <c r="B25" s="890"/>
      <c r="C25" s="890"/>
      <c r="D25" s="890"/>
      <c r="E25" s="890"/>
      <c r="F25" s="890"/>
      <c r="G25" s="890"/>
      <c r="H25" s="890"/>
      <c r="I25" s="890"/>
      <c r="J25" s="890"/>
      <c r="K25" s="890"/>
      <c r="L25" s="890"/>
      <c r="M25" s="890"/>
      <c r="N25" s="890"/>
      <c r="P25" s="885"/>
      <c r="Q25" s="885"/>
      <c r="R25" s="885"/>
      <c r="S25" s="886"/>
      <c r="T25" s="885"/>
      <c r="U25" s="885"/>
      <c r="V25" s="886"/>
      <c r="W25" s="887"/>
    </row>
    <row r="26" spans="1:24" s="884" customFormat="1" ht="12.65" customHeight="1">
      <c r="A26" s="890" t="s">
        <v>1007</v>
      </c>
      <c r="B26" s="891"/>
      <c r="C26" s="891"/>
      <c r="D26" s="891"/>
      <c r="E26" s="891"/>
      <c r="F26" s="891"/>
      <c r="G26" s="891"/>
      <c r="H26" s="891"/>
      <c r="I26" s="891"/>
      <c r="J26" s="891"/>
      <c r="K26" s="891"/>
      <c r="L26" s="891"/>
      <c r="M26" s="891"/>
      <c r="N26" s="891"/>
      <c r="P26" s="885"/>
      <c r="Q26" s="885"/>
      <c r="R26" s="885"/>
      <c r="S26" s="886"/>
      <c r="T26" s="885"/>
      <c r="U26" s="885"/>
      <c r="V26" s="886"/>
      <c r="W26" s="887"/>
    </row>
    <row r="27" spans="1:24" s="884" customFormat="1" ht="12.65" customHeight="1">
      <c r="A27" s="890" t="s">
        <v>999</v>
      </c>
      <c r="B27" s="890"/>
      <c r="C27" s="890"/>
      <c r="D27" s="890"/>
      <c r="E27" s="890"/>
      <c r="F27" s="890"/>
      <c r="G27" s="890"/>
      <c r="H27" s="890"/>
      <c r="I27" s="890"/>
      <c r="J27" s="890"/>
      <c r="K27" s="890"/>
      <c r="L27" s="890"/>
      <c r="M27" s="890"/>
      <c r="N27" s="890"/>
      <c r="P27" s="885"/>
      <c r="Q27" s="885"/>
      <c r="R27" s="885"/>
      <c r="S27" s="886"/>
      <c r="T27" s="885"/>
      <c r="U27" s="885"/>
      <c r="V27" s="886"/>
      <c r="W27" s="887"/>
    </row>
    <row r="28" spans="1:24" s="884" customFormat="1" ht="12.65" customHeight="1">
      <c r="A28" s="890" t="s">
        <v>998</v>
      </c>
      <c r="B28" s="890"/>
      <c r="C28" s="890"/>
      <c r="D28" s="890"/>
      <c r="E28" s="890"/>
      <c r="F28" s="890"/>
      <c r="G28" s="890"/>
      <c r="H28" s="890"/>
      <c r="I28" s="890"/>
      <c r="J28" s="890"/>
      <c r="K28" s="890"/>
      <c r="L28" s="890"/>
      <c r="M28" s="890"/>
      <c r="N28" s="890"/>
      <c r="P28" s="885"/>
      <c r="Q28" s="885"/>
      <c r="R28" s="885"/>
      <c r="S28" s="886"/>
      <c r="T28" s="885"/>
      <c r="U28" s="885"/>
      <c r="V28" s="886"/>
      <c r="W28" s="887"/>
    </row>
    <row r="29" spans="1:24" s="884" customFormat="1" ht="12.65" customHeight="1">
      <c r="A29" s="892" t="s">
        <v>956</v>
      </c>
      <c r="B29" s="892"/>
      <c r="C29" s="892"/>
      <c r="D29" s="892"/>
      <c r="E29" s="892"/>
      <c r="F29" s="892"/>
      <c r="G29" s="892"/>
      <c r="H29" s="892"/>
      <c r="I29" s="892"/>
      <c r="J29" s="892"/>
      <c r="K29" s="892"/>
      <c r="L29" s="892"/>
      <c r="M29" s="892"/>
      <c r="N29" s="892"/>
      <c r="P29" s="885"/>
      <c r="Q29" s="885"/>
      <c r="R29" s="885"/>
      <c r="S29" s="886"/>
      <c r="T29" s="885"/>
      <c r="U29" s="885"/>
      <c r="V29" s="886"/>
      <c r="W29" s="887"/>
    </row>
    <row r="30" spans="1:24" s="884" customFormat="1" ht="12.65" customHeight="1">
      <c r="A30" s="890" t="s">
        <v>1008</v>
      </c>
      <c r="B30" s="893"/>
      <c r="C30" s="893"/>
      <c r="D30" s="893"/>
      <c r="E30" s="893"/>
      <c r="F30" s="893"/>
      <c r="G30" s="893"/>
      <c r="H30" s="893"/>
      <c r="I30" s="893"/>
      <c r="J30" s="893"/>
      <c r="K30" s="893"/>
      <c r="L30" s="893"/>
      <c r="M30" s="893"/>
      <c r="N30" s="893"/>
      <c r="P30" s="885"/>
      <c r="Q30" s="885"/>
      <c r="R30" s="885"/>
      <c r="S30" s="886"/>
      <c r="T30" s="885"/>
      <c r="U30" s="885"/>
      <c r="V30" s="886"/>
      <c r="W30" s="887"/>
    </row>
    <row r="31" spans="1:24" s="884" customFormat="1" ht="12.65" customHeight="1">
      <c r="A31" s="894" t="s">
        <v>1009</v>
      </c>
      <c r="B31" s="895"/>
      <c r="C31" s="895"/>
      <c r="D31" s="895"/>
      <c r="E31" s="895"/>
      <c r="F31" s="895"/>
      <c r="G31" s="895"/>
      <c r="H31" s="895"/>
      <c r="I31" s="895"/>
      <c r="J31" s="895"/>
      <c r="K31" s="895"/>
      <c r="L31" s="895"/>
      <c r="P31" s="885"/>
      <c r="Q31" s="885"/>
      <c r="R31" s="885"/>
      <c r="S31" s="886"/>
      <c r="T31" s="885"/>
      <c r="U31" s="885"/>
      <c r="V31" s="886"/>
      <c r="W31" s="887"/>
    </row>
    <row r="32" spans="1:24" s="884" customFormat="1" ht="12.65" customHeight="1">
      <c r="A32" s="894" t="s">
        <v>1010</v>
      </c>
      <c r="B32" s="895"/>
      <c r="C32" s="895"/>
      <c r="D32" s="895"/>
      <c r="E32" s="895"/>
      <c r="F32" s="895"/>
      <c r="G32" s="895"/>
      <c r="H32" s="895"/>
      <c r="I32" s="895"/>
      <c r="J32" s="895"/>
      <c r="K32" s="895"/>
      <c r="L32" s="895"/>
      <c r="P32" s="885"/>
      <c r="Q32" s="885"/>
      <c r="R32" s="885"/>
      <c r="S32" s="886"/>
      <c r="T32" s="885"/>
      <c r="U32" s="885"/>
      <c r="V32" s="886"/>
      <c r="W32" s="887"/>
    </row>
    <row r="33" spans="1:23" s="884" customFormat="1" ht="12.65" customHeight="1">
      <c r="A33" s="863" t="s">
        <v>1019</v>
      </c>
      <c r="B33" s="895"/>
      <c r="C33" s="895"/>
      <c r="D33" s="895"/>
      <c r="E33" s="895"/>
      <c r="F33" s="895"/>
      <c r="G33" s="895"/>
      <c r="H33" s="895"/>
      <c r="I33" s="895"/>
      <c r="J33" s="895"/>
      <c r="K33" s="895"/>
      <c r="L33" s="895"/>
      <c r="P33" s="885"/>
      <c r="Q33" s="885"/>
      <c r="R33" s="885"/>
      <c r="S33" s="886"/>
      <c r="T33" s="885"/>
      <c r="U33" s="885"/>
      <c r="V33" s="886"/>
      <c r="W33" s="887"/>
    </row>
    <row r="34" spans="1:23" s="772" customFormat="1" ht="12.75" customHeight="1">
      <c r="A34" s="862"/>
      <c r="B34" s="773"/>
      <c r="C34" s="773"/>
      <c r="D34" s="773"/>
      <c r="E34" s="940"/>
    </row>
    <row r="35" spans="1:23" s="772" customFormat="1" ht="12.75" customHeight="1">
      <c r="A35" s="862"/>
      <c r="B35" s="773"/>
      <c r="C35" s="773"/>
      <c r="D35" s="773"/>
      <c r="E35" s="940"/>
    </row>
    <row r="45" spans="1:23">
      <c r="K45" s="27" t="s">
        <v>955</v>
      </c>
    </row>
    <row r="56" spans="1:14">
      <c r="A56" s="35"/>
      <c r="B56" s="35"/>
      <c r="C56" s="35"/>
      <c r="D56" s="35"/>
      <c r="E56" s="35"/>
      <c r="F56" s="35"/>
      <c r="G56" s="35"/>
      <c r="H56" s="35"/>
      <c r="I56" s="35"/>
      <c r="J56" s="35"/>
      <c r="K56" s="35"/>
      <c r="L56" s="35"/>
      <c r="M56" s="35"/>
      <c r="N56" s="35"/>
    </row>
    <row r="59" spans="1:14">
      <c r="A59" s="862" t="s">
        <v>990</v>
      </c>
    </row>
  </sheetData>
  <mergeCells count="2">
    <mergeCell ref="B4:J4"/>
    <mergeCell ref="L4:M4"/>
  </mergeCells>
  <pageMargins left="0.4" right="0.25" top="0.5" bottom="0.25" header="0.25" footer="0.25"/>
  <pageSetup scale="68" orientation="landscape" cellComments="asDisplayed" r:id="rId1"/>
  <headerFooter scaleWithDoc="0">
    <oddHeader>&amp;R&amp;P</oddHeader>
  </headerFooter>
  <rowBreaks count="1" manualBreakCount="1">
    <brk id="5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50"/>
  <sheetViews>
    <sheetView zoomScaleNormal="100" workbookViewId="0"/>
  </sheetViews>
  <sheetFormatPr defaultColWidth="9.1796875" defaultRowHeight="11.5"/>
  <cols>
    <col min="1" max="1" width="5.7265625" style="139" customWidth="1"/>
    <col min="2" max="2" width="88.81640625" style="139" customWidth="1"/>
    <col min="3" max="3" width="12.54296875" style="139" customWidth="1"/>
    <col min="4" max="4" width="15.26953125" style="139" customWidth="1"/>
    <col min="5" max="5" width="5.26953125" style="139" customWidth="1"/>
    <col min="6" max="16384" width="9.1796875" style="139"/>
  </cols>
  <sheetData>
    <row r="1" spans="1:5" s="138" customFormat="1" ht="14" customHeight="1">
      <c r="A1" s="11" t="s">
        <v>681</v>
      </c>
    </row>
    <row r="2" spans="1:5" ht="5" customHeight="1"/>
    <row r="3" spans="1:5" ht="12.5" customHeight="1">
      <c r="A3" s="410" t="s">
        <v>682</v>
      </c>
    </row>
    <row r="4" spans="1:5" ht="12.5">
      <c r="B4" s="139" t="str">
        <f>RevExp!A1&amp;" and "&amp;RevExp!A29&amp;" ……………………………………...……………………....………………….……………………………………………………………………….…………………..……………………………..   "</f>
        <v xml:space="preserve">Net Revenue Collections and Department of Taxation General Fund Expenditures ……………………………………...……………………....………………….……………………………………………………………………….…………………..……………………………..   </v>
      </c>
      <c r="E4" s="254">
        <v>3</v>
      </c>
    </row>
    <row r="5" spans="1:5" ht="12.5">
      <c r="B5" s="139" t="str">
        <f>ByAcct!A1&amp;" ……………………………………...……………………....………………….……………………………………………………………………….…………………..……………………………..   "</f>
        <v xml:space="preserve">Net Revenue Collections After Refunds by Tax Type ……………………………………...……………………....………………….……………………………………………………………………….…………………..……………………………..   </v>
      </c>
      <c r="E5" s="254">
        <v>4</v>
      </c>
    </row>
    <row r="6" spans="1:5" ht="5" customHeight="1"/>
    <row r="7" spans="1:5" ht="12.5" customHeight="1">
      <c r="A7" s="140" t="s">
        <v>3</v>
      </c>
    </row>
    <row r="8" spans="1:5" ht="12.5" customHeight="1">
      <c r="A8" s="139">
        <v>1.1000000000000001</v>
      </c>
      <c r="B8" s="139" t="str">
        <f>'1.1'!A2&amp;" ……………………………………...……………………....………………….……………………………………………………………………….…………………..……………………………..   "</f>
        <v xml:space="preserve">Individual Income Tax Liability ……………………………………...……………………....………………….……………………………………………………………………….…………………..……………………………..   </v>
      </c>
      <c r="E8" s="254">
        <v>5</v>
      </c>
    </row>
    <row r="9" spans="1:5" ht="12.5" customHeight="1">
      <c r="A9" s="139">
        <v>1.2</v>
      </c>
      <c r="B9" s="1681" t="str">
        <f>'1.2'!A2&amp;" ……………………………………...……………………....………………….……………………………………………………………………….…………………..……………………………..   "</f>
        <v xml:space="preserve">Virginia Adjusted Gross Income, Exemptions, Itemized and Standard Deductions, Total Taxable Income, Total Tax Liability, and Average Tax Rates ……………………………………...……………………....………………….……………………………………………………………………….…………………..……………………………..   </v>
      </c>
      <c r="E9" s="254">
        <v>6</v>
      </c>
    </row>
    <row r="10" spans="1:5" ht="12.5" customHeight="1">
      <c r="A10" s="139">
        <v>1.3</v>
      </c>
      <c r="B10" s="139" t="str">
        <f>'1.3'!A2&amp;" ……………………………………...……………………....………………….……………………………………………………………………….…………………..……………………………..   "</f>
        <v xml:space="preserve">Number and Class of Returns by Virginia Adjusted Gross Income Class ……………………………………...……………………....………………….……………………………………………………………………….…………………..……………………………..   </v>
      </c>
      <c r="E10" s="254">
        <v>7</v>
      </c>
    </row>
    <row r="11" spans="1:5" ht="12.5" customHeight="1">
      <c r="A11" s="139">
        <v>1.4</v>
      </c>
      <c r="B11" s="139" t="str">
        <f>'1.4'!A2&amp;" ……………………………………...……………………....………………….……………………………………………………………………….…………………..……………………………..   "</f>
        <v xml:space="preserve">Number and Class of Exemptions by Virginia Adjusted Gross Income Class ……………………………………...……………………....………………….……………………………………………………………………….…………………..……………………………..   </v>
      </c>
      <c r="E11" s="254">
        <v>8</v>
      </c>
    </row>
    <row r="12" spans="1:5" ht="12.5" customHeight="1">
      <c r="A12" s="139">
        <v>1.5</v>
      </c>
      <c r="B12" s="139" t="str">
        <f>'1.5'!A2&amp;" ……………………………………...……………………....………………….……………………………………………………………………….…………………..……………………………..   "</f>
        <v xml:space="preserve">Virginia Adjusted Gross Income by Locality/Income Level ……………………………………...……………………....………………….……………………………………………………………………….…………………..……………………………..   </v>
      </c>
      <c r="E12" s="254">
        <v>9</v>
      </c>
    </row>
    <row r="13" spans="1:5" ht="12.5" customHeight="1">
      <c r="A13" s="139">
        <v>1.6</v>
      </c>
      <c r="B13" s="139" t="str">
        <f>'1.6'!A2&amp;" ……………………………………...……………………....………………….……………………………………………………………………….…………………..……………………………..   "</f>
        <v xml:space="preserve">Exemptions, Standard and Itemized Deductions, and Number of Returns by Filing Status/Locality ……………………………………...……………………....………………….……………………………………………………………………….…………………..……………………………..   </v>
      </c>
      <c r="E13" s="254">
        <v>13</v>
      </c>
    </row>
    <row r="14" spans="1:5" ht="12.5" customHeight="1">
      <c r="A14" s="141">
        <v>1.7</v>
      </c>
      <c r="B14" s="1681" t="str">
        <f>'1.7'!A2&amp;" ……………………………………...……………………....………………….……………………………………………………………………….…………………..……………………………..   "</f>
        <v xml:space="preserve">Total Net Taxable Income, Amount Taxed at Each Tax Rate, Total Income Tax Liability by Locality ……………………………………...……………………....………………….……………………………………………………………………….…………………..……………………………..   </v>
      </c>
      <c r="E14" s="254">
        <v>17</v>
      </c>
    </row>
    <row r="15" spans="1:5" ht="12.5" customHeight="1">
      <c r="A15" s="141">
        <v>1.8</v>
      </c>
      <c r="B15" s="139" t="str">
        <f>'1.8-1.9'!A2&amp;" ……………………………………...……………………....………………….……………………………………………………………………….…………………..……………………………..   "</f>
        <v xml:space="preserve">Set-Off Debt Transferred to Agencies by Taxable Year ……………………………………...……………………....………………….……………………………………………………………………….…………………..……………………………..   </v>
      </c>
      <c r="E15" s="254">
        <v>21</v>
      </c>
    </row>
    <row r="16" spans="1:5" ht="12.5" customHeight="1">
      <c r="A16" s="142">
        <v>1.9</v>
      </c>
      <c r="B16" s="139" t="str">
        <f>'1.8-1.9'!A26&amp;" ……………………………………...……………………....………………….……………………………………………………………………….…………………..……………………………..   "</f>
        <v xml:space="preserve">Refund Match Totals ……………………………………...……………………....………………….……………………………………………………………………….…………………..……………………………..   </v>
      </c>
      <c r="E16" s="254">
        <v>21</v>
      </c>
    </row>
    <row r="17" spans="1:6" ht="12.5" customHeight="1">
      <c r="A17" s="141" t="s">
        <v>683</v>
      </c>
      <c r="B17" s="139" t="str">
        <f>'1.10'!A2&amp;" ……………………………………...……………………....………………….……………………………………………………………………….…………………..……………………………..   "</f>
        <v xml:space="preserve">Voluntary Contributions by Taxable Year ……………………………………...……………………....………………….……………………………………………………………………….…………………..……………………………..   </v>
      </c>
      <c r="E17" s="254">
        <v>22</v>
      </c>
    </row>
    <row r="18" spans="1:6" ht="5" customHeight="1"/>
    <row r="19" spans="1:6" ht="12.5" customHeight="1">
      <c r="A19" s="140" t="s">
        <v>684</v>
      </c>
    </row>
    <row r="20" spans="1:6" ht="12.5" customHeight="1">
      <c r="A20" s="139">
        <v>2.1</v>
      </c>
      <c r="B20" s="139" t="str">
        <f>'2.1'!A2&amp;" ……………………………………...……………………....………………….……………………………………………………………………….…………………..……………………………..   "</f>
        <v xml:space="preserve">Corporate Income Tax Revenue ……………………………………...……………………....………………….……………………………………………………………………….…………………..……………………………..   </v>
      </c>
      <c r="E20" s="254">
        <v>23</v>
      </c>
    </row>
    <row r="21" spans="1:6" ht="12.5" customHeight="1">
      <c r="A21" s="139">
        <v>2.2000000000000002</v>
      </c>
      <c r="B21" s="139" t="str">
        <f>'2.2'!A2&amp;" ……………………………………...……………………....………………….……………………………………………………………………….…………………..……………………………..   "</f>
        <v xml:space="preserve">Corporate Income Tax: Number of Returns, Taxable Income, and Tax Liability ……………………………………...……………………....………………….……………………………………………………………………….…………………..……………………………..   </v>
      </c>
      <c r="E21" s="254">
        <v>24</v>
      </c>
    </row>
    <row r="22" spans="1:6" ht="5" customHeight="1"/>
    <row r="23" spans="1:6" ht="12.5" customHeight="1">
      <c r="A23" s="140" t="s">
        <v>685</v>
      </c>
    </row>
    <row r="24" spans="1:6" ht="12.5" customHeight="1">
      <c r="A24" s="139">
        <v>3.1</v>
      </c>
      <c r="B24" s="139" t="str">
        <f>'3.1'!A2&amp;" ……………………………………...……………………....………………….……………………………………………………………………….…………………..……………………………..   "</f>
        <v xml:space="preserve">Tax Credits:  Individual and Corporate Income Tax, Insurance Premium License Tax, and Bank Franchise Tax ……………………………………...……………………....………………….……………………………………………………………………….…………………..……………………………..   </v>
      </c>
      <c r="E24" s="254">
        <v>25</v>
      </c>
    </row>
    <row r="25" spans="1:6" ht="5" customHeight="1"/>
    <row r="26" spans="1:6" ht="12.5" customHeight="1">
      <c r="A26" s="140" t="s">
        <v>2</v>
      </c>
    </row>
    <row r="27" spans="1:6" ht="12.5" customHeight="1">
      <c r="A27" s="139">
        <v>4.0999999999999996</v>
      </c>
      <c r="B27" s="139" t="str">
        <f>'4.1'!A2&amp;" ……………………………………...……………………....………………….……………………………………………………………………….…………………..……………………………..   "</f>
        <v xml:space="preserve">State and Local Retail Sales and Use Tax Net Revenue Collections ……………………………………...……………………....………………….……………………………………………………………………….…………………..……………………………..   </v>
      </c>
      <c r="E27" s="254">
        <v>26</v>
      </c>
    </row>
    <row r="28" spans="1:6" ht="12.5" customHeight="1">
      <c r="A28" s="141" t="s">
        <v>686</v>
      </c>
      <c r="B28" s="139" t="str">
        <f>'4.2'!A2&amp;" ……………………………………...……………………....………………….……………………………………………………………………….…………………..……………………………..   "</f>
        <v xml:space="preserve">Annual Taxable Sales by Category for the Commonwealth of Virginia by Calendar Year ……………………………………...……………………....………………….……………………………………………………………………….…………………..……………………………..   </v>
      </c>
      <c r="E28" s="254">
        <v>27</v>
      </c>
    </row>
    <row r="29" spans="1:6" ht="12.5" customHeight="1">
      <c r="A29" s="141" t="s">
        <v>687</v>
      </c>
      <c r="B29" s="1682" t="str">
        <f>'4.3'!A2&amp;" ……………………………………...……………………....………………….……………………………………………………………………….…………………..……………………………..   "</f>
        <v xml:space="preserve">Local Sales Tax Distribution - Fiscal Year 2022 ……………………………………...……………………....………………….……………………………………………………………………….…………………..……………………………..   </v>
      </c>
      <c r="E29" s="254">
        <v>28</v>
      </c>
    </row>
    <row r="30" spans="1:6" ht="5" customHeight="1"/>
    <row r="31" spans="1:6" ht="12.5" customHeight="1">
      <c r="A31" s="140" t="s">
        <v>688</v>
      </c>
    </row>
    <row r="32" spans="1:6" ht="12.5" customHeight="1">
      <c r="A32" s="139">
        <v>5.0999999999999996</v>
      </c>
      <c r="B32" s="1681" t="str">
        <f>'5.1'!A2&amp;" ……………………………………...……………………....………………….……………………………………………………………………….…………………..……………………………..   "</f>
        <v xml:space="preserve">Other Taxes Net Revenue Collections - General Fund ……………………………………...……………………....………………….……………………………………………………………………….…………………..……………………………..   </v>
      </c>
      <c r="E32" s="254">
        <v>30</v>
      </c>
      <c r="F32" s="234"/>
    </row>
    <row r="33" spans="1:5" ht="12.5" customHeight="1">
      <c r="A33" s="139">
        <v>5.2</v>
      </c>
      <c r="B33" s="139" t="str">
        <f>'5.2'!A2&amp;" ……………………………………...……………………....………………….……………………………………………………………………….…………………..……………………………..   "</f>
        <v xml:space="preserve">Other Taxes Net Revenue Collections - Non-General Fund ……………………………………...……………………....………………….……………………………………………………………………….…………………..……………………………..   </v>
      </c>
      <c r="E33" s="254">
        <v>31</v>
      </c>
    </row>
    <row r="34" spans="1:5" ht="12.5" customHeight="1">
      <c r="A34" s="141" t="s">
        <v>689</v>
      </c>
      <c r="B34" s="139" t="str">
        <f>'5.3-5.4'!A2&amp;" ……………………………………...……………………....………………….……………………………………………………………………….…………………..……………………………..   "</f>
        <v xml:space="preserve">Bank Franchise Tax Assessment Tax Statement - Fiscal Year 2022 ……………………………………...……………………....………………….……………………………………………………………………….…………………..……………………………..   </v>
      </c>
      <c r="E34" s="254">
        <v>33</v>
      </c>
    </row>
    <row r="35" spans="1:5" ht="12.5" customHeight="1">
      <c r="A35" s="141" t="s">
        <v>690</v>
      </c>
      <c r="B35" s="139" t="str">
        <f>'5.3-5.4'!A31&amp;" ……………………………………...……………………....………………….……………………………………………………………………….…………………..……………………………..   "</f>
        <v xml:space="preserve">Bank Franchise Tax Net Revenue Collections ……………………………………...……………………....………………….……………………………………………………………………….…………………..……………………………..   </v>
      </c>
      <c r="E35" s="254">
        <v>33</v>
      </c>
    </row>
    <row r="36" spans="1:5" ht="12.5" customHeight="1">
      <c r="A36" s="141" t="s">
        <v>691</v>
      </c>
      <c r="B36" s="139" t="str">
        <f>'5.5'!A2&amp;" ……………………………………...……………………....………………….……………………………………………………………………….…………………..……………………………..   "</f>
        <v xml:space="preserve">Recordation Tax and Deeds of Conveyance Revenue Collections by Locality  ……………………………………...……………………....………………….……………………………………………………………………….…………………..……………………………..   </v>
      </c>
      <c r="E36" s="254">
        <v>34</v>
      </c>
    </row>
    <row r="37" spans="1:5" ht="12.5" customHeight="1">
      <c r="A37" s="141" t="s">
        <v>692</v>
      </c>
      <c r="B37" s="1682" t="str">
        <f>'5.6'!A2&amp;" ……………………………………...……………………....………………….……………………………………………………………………….…………………..……………………………..   "</f>
        <v xml:space="preserve">Communications Sales Tax Distributions, Fiscal Year 2022 ……………………………………...……………………....………………….……………………………………………………………………….…………………..……………………………..   </v>
      </c>
      <c r="E37" s="254">
        <v>38</v>
      </c>
    </row>
    <row r="38" spans="1:5" ht="12.5" customHeight="1">
      <c r="A38" s="141" t="s">
        <v>730</v>
      </c>
      <c r="B38" s="139" t="str">
        <f>'5.7'!A2&amp;" ……………………………………...……………………....………………….……………………………………………………………………….…………………..……………………………..   "</f>
        <v xml:space="preserve">Insurance Premiums License Tax: Number of Returns, Taxable Premium Income, and Tax Liability ……………………………………...……………………....………………….……………………………………………………………………….…………………..……………………………..   </v>
      </c>
      <c r="E38" s="254">
        <v>40</v>
      </c>
    </row>
    <row r="39" spans="1:5" ht="5" customHeight="1"/>
    <row r="40" spans="1:5" ht="12.5" customHeight="1">
      <c r="A40" s="410" t="s">
        <v>822</v>
      </c>
    </row>
    <row r="41" spans="1:5" ht="12.5" customHeight="1">
      <c r="A41" s="139">
        <v>6.1</v>
      </c>
      <c r="B41" s="139" t="str">
        <f>'6.1'!B2:H2&amp;" ……………………………………...……………………....………………….……………………………………………………………………….…………………..……………………………..   "</f>
        <v xml:space="preserve">Assessed Values, Levies Assessed, and Average Tax Rates ……………………………………...……………………....………………….……………………………………………………………………….…………………..……………………………..   </v>
      </c>
      <c r="E41" s="254">
        <v>41</v>
      </c>
    </row>
    <row r="42" spans="1:5" ht="12.5" customHeight="1">
      <c r="A42" s="139">
        <v>6.2</v>
      </c>
      <c r="B42" s="139" t="str">
        <f>'6.2'!A2&amp;" ……………………………………...……………………....………………….……………………………………………………………………….…………………..……………………………..   "</f>
        <v xml:space="preserve">Real Estate Fair Market Value (FMV), Fair Market Value (Taxable), and Local Levy by Locality - Tax Year 2021 ……………………………………...……………………....………………….……………………………………………………………………….…………………..……………………………..   </v>
      </c>
      <c r="E42" s="254">
        <v>42</v>
      </c>
    </row>
    <row r="43" spans="1:5" ht="12.5" customHeight="1">
      <c r="A43" s="139">
        <v>6.3</v>
      </c>
      <c r="B43" s="139" t="str">
        <f>'6.3'!A2&amp;" ……………………………………...……………………....………………….……………………………………………………………………….…………………..……………………………..   "</f>
        <v xml:space="preserve">Comparison of Tax Exempt Value to Total Fair Market Value (FMV) of Real Estate by Locality - Tax Year 2021 ……………………………………...……………………....………………….……………………………………………………………………….…………………..……………………………..   </v>
      </c>
      <c r="E43" s="254">
        <v>46</v>
      </c>
    </row>
    <row r="44" spans="1:5" ht="12.5" customHeight="1">
      <c r="A44" s="139">
        <v>6.4</v>
      </c>
      <c r="B44" s="1683" t="str">
        <f>'6.4'!A2&amp;" ……………………………………...……………………....………………….……………………………………………………………………….…………………..……………………………..   "</f>
        <v xml:space="preserve">Tangible Personal Property, Machinery &amp; Tools, Merchants' Capital, and Public Service Corporations: Assessed Values &amp; Levies by Locality - Tax Year 2021 ……………………………………...……………………....………………….……………………………………………………………………….…………………..……………………………..   </v>
      </c>
      <c r="C44" s="471"/>
      <c r="D44" s="471"/>
      <c r="E44" s="254">
        <v>50</v>
      </c>
    </row>
    <row r="45" spans="1:5" ht="5" customHeight="1"/>
    <row r="46" spans="1:5" ht="12.5" customHeight="1">
      <c r="A46" s="178" t="s">
        <v>712</v>
      </c>
      <c r="B46" s="179"/>
      <c r="C46" s="179"/>
      <c r="D46" s="179"/>
      <c r="E46" s="179"/>
    </row>
    <row r="47" spans="1:5" ht="12.5" customHeight="1">
      <c r="A47" s="179">
        <v>7.1</v>
      </c>
      <c r="B47" s="179" t="str">
        <f>'7.1'!A2&amp;" ……………………………………...……………………....………………….……………………………………………………………………….…………………..……………………………..   "</f>
        <v xml:space="preserve">Nonprofit Organization Tax Exemption Annual Report By Fiscal Year  ……………………………………...……………………....………………….……………………………………………………………………….…………………..……………………………..   </v>
      </c>
      <c r="C47" s="179"/>
      <c r="D47" s="179"/>
      <c r="E47" s="923">
        <v>54</v>
      </c>
    </row>
    <row r="48" spans="1:5" ht="5" customHeight="1"/>
    <row r="49" spans="1:5" ht="12.5" customHeight="1">
      <c r="A49" s="410" t="s">
        <v>1044</v>
      </c>
      <c r="E49" s="254">
        <v>55</v>
      </c>
    </row>
    <row r="50" spans="1:5" ht="13">
      <c r="A50" s="140"/>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hyperlinks>
    <hyperlink ref="E49" location="Directory!A1" display="Directory!A1"/>
    <hyperlink ref="E47" location="'7.1'!A1" display="'7.1'!A1"/>
    <hyperlink ref="E44" location="'6.4'!A1" display="'6.4'!A1"/>
    <hyperlink ref="E43" location="'6.3'!A1" display="'6.3'!A1"/>
    <hyperlink ref="E42" location="'6.2'!A1" display="'6.2'!A1"/>
    <hyperlink ref="E41" location="'6.1'!A1" display="'6.1'!A1"/>
    <hyperlink ref="E38" location="'5.7'!A1" display="'5.7'!A1"/>
    <hyperlink ref="E37" location="'5.6'!A1" display="'5.6'!A1"/>
    <hyperlink ref="E36" location="'5.5'!A1" display="'5.5'!A1"/>
    <hyperlink ref="E35" location="'5.3-5.4'!A1" display="'5.3-5.4'!A1"/>
    <hyperlink ref="E34" location="'5.3-5.4'!A1" display="'5.3-5.4'!A1"/>
    <hyperlink ref="E33" location="'5.2'!A1" display="'5.2'!A1"/>
    <hyperlink ref="E32" location="'5.1'!A1" display="'5.1'!A1"/>
    <hyperlink ref="E29" location="'4.3'!A1" display="'4.3'!A1"/>
    <hyperlink ref="E28" location="'4.2'!A1" display="'4.2'!A1"/>
    <hyperlink ref="E27" location="'4.1'!A1" display="'4.1'!A1"/>
    <hyperlink ref="E24" location="'3.1'!A1" display="'3.1'!A1"/>
    <hyperlink ref="E21" location="'2.2'!A1" display="'2.2'!A1"/>
    <hyperlink ref="E20" location="'2.1'!A1" display="'2.1'!A1"/>
    <hyperlink ref="E17" location="'1.10'!A1" display="'1.10'!A1"/>
    <hyperlink ref="E16" location="'1.8-1.9'!A1" display="'1.8-1.9'!A1"/>
    <hyperlink ref="E15" location="'1.8-1.9'!A1" display="'1.8-1.9'!A1"/>
    <hyperlink ref="E14" location="'1.7'!A1" display="'1.7'!A1"/>
    <hyperlink ref="E13" location="'1.6'!A1" display="'1.6'!A1"/>
    <hyperlink ref="E12" location="'1.5'!A1" display="'1.5'!A1"/>
    <hyperlink ref="E11" location="'1.4'!A1" display="'1.4'!A1"/>
    <hyperlink ref="E10" location="'1.3'!A1" display="'1.3'!A1"/>
    <hyperlink ref="E9" location="'1.2'!A1" display="'1.2'!A1"/>
    <hyperlink ref="E8" location="'1.1'!A1" display="'1.1'!A1"/>
    <hyperlink ref="E5" location="ByAcct!A1" display="ByAcct!A1"/>
    <hyperlink ref="E4" location="RevExp!A1" display="RevExp!A1"/>
  </hyperlinks>
  <pageMargins left="0.6" right="0.25" top="0.5" bottom="0.25" header="0.25" footer="0"/>
  <pageSetup orientation="landscape" r:id="rId2"/>
  <headerFooter alignWithMargins="0"/>
  <ignoredErrors>
    <ignoredError sqref="A17 A34:A37 A28:A29"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C00000"/>
    <pageSetUpPr fitToPage="1"/>
  </sheetPr>
  <dimension ref="A1:AC56"/>
  <sheetViews>
    <sheetView defaultGridColor="0" colorId="22" zoomScale="90" zoomScaleNormal="90" workbookViewId="0">
      <selection activeCell="N14" sqref="N14"/>
    </sheetView>
  </sheetViews>
  <sheetFormatPr defaultColWidth="15.1796875" defaultRowHeight="15.5"/>
  <cols>
    <col min="1" max="1" width="12.7265625" style="27" customWidth="1"/>
    <col min="2" max="3" width="16.7265625" style="27" customWidth="1"/>
    <col min="4" max="4" width="14.7265625" style="27" hidden="1" customWidth="1"/>
    <col min="5" max="5" width="17.7265625" style="27" hidden="1" customWidth="1"/>
    <col min="6" max="6" width="16.7265625" style="27" hidden="1" customWidth="1"/>
    <col min="7" max="7" width="14.7265625" style="27" hidden="1" customWidth="1"/>
    <col min="8" max="9" width="14.7265625" style="27" customWidth="1"/>
    <col min="10" max="10" width="13.7265625" style="27" customWidth="1"/>
    <col min="11" max="11" width="14.7265625" style="27" customWidth="1"/>
    <col min="12" max="12" width="13.7265625" style="27" customWidth="1"/>
    <col min="13" max="14" width="16.7265625" style="27" customWidth="1"/>
    <col min="15" max="15" width="17.7265625" style="27" customWidth="1"/>
    <col min="16" max="16" width="16.7265625" style="27" customWidth="1"/>
    <col min="17" max="17" width="8.7265625" style="27" customWidth="1"/>
    <col min="18" max="18" width="4.453125" style="690" bestFit="1" customWidth="1"/>
    <col min="19" max="20" width="11.54296875" style="690" customWidth="1"/>
    <col min="21" max="21" width="7.7265625" style="691" customWidth="1"/>
    <col min="22" max="22" width="1.7265625" style="690" customWidth="1"/>
    <col min="23" max="23" width="17.81640625" style="690" bestFit="1" customWidth="1"/>
    <col min="24" max="24" width="7.7265625" style="691" customWidth="1"/>
    <col min="25" max="25" width="7.7265625" style="655" customWidth="1"/>
    <col min="26" max="16384" width="15.1796875" style="27"/>
  </cols>
  <sheetData>
    <row r="1" spans="1:29" ht="17.149999999999999" customHeight="1">
      <c r="A1" s="407" t="s">
        <v>180</v>
      </c>
      <c r="B1" s="896"/>
      <c r="C1" s="896"/>
      <c r="D1" s="896"/>
      <c r="E1" s="897"/>
      <c r="F1" s="897"/>
      <c r="Q1" s="939" t="s">
        <v>1018</v>
      </c>
    </row>
    <row r="2" spans="1:29" ht="15" customHeight="1">
      <c r="A2" s="28" t="s">
        <v>49</v>
      </c>
      <c r="F2" s="897"/>
    </row>
    <row r="3" spans="1:29" ht="6" customHeight="1" thickBot="1">
      <c r="A3" s="237"/>
      <c r="B3" s="29"/>
      <c r="C3" s="29"/>
      <c r="D3" s="29"/>
      <c r="E3" s="29"/>
      <c r="F3" s="29"/>
      <c r="G3" s="29"/>
      <c r="H3" s="29"/>
      <c r="I3" s="29"/>
      <c r="J3" s="29"/>
      <c r="K3" s="29"/>
      <c r="L3" s="29"/>
      <c r="M3" s="29"/>
      <c r="N3" s="29"/>
      <c r="O3" s="29"/>
      <c r="P3" s="29"/>
      <c r="Q3" s="30"/>
    </row>
    <row r="4" spans="1:29" ht="15" customHeight="1">
      <c r="A4" s="970"/>
      <c r="B4" s="971" t="s">
        <v>50</v>
      </c>
      <c r="C4" s="971"/>
      <c r="D4" s="971"/>
      <c r="E4" s="972"/>
      <c r="F4" s="972"/>
      <c r="G4" s="972"/>
      <c r="H4" s="972"/>
      <c r="I4" s="972"/>
      <c r="J4" s="972"/>
      <c r="K4" s="972"/>
      <c r="L4" s="972"/>
      <c r="M4" s="970"/>
      <c r="N4" s="971" t="s">
        <v>51</v>
      </c>
      <c r="O4" s="971"/>
      <c r="P4" s="970"/>
      <c r="Q4" s="973"/>
    </row>
    <row r="5" spans="1:29" ht="39" customHeight="1" thickBot="1">
      <c r="A5" s="974" t="s">
        <v>951</v>
      </c>
      <c r="B5" s="974" t="s">
        <v>946</v>
      </c>
      <c r="C5" s="975" t="s">
        <v>1041</v>
      </c>
      <c r="D5" s="976"/>
      <c r="E5" s="976"/>
      <c r="F5" s="976"/>
      <c r="G5" s="976"/>
      <c r="H5" s="977" t="s">
        <v>944</v>
      </c>
      <c r="I5" s="977" t="s">
        <v>945</v>
      </c>
      <c r="J5" s="977" t="s">
        <v>943</v>
      </c>
      <c r="K5" s="977" t="s">
        <v>942</v>
      </c>
      <c r="L5" s="977" t="s">
        <v>1042</v>
      </c>
      <c r="M5" s="976" t="s">
        <v>947</v>
      </c>
      <c r="N5" s="977" t="s">
        <v>948</v>
      </c>
      <c r="O5" s="977" t="s">
        <v>949</v>
      </c>
      <c r="P5" s="977" t="s">
        <v>950</v>
      </c>
      <c r="Q5" s="973"/>
      <c r="Y5" s="689"/>
      <c r="Z5" s="27" t="s">
        <v>5</v>
      </c>
      <c r="AA5" s="27" t="s">
        <v>952</v>
      </c>
      <c r="AB5" s="27" t="s">
        <v>953</v>
      </c>
      <c r="AC5" s="27" t="s">
        <v>954</v>
      </c>
    </row>
    <row r="6" spans="1:29" hidden="1">
      <c r="A6" s="978">
        <v>2011</v>
      </c>
      <c r="B6" s="965">
        <v>3012379000</v>
      </c>
      <c r="C6" s="966">
        <f>SUM('4.1'!D6:G6)</f>
        <v>477329000</v>
      </c>
      <c r="D6" s="965"/>
      <c r="E6" s="967"/>
      <c r="F6" s="967"/>
      <c r="G6" s="967"/>
      <c r="H6" s="967" t="s">
        <v>52</v>
      </c>
      <c r="I6" s="967" t="s">
        <v>52</v>
      </c>
      <c r="J6" s="965"/>
      <c r="K6" s="965"/>
      <c r="L6" s="968"/>
      <c r="M6" s="969">
        <f t="shared" ref="M6:M15" si="0">SUM(B6:C6,H6:L6)</f>
        <v>3489708000</v>
      </c>
      <c r="N6" s="965">
        <v>1010205000</v>
      </c>
      <c r="O6" s="965">
        <v>204027000</v>
      </c>
      <c r="P6" s="969">
        <v>4762261000</v>
      </c>
      <c r="Q6" s="33"/>
      <c r="R6" s="692"/>
      <c r="S6" s="692"/>
      <c r="T6" s="692"/>
      <c r="U6" s="693"/>
      <c r="V6" s="692"/>
      <c r="W6" s="692"/>
      <c r="X6" s="693"/>
      <c r="Y6" s="656"/>
      <c r="Z6" s="229"/>
    </row>
    <row r="7" spans="1:29" ht="21" customHeight="1">
      <c r="A7" s="978">
        <v>2012</v>
      </c>
      <c r="B7" s="965">
        <v>3121503000</v>
      </c>
      <c r="C7" s="966">
        <f>SUM('4.1'!D7:G7)</f>
        <v>503070000</v>
      </c>
      <c r="D7" s="965"/>
      <c r="E7" s="967"/>
      <c r="F7" s="967"/>
      <c r="G7" s="967"/>
      <c r="H7" s="967" t="s">
        <v>52</v>
      </c>
      <c r="I7" s="967" t="s">
        <v>52</v>
      </c>
      <c r="J7" s="965"/>
      <c r="K7" s="965"/>
      <c r="L7" s="968"/>
      <c r="M7" s="969">
        <f t="shared" si="0"/>
        <v>3624573000</v>
      </c>
      <c r="N7" s="965">
        <v>1052522000</v>
      </c>
      <c r="O7" s="965">
        <v>214098000</v>
      </c>
      <c r="P7" s="969">
        <f t="shared" ref="P7:P13" si="1">SUM(M7:O7)</f>
        <v>4891193000</v>
      </c>
      <c r="Q7" s="33"/>
      <c r="R7" s="698"/>
      <c r="S7" s="692"/>
      <c r="T7" s="692"/>
      <c r="U7" s="693"/>
      <c r="V7" s="692"/>
      <c r="W7" s="692"/>
      <c r="X7" s="693"/>
      <c r="Y7" s="656"/>
      <c r="Z7" s="658">
        <f t="shared" ref="Z7:Z16" si="2">B7/B6-1</f>
        <v>3.6225189459891949E-2</v>
      </c>
      <c r="AA7" s="658">
        <f t="shared" ref="AA7:AB16" si="3">M7/M6-1</f>
        <v>3.8646499936384471E-2</v>
      </c>
      <c r="AB7" s="658">
        <f t="shared" si="3"/>
        <v>4.1889517474176019E-2</v>
      </c>
      <c r="AC7" s="658">
        <f t="shared" ref="AC7:AC15" si="4">P7/P6-1</f>
        <v>2.7073694616905675E-2</v>
      </c>
    </row>
    <row r="8" spans="1:29" ht="15" customHeight="1">
      <c r="A8" s="978">
        <v>2013</v>
      </c>
      <c r="B8" s="953">
        <v>3219798000</v>
      </c>
      <c r="C8" s="959">
        <f>SUM('4.1'!D8:G8)</f>
        <v>521180000</v>
      </c>
      <c r="D8" s="953"/>
      <c r="E8" s="955"/>
      <c r="F8" s="955"/>
      <c r="G8" s="955"/>
      <c r="H8" s="955" t="s">
        <v>52</v>
      </c>
      <c r="I8" s="955" t="s">
        <v>52</v>
      </c>
      <c r="J8" s="953"/>
      <c r="K8" s="953"/>
      <c r="L8" s="954"/>
      <c r="M8" s="956">
        <f t="shared" si="0"/>
        <v>3740978000</v>
      </c>
      <c r="N8" s="953">
        <v>1089743000</v>
      </c>
      <c r="O8" s="953">
        <v>221396000</v>
      </c>
      <c r="P8" s="956">
        <f t="shared" si="1"/>
        <v>5052117000</v>
      </c>
      <c r="Q8" s="33"/>
      <c r="R8" s="698"/>
      <c r="S8" s="692"/>
      <c r="T8" s="692"/>
      <c r="U8" s="693"/>
      <c r="V8" s="692"/>
      <c r="W8" s="692"/>
      <c r="X8" s="693"/>
      <c r="Y8" s="656"/>
      <c r="Z8" s="658">
        <f t="shared" si="2"/>
        <v>3.1489638164691858E-2</v>
      </c>
      <c r="AA8" s="658">
        <f t="shared" si="3"/>
        <v>3.2115507123183784E-2</v>
      </c>
      <c r="AB8" s="658">
        <f t="shared" si="3"/>
        <v>3.5363631354023983E-2</v>
      </c>
      <c r="AC8" s="658">
        <f t="shared" si="4"/>
        <v>3.2900766745454613E-2</v>
      </c>
    </row>
    <row r="9" spans="1:29" ht="15" customHeight="1">
      <c r="A9" s="978">
        <v>2014</v>
      </c>
      <c r="B9" s="961">
        <v>3066456000</v>
      </c>
      <c r="C9" s="959">
        <f>SUM('4.1'!D9:G9)</f>
        <v>788007000</v>
      </c>
      <c r="D9" s="960"/>
      <c r="E9" s="955"/>
      <c r="F9" s="955"/>
      <c r="G9" s="955"/>
      <c r="H9" s="955">
        <v>203933000</v>
      </c>
      <c r="I9" s="955">
        <v>107424000</v>
      </c>
      <c r="J9" s="960"/>
      <c r="K9" s="960"/>
      <c r="L9" s="954"/>
      <c r="M9" s="956">
        <f t="shared" si="0"/>
        <v>4165820000</v>
      </c>
      <c r="N9" s="960">
        <v>1094794000</v>
      </c>
      <c r="O9" s="961">
        <v>334030000</v>
      </c>
      <c r="P9" s="956">
        <f t="shared" si="1"/>
        <v>5594644000</v>
      </c>
      <c r="Q9" s="33"/>
      <c r="R9" s="698"/>
      <c r="S9" s="692"/>
      <c r="T9" s="692"/>
      <c r="U9" s="693"/>
      <c r="V9" s="692"/>
      <c r="W9" s="692"/>
      <c r="X9" s="693"/>
      <c r="Y9" s="656"/>
      <c r="Z9" s="658">
        <f t="shared" si="2"/>
        <v>-4.7624726768573655E-2</v>
      </c>
      <c r="AA9" s="658">
        <f t="shared" si="3"/>
        <v>0.11356442085465357</v>
      </c>
      <c r="AB9" s="658">
        <f t="shared" si="3"/>
        <v>4.6350378024910821E-3</v>
      </c>
      <c r="AC9" s="658">
        <f t="shared" si="4"/>
        <v>0.10738607201693862</v>
      </c>
    </row>
    <row r="10" spans="1:29" ht="15" customHeight="1">
      <c r="A10" s="978">
        <v>2015</v>
      </c>
      <c r="B10" s="960">
        <v>3235444000</v>
      </c>
      <c r="C10" s="959">
        <f>SUM('4.1'!D10:G10)</f>
        <v>994855000</v>
      </c>
      <c r="D10" s="960"/>
      <c r="E10" s="955"/>
      <c r="F10" s="955"/>
      <c r="G10" s="955"/>
      <c r="H10" s="955">
        <v>246324000</v>
      </c>
      <c r="I10" s="955">
        <v>129918000</v>
      </c>
      <c r="J10" s="960"/>
      <c r="K10" s="960"/>
      <c r="L10" s="954"/>
      <c r="M10" s="956">
        <f t="shared" si="0"/>
        <v>4606541000</v>
      </c>
      <c r="N10" s="960">
        <v>1143330000</v>
      </c>
      <c r="O10" s="960">
        <v>352406000</v>
      </c>
      <c r="P10" s="956">
        <f t="shared" si="1"/>
        <v>6102277000</v>
      </c>
      <c r="Q10" s="33"/>
      <c r="R10" s="698"/>
      <c r="S10" s="692"/>
      <c r="T10" s="692"/>
      <c r="U10" s="693"/>
      <c r="V10" s="692"/>
      <c r="W10" s="692"/>
      <c r="X10" s="693"/>
      <c r="Y10" s="656"/>
      <c r="Z10" s="658">
        <f t="shared" si="2"/>
        <v>5.5108568327737251E-2</v>
      </c>
      <c r="AA10" s="658">
        <f t="shared" si="3"/>
        <v>0.10579453745000977</v>
      </c>
      <c r="AB10" s="658">
        <f t="shared" si="3"/>
        <v>4.4333454512903714E-2</v>
      </c>
      <c r="AC10" s="658">
        <f t="shared" si="4"/>
        <v>9.0735532055301382E-2</v>
      </c>
    </row>
    <row r="11" spans="1:29" ht="15" customHeight="1">
      <c r="A11" s="978">
        <v>2016</v>
      </c>
      <c r="B11" s="960">
        <v>3295853000</v>
      </c>
      <c r="C11" s="959">
        <f>SUM('4.1'!D11:G11)</f>
        <v>1000563000</v>
      </c>
      <c r="D11" s="960"/>
      <c r="E11" s="955"/>
      <c r="F11" s="955"/>
      <c r="G11" s="955"/>
      <c r="H11" s="955">
        <v>237314000</v>
      </c>
      <c r="I11" s="955">
        <v>126537000</v>
      </c>
      <c r="J11" s="960"/>
      <c r="K11" s="960"/>
      <c r="L11" s="954"/>
      <c r="M11" s="956">
        <f t="shared" si="0"/>
        <v>4660267000</v>
      </c>
      <c r="N11" s="960">
        <v>1188704000</v>
      </c>
      <c r="O11" s="960">
        <v>355547000</v>
      </c>
      <c r="P11" s="956">
        <f t="shared" si="1"/>
        <v>6204518000</v>
      </c>
      <c r="Q11" s="33"/>
      <c r="R11" s="698"/>
      <c r="S11" s="692"/>
      <c r="T11" s="692"/>
      <c r="U11" s="693"/>
      <c r="V11" s="692"/>
      <c r="W11" s="692"/>
      <c r="X11" s="693"/>
      <c r="Y11" s="656"/>
      <c r="Z11" s="658">
        <f t="shared" si="2"/>
        <v>1.8671007750404645E-2</v>
      </c>
      <c r="AA11" s="658">
        <f t="shared" si="3"/>
        <v>1.1662980965544412E-2</v>
      </c>
      <c r="AB11" s="658">
        <f t="shared" si="3"/>
        <v>3.9685829987842425E-2</v>
      </c>
      <c r="AC11" s="658">
        <f t="shared" si="4"/>
        <v>1.6754565549875977E-2</v>
      </c>
    </row>
    <row r="12" spans="1:29" ht="15" customHeight="1">
      <c r="A12" s="978">
        <v>2017</v>
      </c>
      <c r="B12" s="960">
        <f>ROUND(3357064365.72,-3)+3354561000*0</f>
        <v>3357064000</v>
      </c>
      <c r="C12" s="959">
        <f>SUM('4.1'!D12:G12)</f>
        <v>1020359000</v>
      </c>
      <c r="D12" s="960"/>
      <c r="E12" s="955"/>
      <c r="F12" s="955"/>
      <c r="G12" s="955"/>
      <c r="H12" s="955">
        <v>251601000</v>
      </c>
      <c r="I12" s="955">
        <v>131472000</v>
      </c>
      <c r="J12" s="960"/>
      <c r="K12" s="960"/>
      <c r="L12" s="954"/>
      <c r="M12" s="956">
        <f t="shared" si="0"/>
        <v>4760496000</v>
      </c>
      <c r="N12" s="960">
        <v>1213929000</v>
      </c>
      <c r="O12" s="960">
        <v>365878000</v>
      </c>
      <c r="P12" s="956">
        <f t="shared" si="1"/>
        <v>6340303000</v>
      </c>
      <c r="Q12" s="33"/>
      <c r="R12" s="701"/>
      <c r="S12" s="702" t="s">
        <v>961</v>
      </c>
      <c r="T12" s="703"/>
      <c r="U12" s="704"/>
      <c r="V12" s="700"/>
      <c r="W12" s="699"/>
      <c r="Y12" s="656"/>
      <c r="Z12" s="658">
        <f t="shared" si="2"/>
        <v>1.8572126851531312E-2</v>
      </c>
      <c r="AA12" s="658">
        <f t="shared" si="3"/>
        <v>2.1507136822847217E-2</v>
      </c>
      <c r="AB12" s="658">
        <f t="shared" si="3"/>
        <v>2.1220589818827795E-2</v>
      </c>
      <c r="AC12" s="658">
        <f t="shared" si="4"/>
        <v>2.1884858743257629E-2</v>
      </c>
    </row>
    <row r="13" spans="1:29" ht="15" customHeight="1">
      <c r="A13" s="978">
        <v>2018</v>
      </c>
      <c r="B13" s="957">
        <f>ROUND(3461771752.8,-3)+3458249000*0</f>
        <v>3461772000</v>
      </c>
      <c r="C13" s="959">
        <f>SUM('4.1'!D13:G13)</f>
        <v>1043806000</v>
      </c>
      <c r="D13" s="957"/>
      <c r="E13" s="955"/>
      <c r="F13" s="955"/>
      <c r="G13" s="955"/>
      <c r="H13" s="955">
        <v>256443000</v>
      </c>
      <c r="I13" s="955">
        <v>137059000</v>
      </c>
      <c r="J13" s="957"/>
      <c r="K13" s="957"/>
      <c r="L13" s="958"/>
      <c r="M13" s="956">
        <f t="shared" si="0"/>
        <v>4899080000</v>
      </c>
      <c r="N13" s="960">
        <v>1243480000</v>
      </c>
      <c r="O13" s="957">
        <v>376561000</v>
      </c>
      <c r="P13" s="956">
        <f t="shared" si="1"/>
        <v>6519121000</v>
      </c>
      <c r="Q13" s="33"/>
      <c r="R13" s="705" t="s">
        <v>960</v>
      </c>
      <c r="S13" s="705" t="s">
        <v>958</v>
      </c>
      <c r="T13" s="705" t="s">
        <v>959</v>
      </c>
      <c r="U13" s="706" t="s">
        <v>957</v>
      </c>
      <c r="V13" s="697"/>
      <c r="W13" s="697" t="s">
        <v>962</v>
      </c>
      <c r="X13" s="696" t="s">
        <v>957</v>
      </c>
      <c r="Y13" s="656"/>
      <c r="Z13" s="658">
        <f t="shared" si="2"/>
        <v>3.1190349662681527E-2</v>
      </c>
      <c r="AA13" s="658">
        <f t="shared" si="3"/>
        <v>2.9111252272872479E-2</v>
      </c>
      <c r="AB13" s="658">
        <f t="shared" si="3"/>
        <v>2.4343268840269827E-2</v>
      </c>
      <c r="AC13" s="658">
        <f t="shared" si="4"/>
        <v>2.8203383970766049E-2</v>
      </c>
    </row>
    <row r="14" spans="1:29" ht="15" customHeight="1">
      <c r="A14" s="978">
        <v>2019</v>
      </c>
      <c r="B14" s="957">
        <v>3580355000</v>
      </c>
      <c r="C14" s="959">
        <f>SUM('4.1'!D14:G14)</f>
        <v>1087842000</v>
      </c>
      <c r="D14" s="957"/>
      <c r="E14" s="962"/>
      <c r="F14" s="962"/>
      <c r="G14" s="962"/>
      <c r="H14" s="962">
        <f>ROUND(263033838.77,-3)</f>
        <v>263034000</v>
      </c>
      <c r="I14" s="962">
        <f>ROUND(139641901.73,-3)</f>
        <v>139642000</v>
      </c>
      <c r="J14" s="957">
        <v>20358000</v>
      </c>
      <c r="K14" s="957"/>
      <c r="L14" s="952"/>
      <c r="M14" s="956">
        <f t="shared" si="0"/>
        <v>5091231000</v>
      </c>
      <c r="N14" s="960">
        <v>1292804000</v>
      </c>
      <c r="O14" s="957">
        <v>392605000</v>
      </c>
      <c r="P14" s="956">
        <f>SUM(M14:O14)</f>
        <v>6776640000</v>
      </c>
      <c r="Q14" s="33"/>
      <c r="R14" s="707">
        <v>2019</v>
      </c>
      <c r="S14" s="708">
        <f>P14</f>
        <v>6776640000</v>
      </c>
      <c r="T14" s="708">
        <v>6764132129.4500237</v>
      </c>
      <c r="U14" s="709">
        <f>P14/T14-1</f>
        <v>1.8491463961087806E-3</v>
      </c>
      <c r="V14" s="692"/>
      <c r="W14" s="692">
        <v>6409139000</v>
      </c>
      <c r="X14" s="694">
        <f>W14/T14-1</f>
        <v>-5.2481696492065355E-2</v>
      </c>
      <c r="Y14" s="656"/>
      <c r="Z14" s="658">
        <f t="shared" si="2"/>
        <v>3.4255000040441796E-2</v>
      </c>
      <c r="AA14" s="658">
        <f t="shared" si="3"/>
        <v>3.9221853899099379E-2</v>
      </c>
      <c r="AB14" s="658">
        <f t="shared" si="3"/>
        <v>3.9666098369093294E-2</v>
      </c>
      <c r="AC14" s="658">
        <f t="shared" si="4"/>
        <v>3.9502104654906667E-2</v>
      </c>
    </row>
    <row r="15" spans="1:29" ht="15" customHeight="1">
      <c r="A15" s="978">
        <v>2020</v>
      </c>
      <c r="B15" s="957">
        <f>ROUND(2683258.31+208033441.59+53040341.29+3169525635.96+-34441737.4+2478935.49+173593188.29+-5477492.26+540921001.82+-406044118.99+132233.73+2033538.76+338923.1,-3)</f>
        <v>3706817000</v>
      </c>
      <c r="C15" s="959">
        <f>SUM('4.1'!D15:G15)</f>
        <v>1123440000</v>
      </c>
      <c r="D15" s="963"/>
      <c r="E15" s="964"/>
      <c r="F15" s="962"/>
      <c r="G15" s="962"/>
      <c r="H15" s="962">
        <f>ROUND(268751277.28,-3)</f>
        <v>268751000</v>
      </c>
      <c r="I15" s="962">
        <f>ROUND(142869323.15,-3)</f>
        <v>142869000</v>
      </c>
      <c r="J15" s="957">
        <f>ROUND(11366680.58+11364295.82,-3)</f>
        <v>22731000</v>
      </c>
      <c r="K15" s="957"/>
      <c r="L15" s="952"/>
      <c r="M15" s="956">
        <f t="shared" si="0"/>
        <v>5264608000</v>
      </c>
      <c r="N15" s="960">
        <f>ROUND(1358988340.78,-3)</f>
        <v>1358988000</v>
      </c>
      <c r="O15" s="957">
        <f>ROUND(406044118.99,-3)</f>
        <v>406044000</v>
      </c>
      <c r="P15" s="956">
        <f>SUM(M15:O15)</f>
        <v>7029640000</v>
      </c>
      <c r="Q15" s="33"/>
      <c r="R15" s="707">
        <v>2020</v>
      </c>
      <c r="S15" s="708">
        <f t="shared" ref="S15:S16" si="5">P15</f>
        <v>7029640000</v>
      </c>
      <c r="T15" s="708">
        <v>6965941756.3400993</v>
      </c>
      <c r="U15" s="709">
        <f t="shared" ref="U15:U16" si="6">P15/T15-1</f>
        <v>9.1442400594183848E-3</v>
      </c>
      <c r="V15" s="692"/>
      <c r="W15" s="692">
        <v>6921512000</v>
      </c>
      <c r="X15" s="694">
        <f>W15/T15-1</f>
        <v>-6.3781406583913736E-3</v>
      </c>
      <c r="Y15" s="656"/>
      <c r="Z15" s="658">
        <f t="shared" si="2"/>
        <v>3.5321078496405978E-2</v>
      </c>
      <c r="AA15" s="658">
        <f t="shared" si="3"/>
        <v>3.4054043118452171E-2</v>
      </c>
      <c r="AB15" s="658">
        <f t="shared" si="3"/>
        <v>5.1194148532956341E-2</v>
      </c>
      <c r="AC15" s="658">
        <f t="shared" si="4"/>
        <v>3.7334136091042192E-2</v>
      </c>
    </row>
    <row r="16" spans="1:29" ht="15" customHeight="1">
      <c r="A16" s="978">
        <v>2021</v>
      </c>
      <c r="B16" s="957">
        <f>ROUND(4166181778.91,-3)</f>
        <v>4166182000</v>
      </c>
      <c r="C16" s="958">
        <f>ROUND(883351323.76+381740948.12+415199.89+627216.85,-3)</f>
        <v>1266135000</v>
      </c>
      <c r="D16" s="964"/>
      <c r="E16" s="964"/>
      <c r="F16" s="962"/>
      <c r="G16" s="962"/>
      <c r="H16" s="962">
        <f>ROUND(286169787.36,-3)</f>
        <v>286170000</v>
      </c>
      <c r="I16" s="962">
        <f>ROUND(168804319.76,-3)</f>
        <v>168804000</v>
      </c>
      <c r="J16" s="957">
        <f>ROUND(11485184.74+11483982.06,-3)</f>
        <v>22969000</v>
      </c>
      <c r="K16" s="957">
        <f>ROUND(89337245.13,-3)</f>
        <v>89337000</v>
      </c>
      <c r="L16" s="959">
        <f>ROUND(2371114.51+318246.64,-3)</f>
        <v>2689000</v>
      </c>
      <c r="M16" s="956">
        <f>SUM(B16:C16,H16:L16)</f>
        <v>6002286000</v>
      </c>
      <c r="N16" s="960">
        <f>ROUND(1477201024.21,-3)</f>
        <v>1477201000</v>
      </c>
      <c r="O16" s="957">
        <f>ROUND(458362738.92,-3)</f>
        <v>458363000</v>
      </c>
      <c r="P16" s="956">
        <f>SUM(M16:O16)</f>
        <v>7937850000</v>
      </c>
      <c r="Q16" s="33"/>
      <c r="R16" s="707">
        <v>2021</v>
      </c>
      <c r="S16" s="708">
        <f t="shared" si="5"/>
        <v>7937850000</v>
      </c>
      <c r="T16" s="708">
        <v>7924865481.6600456</v>
      </c>
      <c r="U16" s="709">
        <f t="shared" si="6"/>
        <v>1.6384528380959384E-3</v>
      </c>
      <c r="V16" s="692"/>
      <c r="W16" s="692"/>
      <c r="X16" s="694"/>
      <c r="Y16" s="656"/>
      <c r="Z16" s="658">
        <f t="shared" si="2"/>
        <v>0.12392438040507536</v>
      </c>
      <c r="AA16" s="658">
        <f t="shared" si="3"/>
        <v>0.14012021407861708</v>
      </c>
      <c r="AB16" s="658">
        <f t="shared" si="3"/>
        <v>8.6986051385295582E-2</v>
      </c>
      <c r="AC16" s="658">
        <f>P16/P15-1</f>
        <v>0.12919722773854714</v>
      </c>
    </row>
    <row r="17" spans="1:26" s="574" customFormat="1" ht="6" customHeight="1">
      <c r="A17" s="979"/>
      <c r="B17" s="573">
        <f>B16/B14-1</f>
        <v>0.16362260166938758</v>
      </c>
      <c r="C17" s="573"/>
      <c r="D17" s="573" t="e">
        <f t="shared" ref="D17:P17" si="7">D16/D14-1</f>
        <v>#DIV/0!</v>
      </c>
      <c r="E17" s="573" t="e">
        <f t="shared" si="7"/>
        <v>#DIV/0!</v>
      </c>
      <c r="F17" s="573" t="e">
        <f t="shared" si="7"/>
        <v>#DIV/0!</v>
      </c>
      <c r="G17" s="573" t="e">
        <f t="shared" si="7"/>
        <v>#DIV/0!</v>
      </c>
      <c r="H17" s="573">
        <f t="shared" si="7"/>
        <v>8.7958210725609609E-2</v>
      </c>
      <c r="I17" s="573">
        <f t="shared" si="7"/>
        <v>0.20883401841852733</v>
      </c>
      <c r="J17" s="573">
        <f t="shared" si="7"/>
        <v>0.12825424894390403</v>
      </c>
      <c r="K17" s="573" t="e">
        <f t="shared" si="7"/>
        <v>#DIV/0!</v>
      </c>
      <c r="L17" s="573" t="e">
        <f t="shared" si="7"/>
        <v>#DIV/0!</v>
      </c>
      <c r="M17" s="573">
        <f t="shared" si="7"/>
        <v>0.17894591700906903</v>
      </c>
      <c r="N17" s="573">
        <f t="shared" si="7"/>
        <v>0.14263337675316601</v>
      </c>
      <c r="O17" s="573">
        <f t="shared" si="7"/>
        <v>0.16749149908941563</v>
      </c>
      <c r="P17" s="573">
        <f t="shared" si="7"/>
        <v>0.17135483071256541</v>
      </c>
      <c r="R17" s="692"/>
      <c r="S17" s="692"/>
      <c r="T17" s="692"/>
      <c r="U17" s="695"/>
      <c r="V17" s="692"/>
      <c r="W17" s="692"/>
      <c r="X17" s="695"/>
      <c r="Y17" s="657"/>
      <c r="Z17" s="575"/>
    </row>
    <row r="18" spans="1:26" s="884" customFormat="1" ht="12.65" customHeight="1">
      <c r="A18" s="881" t="s">
        <v>941</v>
      </c>
      <c r="B18" s="882"/>
      <c r="C18" s="882"/>
      <c r="D18" s="882"/>
      <c r="E18" s="882"/>
      <c r="F18" s="882"/>
      <c r="G18" s="882"/>
      <c r="H18" s="882"/>
      <c r="I18" s="883"/>
      <c r="J18" s="883"/>
      <c r="K18" s="883"/>
      <c r="L18" s="883"/>
      <c r="M18" s="882"/>
      <c r="N18" s="882"/>
      <c r="O18" s="882"/>
      <c r="P18" s="882"/>
      <c r="R18" s="885"/>
      <c r="S18" s="885"/>
      <c r="T18" s="885"/>
      <c r="U18" s="886"/>
      <c r="V18" s="885"/>
      <c r="W18" s="885"/>
      <c r="X18" s="886"/>
      <c r="Y18" s="887"/>
      <c r="Z18" s="888"/>
    </row>
    <row r="19" spans="1:26" s="884" customFormat="1" ht="12.65" customHeight="1">
      <c r="A19" s="884" t="s">
        <v>1000</v>
      </c>
      <c r="R19" s="885"/>
      <c r="S19" s="885"/>
      <c r="T19" s="885"/>
      <c r="U19" s="886"/>
      <c r="V19" s="885"/>
      <c r="W19" s="885"/>
      <c r="X19" s="886"/>
      <c r="Y19" s="887"/>
      <c r="Z19" s="888"/>
    </row>
    <row r="20" spans="1:26" s="884" customFormat="1" ht="12.65" customHeight="1">
      <c r="A20" s="884" t="s">
        <v>1001</v>
      </c>
      <c r="N20" s="889"/>
      <c r="O20" s="889"/>
      <c r="R20" s="885"/>
      <c r="S20" s="885"/>
      <c r="T20" s="885"/>
      <c r="U20" s="886"/>
      <c r="V20" s="885"/>
      <c r="W20" s="885"/>
      <c r="X20" s="886"/>
      <c r="Y20" s="887"/>
      <c r="Z20" s="888"/>
    </row>
    <row r="21" spans="1:26" s="884" customFormat="1" ht="12.65" customHeight="1">
      <c r="A21" s="890" t="s">
        <v>1002</v>
      </c>
      <c r="B21" s="890"/>
      <c r="C21" s="890"/>
      <c r="D21" s="890"/>
      <c r="E21" s="890"/>
      <c r="F21" s="890"/>
      <c r="G21" s="890"/>
      <c r="H21" s="890"/>
      <c r="I21" s="890"/>
      <c r="J21" s="890"/>
      <c r="K21" s="890"/>
      <c r="L21" s="890"/>
      <c r="M21" s="890"/>
      <c r="N21" s="890"/>
      <c r="O21" s="890"/>
      <c r="P21" s="890"/>
      <c r="R21" s="885"/>
      <c r="S21" s="885"/>
      <c r="T21" s="885"/>
      <c r="U21" s="886"/>
      <c r="V21" s="885"/>
      <c r="W21" s="885"/>
      <c r="X21" s="886"/>
      <c r="Y21" s="887"/>
    </row>
    <row r="22" spans="1:26" s="884" customFormat="1" ht="12.65" customHeight="1">
      <c r="A22" s="890" t="s">
        <v>1025</v>
      </c>
      <c r="B22" s="890"/>
      <c r="C22" s="890"/>
      <c r="D22" s="890"/>
      <c r="E22" s="890"/>
      <c r="F22" s="890"/>
      <c r="G22" s="890"/>
      <c r="H22" s="890"/>
      <c r="I22" s="890"/>
      <c r="J22" s="890"/>
      <c r="K22" s="890"/>
      <c r="L22" s="890"/>
      <c r="M22" s="890"/>
      <c r="N22" s="890"/>
      <c r="O22" s="890"/>
      <c r="P22" s="890"/>
      <c r="R22" s="885"/>
      <c r="S22" s="885"/>
      <c r="T22" s="885"/>
      <c r="U22" s="886"/>
      <c r="V22" s="885"/>
      <c r="W22" s="885"/>
      <c r="X22" s="886"/>
      <c r="Y22" s="887"/>
    </row>
    <row r="23" spans="1:26" s="884" customFormat="1" ht="12.65" customHeight="1">
      <c r="A23" s="890" t="s">
        <v>1026</v>
      </c>
      <c r="B23" s="890"/>
      <c r="C23" s="890"/>
      <c r="D23" s="890"/>
      <c r="E23" s="890"/>
      <c r="F23" s="890"/>
      <c r="G23" s="890"/>
      <c r="H23" s="890"/>
      <c r="I23" s="890"/>
      <c r="J23" s="890"/>
      <c r="K23" s="890"/>
      <c r="L23" s="890"/>
      <c r="M23" s="890"/>
      <c r="N23" s="890"/>
      <c r="O23" s="890"/>
      <c r="P23" s="890"/>
      <c r="R23" s="885"/>
      <c r="S23" s="885"/>
      <c r="T23" s="885"/>
      <c r="U23" s="886"/>
      <c r="V23" s="885"/>
      <c r="W23" s="885"/>
      <c r="X23" s="886"/>
      <c r="Y23" s="887"/>
    </row>
    <row r="24" spans="1:26" s="884" customFormat="1" ht="12.65" customHeight="1">
      <c r="A24" s="890" t="s">
        <v>1027</v>
      </c>
      <c r="B24" s="890"/>
      <c r="C24" s="890"/>
      <c r="D24" s="890"/>
      <c r="E24" s="890"/>
      <c r="F24" s="890"/>
      <c r="G24" s="890"/>
      <c r="H24" s="890"/>
      <c r="I24" s="890"/>
      <c r="J24" s="890"/>
      <c r="K24" s="890"/>
      <c r="L24" s="890"/>
      <c r="M24" s="890"/>
      <c r="N24" s="890"/>
      <c r="O24" s="890"/>
      <c r="P24" s="890"/>
      <c r="R24" s="885"/>
      <c r="S24" s="885"/>
      <c r="T24" s="885"/>
      <c r="U24" s="886"/>
      <c r="V24" s="885"/>
      <c r="W24" s="885"/>
      <c r="X24" s="886"/>
      <c r="Y24" s="887"/>
    </row>
    <row r="25" spans="1:26" s="884" customFormat="1" ht="12.65" customHeight="1">
      <c r="A25" s="890" t="s">
        <v>1028</v>
      </c>
      <c r="B25" s="891"/>
      <c r="C25" s="891"/>
      <c r="D25" s="891"/>
      <c r="E25" s="891"/>
      <c r="F25" s="891"/>
      <c r="G25" s="891"/>
      <c r="H25" s="891"/>
      <c r="I25" s="891"/>
      <c r="J25" s="891"/>
      <c r="K25" s="891"/>
      <c r="L25" s="891"/>
      <c r="M25" s="891"/>
      <c r="N25" s="891"/>
      <c r="O25" s="891"/>
      <c r="P25" s="891"/>
      <c r="R25" s="885"/>
      <c r="S25" s="885"/>
      <c r="T25" s="885"/>
      <c r="U25" s="886"/>
      <c r="V25" s="885"/>
      <c r="W25" s="885"/>
      <c r="X25" s="886"/>
      <c r="Y25" s="887"/>
    </row>
    <row r="26" spans="1:26" s="884" customFormat="1" ht="12.65" customHeight="1">
      <c r="A26" s="950" t="s">
        <v>1029</v>
      </c>
      <c r="B26" s="890"/>
      <c r="C26" s="890"/>
      <c r="D26" s="890"/>
      <c r="E26" s="890"/>
      <c r="F26" s="890"/>
      <c r="G26" s="890"/>
      <c r="H26" s="890"/>
      <c r="I26" s="890"/>
      <c r="J26" s="890"/>
      <c r="K26" s="890"/>
      <c r="L26" s="890"/>
      <c r="M26" s="890"/>
      <c r="N26" s="890"/>
      <c r="O26" s="890"/>
      <c r="P26" s="890"/>
      <c r="R26" s="885"/>
      <c r="S26" s="885"/>
      <c r="T26" s="885"/>
      <c r="U26" s="886"/>
      <c r="V26" s="885"/>
      <c r="W26" s="885"/>
      <c r="X26" s="886"/>
      <c r="Y26" s="887"/>
    </row>
    <row r="27" spans="1:26" s="884" customFormat="1" ht="12.65" customHeight="1">
      <c r="A27" s="890" t="s">
        <v>1030</v>
      </c>
      <c r="B27" s="890"/>
      <c r="C27" s="890"/>
      <c r="D27" s="890"/>
      <c r="E27" s="890"/>
      <c r="F27" s="890"/>
      <c r="G27" s="890"/>
      <c r="H27" s="890"/>
      <c r="I27" s="890"/>
      <c r="J27" s="890"/>
      <c r="K27" s="890"/>
      <c r="L27" s="890"/>
      <c r="M27" s="890"/>
      <c r="N27" s="890"/>
      <c r="O27" s="890"/>
      <c r="P27" s="890"/>
      <c r="R27" s="885"/>
      <c r="S27" s="885"/>
      <c r="T27" s="885"/>
      <c r="U27" s="886"/>
      <c r="V27" s="885"/>
      <c r="W27" s="885"/>
      <c r="X27" s="886"/>
      <c r="Y27" s="887"/>
    </row>
    <row r="28" spans="1:26" s="884" customFormat="1" ht="12.65" customHeight="1">
      <c r="A28" s="892" t="s">
        <v>1031</v>
      </c>
      <c r="B28" s="892"/>
      <c r="C28" s="892"/>
      <c r="D28" s="892"/>
      <c r="E28" s="892"/>
      <c r="F28" s="892"/>
      <c r="G28" s="892"/>
      <c r="H28" s="892"/>
      <c r="I28" s="892"/>
      <c r="J28" s="892"/>
      <c r="K28" s="892"/>
      <c r="L28" s="892"/>
      <c r="M28" s="892"/>
      <c r="N28" s="892"/>
      <c r="O28" s="892"/>
      <c r="P28" s="892"/>
      <c r="R28" s="885"/>
      <c r="S28" s="885"/>
      <c r="T28" s="885"/>
      <c r="U28" s="886"/>
      <c r="V28" s="885"/>
      <c r="W28" s="885"/>
      <c r="X28" s="886"/>
      <c r="Y28" s="887"/>
    </row>
    <row r="29" spans="1:26" s="884" customFormat="1" ht="12.65" customHeight="1">
      <c r="A29" s="890" t="s">
        <v>1032</v>
      </c>
      <c r="B29" s="893"/>
      <c r="C29" s="893"/>
      <c r="D29" s="893"/>
      <c r="E29" s="893"/>
      <c r="F29" s="893"/>
      <c r="G29" s="893"/>
      <c r="H29" s="893"/>
      <c r="I29" s="893"/>
      <c r="J29" s="893"/>
      <c r="K29" s="893"/>
      <c r="L29" s="893"/>
      <c r="M29" s="893"/>
      <c r="N29" s="893"/>
      <c r="O29" s="893"/>
      <c r="P29" s="893"/>
      <c r="R29" s="885"/>
      <c r="S29" s="885"/>
      <c r="T29" s="885"/>
      <c r="U29" s="886"/>
      <c r="V29" s="885"/>
      <c r="W29" s="885"/>
      <c r="X29" s="886"/>
      <c r="Y29" s="887"/>
    </row>
    <row r="30" spans="1:26" s="884" customFormat="1" ht="12.65" customHeight="1">
      <c r="A30" s="895" t="s">
        <v>1033</v>
      </c>
      <c r="B30" s="895"/>
      <c r="C30" s="895"/>
      <c r="D30" s="895"/>
      <c r="E30" s="895"/>
      <c r="F30" s="895"/>
      <c r="G30" s="895"/>
      <c r="H30" s="895"/>
      <c r="I30" s="895"/>
      <c r="J30" s="895"/>
      <c r="K30" s="895"/>
      <c r="L30" s="895"/>
      <c r="M30" s="895"/>
      <c r="N30" s="895"/>
      <c r="R30" s="885"/>
      <c r="S30" s="885"/>
      <c r="T30" s="885"/>
      <c r="U30" s="886"/>
      <c r="V30" s="885"/>
      <c r="W30" s="885"/>
      <c r="X30" s="886"/>
      <c r="Y30" s="887"/>
    </row>
    <row r="31" spans="1:26" s="884" customFormat="1" ht="27" customHeight="1">
      <c r="A31" s="1931" t="s">
        <v>1043</v>
      </c>
      <c r="B31" s="1932"/>
      <c r="C31" s="1932"/>
      <c r="D31" s="1932"/>
      <c r="E31" s="1932"/>
      <c r="F31" s="1932"/>
      <c r="G31" s="1932"/>
      <c r="H31" s="1932"/>
      <c r="I31" s="1932"/>
      <c r="J31" s="1932"/>
      <c r="K31" s="1932"/>
      <c r="L31" s="1932"/>
      <c r="M31" s="1932"/>
      <c r="N31" s="1932"/>
      <c r="O31" s="1932"/>
      <c r="P31" s="1932"/>
      <c r="R31" s="885"/>
      <c r="S31" s="885"/>
      <c r="T31" s="885"/>
      <c r="U31" s="886"/>
      <c r="V31" s="885"/>
      <c r="W31" s="885"/>
      <c r="X31" s="886"/>
      <c r="Y31" s="887"/>
    </row>
    <row r="32" spans="1:26" s="884" customFormat="1" ht="12.65" customHeight="1">
      <c r="A32" s="951" t="s">
        <v>1040</v>
      </c>
      <c r="B32" s="895"/>
      <c r="C32" s="895"/>
      <c r="D32" s="895"/>
      <c r="E32" s="895"/>
      <c r="F32" s="895"/>
      <c r="G32" s="895"/>
      <c r="H32" s="895"/>
      <c r="I32" s="895"/>
      <c r="J32" s="895"/>
      <c r="K32" s="895"/>
      <c r="L32" s="895"/>
      <c r="M32" s="895"/>
      <c r="N32" s="895"/>
      <c r="R32" s="885"/>
      <c r="S32" s="885"/>
      <c r="T32" s="885"/>
      <c r="U32" s="886"/>
      <c r="V32" s="885"/>
      <c r="W32" s="885"/>
      <c r="X32" s="886"/>
      <c r="Y32" s="887"/>
    </row>
    <row r="33" spans="1:13" s="772" customFormat="1" ht="12.75" customHeight="1">
      <c r="A33" s="862"/>
      <c r="B33" s="773"/>
      <c r="C33" s="773"/>
      <c r="D33" s="773"/>
      <c r="E33" s="773"/>
      <c r="F33" s="943"/>
    </row>
    <row r="42" spans="1:13">
      <c r="M42" s="27" t="s">
        <v>955</v>
      </c>
    </row>
    <row r="53" spans="1:16">
      <c r="A53" s="35"/>
      <c r="B53" s="35"/>
      <c r="C53" s="35"/>
      <c r="D53" s="35"/>
      <c r="E53" s="35"/>
      <c r="F53" s="35"/>
      <c r="G53" s="35"/>
      <c r="H53" s="35"/>
      <c r="I53" s="35"/>
      <c r="J53" s="35"/>
      <c r="K53" s="35"/>
      <c r="L53" s="35"/>
      <c r="M53" s="35"/>
      <c r="N53" s="35"/>
      <c r="O53" s="35"/>
      <c r="P53" s="35"/>
    </row>
    <row r="56" spans="1:16">
      <c r="A56" s="862" t="s">
        <v>990</v>
      </c>
    </row>
  </sheetData>
  <mergeCells count="1">
    <mergeCell ref="A31:P31"/>
  </mergeCells>
  <hyperlinks>
    <hyperlink ref="Q1" location="TOC!A1" display="Back"/>
  </hyperlinks>
  <pageMargins left="0.5" right="0.25" top="0.4" bottom="0.25" header="0.25" footer="0.25"/>
  <pageSetup scale="71" orientation="landscape" cellComments="asDisplayed" r:id="rId1"/>
  <headerFooter scaleWithDoc="0">
    <oddHeader>&amp;R&amp;P</oddHeader>
  </headerFooter>
  <rowBreaks count="1" manualBreakCount="1">
    <brk id="54" max="16383"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40"/>
  <sheetViews>
    <sheetView zoomScaleNormal="100" workbookViewId="0"/>
  </sheetViews>
  <sheetFormatPr defaultColWidth="9.26953125" defaultRowHeight="12.5"/>
  <cols>
    <col min="1" max="1" width="60.7265625" style="361" customWidth="1"/>
    <col min="2" max="2" width="15.81640625" style="361" hidden="1" customWidth="1"/>
    <col min="3" max="7" width="16.26953125" style="361" customWidth="1"/>
    <col min="8" max="8" width="1.7265625" style="361" customWidth="1"/>
    <col min="9" max="11" width="8.7265625" style="361" customWidth="1"/>
    <col min="12" max="16384" width="9.26953125" style="361"/>
  </cols>
  <sheetData>
    <row r="1" spans="1:11" ht="15.5">
      <c r="A1" s="360" t="s">
        <v>651</v>
      </c>
      <c r="I1" s="939" t="s">
        <v>1018</v>
      </c>
    </row>
    <row r="2" spans="1:11" ht="15.5">
      <c r="A2" s="360" t="s">
        <v>652</v>
      </c>
    </row>
    <row r="3" spans="1:11" ht="6" customHeight="1" thickBot="1"/>
    <row r="4" spans="1:11" ht="13">
      <c r="A4" s="362" t="s">
        <v>653</v>
      </c>
      <c r="B4" s="363" t="s">
        <v>1054</v>
      </c>
      <c r="C4" s="1341" t="s">
        <v>1055</v>
      </c>
      <c r="D4" s="1341" t="s">
        <v>1056</v>
      </c>
      <c r="E4" s="1341" t="s">
        <v>1057</v>
      </c>
      <c r="F4" s="1341" t="s">
        <v>1370</v>
      </c>
      <c r="G4" s="1341" t="s">
        <v>1058</v>
      </c>
    </row>
    <row r="5" spans="1:11" ht="21" customHeight="1">
      <c r="A5" s="364" t="s">
        <v>654</v>
      </c>
      <c r="B5" s="365">
        <v>236428402</v>
      </c>
      <c r="C5" s="365">
        <v>248072607</v>
      </c>
      <c r="D5" s="365">
        <v>258214491</v>
      </c>
      <c r="E5" s="365">
        <v>273542329</v>
      </c>
      <c r="F5" s="365">
        <v>297824816</v>
      </c>
      <c r="G5" s="365">
        <v>331147299</v>
      </c>
      <c r="H5" s="366"/>
      <c r="I5" s="1032"/>
      <c r="J5" s="180"/>
      <c r="K5"/>
    </row>
    <row r="6" spans="1:11">
      <c r="A6" s="364" t="s">
        <v>655</v>
      </c>
      <c r="B6" s="137">
        <v>716489992</v>
      </c>
      <c r="C6" s="137">
        <v>786200361</v>
      </c>
      <c r="D6" s="137">
        <v>733503953</v>
      </c>
      <c r="E6" s="137">
        <v>782912377</v>
      </c>
      <c r="F6" s="137">
        <v>798224472</v>
      </c>
      <c r="G6" s="137">
        <v>866743857</v>
      </c>
      <c r="H6" s="366"/>
      <c r="I6" s="1032"/>
      <c r="J6" s="180"/>
      <c r="K6"/>
    </row>
    <row r="7" spans="1:11">
      <c r="A7" s="364" t="s">
        <v>656</v>
      </c>
      <c r="B7" s="137">
        <v>3090199390</v>
      </c>
      <c r="C7" s="137">
        <v>3179148036</v>
      </c>
      <c r="D7" s="137">
        <v>1528641552</v>
      </c>
      <c r="E7" s="137">
        <v>1575312559</v>
      </c>
      <c r="F7" s="137">
        <v>1490906809</v>
      </c>
      <c r="G7" s="137">
        <v>1783557373</v>
      </c>
      <c r="H7" s="366"/>
      <c r="I7" s="1032"/>
      <c r="J7" s="180"/>
      <c r="K7"/>
    </row>
    <row r="8" spans="1:11">
      <c r="A8" s="364" t="s">
        <v>657</v>
      </c>
      <c r="B8" s="137">
        <v>4270364566</v>
      </c>
      <c r="C8" s="137">
        <v>4644849072</v>
      </c>
      <c r="D8" s="137">
        <v>4664340240</v>
      </c>
      <c r="E8" s="137">
        <v>4823802281</v>
      </c>
      <c r="F8" s="137">
        <v>4337055737</v>
      </c>
      <c r="G8" s="137">
        <v>4974030027</v>
      </c>
      <c r="H8" s="366"/>
      <c r="I8" s="1032"/>
      <c r="J8" s="180"/>
      <c r="K8"/>
    </row>
    <row r="9" spans="1:11">
      <c r="A9" s="364" t="s">
        <v>658</v>
      </c>
      <c r="B9" s="137">
        <v>6447657391</v>
      </c>
      <c r="C9" s="137">
        <v>6980772632</v>
      </c>
      <c r="D9" s="137">
        <v>7491164691</v>
      </c>
      <c r="E9" s="137">
        <v>7677482671</v>
      </c>
      <c r="F9" s="137">
        <v>7865485373</v>
      </c>
      <c r="G9" s="137">
        <v>9380707470</v>
      </c>
      <c r="H9" s="366"/>
      <c r="I9" s="1032"/>
      <c r="J9" s="180"/>
      <c r="K9"/>
    </row>
    <row r="10" spans="1:11">
      <c r="A10" s="364" t="s">
        <v>659</v>
      </c>
      <c r="B10" s="137">
        <v>60885515373.730003</v>
      </c>
      <c r="C10" s="137">
        <v>60933912762.050003</v>
      </c>
      <c r="D10" s="137">
        <v>63650484514.720001</v>
      </c>
      <c r="E10" s="137">
        <v>63653520267</v>
      </c>
      <c r="F10" s="137">
        <v>66155588673.520004</v>
      </c>
      <c r="G10" s="137">
        <v>72301055363.559998</v>
      </c>
      <c r="H10" s="366"/>
      <c r="I10" s="1032"/>
      <c r="J10" s="180"/>
      <c r="K10"/>
    </row>
    <row r="11" spans="1:11">
      <c r="A11" s="367" t="s">
        <v>660</v>
      </c>
      <c r="B11" s="137">
        <v>2216264489</v>
      </c>
      <c r="C11" s="137">
        <v>2236965490</v>
      </c>
      <c r="D11" s="137">
        <v>2130068742</v>
      </c>
      <c r="E11" s="137">
        <v>2168336133</v>
      </c>
      <c r="F11" s="137">
        <v>2015670231</v>
      </c>
      <c r="G11" s="137">
        <v>2410430711</v>
      </c>
      <c r="H11" s="366"/>
      <c r="I11" s="1032"/>
      <c r="J11" s="634"/>
      <c r="K11"/>
    </row>
    <row r="12" spans="1:11">
      <c r="A12" s="367" t="s">
        <v>661</v>
      </c>
      <c r="B12" s="137">
        <v>4552185948</v>
      </c>
      <c r="C12" s="137">
        <v>4668220968</v>
      </c>
      <c r="D12" s="137">
        <v>6541106925</v>
      </c>
      <c r="E12" s="137">
        <v>6736742934</v>
      </c>
      <c r="F12" s="137">
        <v>7963067603</v>
      </c>
      <c r="G12" s="137">
        <v>8776204973</v>
      </c>
      <c r="H12" s="366"/>
      <c r="I12" s="1032"/>
      <c r="J12" s="634"/>
      <c r="K12"/>
    </row>
    <row r="13" spans="1:11">
      <c r="A13" s="367" t="s">
        <v>662</v>
      </c>
      <c r="B13" s="137">
        <v>17610607150.73</v>
      </c>
      <c r="C13" s="137">
        <v>17802669235.049999</v>
      </c>
      <c r="D13" s="137">
        <v>18260313944.720001</v>
      </c>
      <c r="E13" s="137">
        <v>18109540317</v>
      </c>
      <c r="F13" s="137">
        <v>20749265267.52</v>
      </c>
      <c r="G13" s="137">
        <v>21271197638.560001</v>
      </c>
      <c r="H13" s="366"/>
      <c r="I13" s="1032"/>
      <c r="J13" s="634"/>
      <c r="K13"/>
    </row>
    <row r="14" spans="1:11">
      <c r="A14" s="367" t="s">
        <v>663</v>
      </c>
      <c r="B14" s="137">
        <v>5017295547</v>
      </c>
      <c r="C14" s="137">
        <v>4960521827</v>
      </c>
      <c r="D14" s="137">
        <v>5037699750</v>
      </c>
      <c r="E14" s="137">
        <v>4974648367</v>
      </c>
      <c r="F14" s="137">
        <v>3639826980</v>
      </c>
      <c r="G14" s="137">
        <v>4969225647</v>
      </c>
      <c r="H14" s="366"/>
      <c r="I14" s="1032"/>
      <c r="J14" s="634"/>
      <c r="K14"/>
    </row>
    <row r="15" spans="1:11">
      <c r="A15" s="367" t="s">
        <v>664</v>
      </c>
      <c r="B15" s="137">
        <v>17163435010</v>
      </c>
      <c r="C15" s="137">
        <v>17057160048</v>
      </c>
      <c r="D15" s="137">
        <v>17184985659</v>
      </c>
      <c r="E15" s="137">
        <v>17146456723</v>
      </c>
      <c r="F15" s="137">
        <v>17526539796</v>
      </c>
      <c r="G15" s="137">
        <v>18037002912</v>
      </c>
      <c r="H15" s="366"/>
      <c r="I15" s="1032"/>
      <c r="J15" s="634"/>
      <c r="K15"/>
    </row>
    <row r="16" spans="1:11">
      <c r="A16" s="364" t="s">
        <v>665</v>
      </c>
      <c r="B16" s="137">
        <v>217522848</v>
      </c>
      <c r="C16" s="137">
        <v>227218174</v>
      </c>
      <c r="D16" s="137">
        <v>233258397</v>
      </c>
      <c r="E16" s="137">
        <v>226048609</v>
      </c>
      <c r="F16" s="137">
        <v>181618866</v>
      </c>
      <c r="G16" s="137">
        <v>201745003</v>
      </c>
      <c r="H16" s="366"/>
      <c r="I16" s="1032"/>
      <c r="J16" s="180"/>
      <c r="K16"/>
    </row>
    <row r="17" spans="1:11">
      <c r="A17" s="364" t="s">
        <v>666</v>
      </c>
      <c r="B17" s="137">
        <v>1066385652</v>
      </c>
      <c r="C17" s="137">
        <v>1122804878</v>
      </c>
      <c r="D17" s="137">
        <v>1220788292</v>
      </c>
      <c r="E17" s="137">
        <v>1142018521</v>
      </c>
      <c r="F17" s="253">
        <v>928058380</v>
      </c>
      <c r="G17" s="253">
        <v>1150930554</v>
      </c>
      <c r="H17" s="366"/>
      <c r="I17" s="1032"/>
      <c r="J17" s="180"/>
      <c r="K17"/>
    </row>
    <row r="18" spans="1:11">
      <c r="A18" s="364" t="s">
        <v>667</v>
      </c>
      <c r="B18" s="137">
        <v>125527340</v>
      </c>
      <c r="C18" s="137">
        <v>136553035</v>
      </c>
      <c r="D18" s="137">
        <v>154414967</v>
      </c>
      <c r="E18" s="137">
        <v>175805119</v>
      </c>
      <c r="F18" s="137">
        <v>309129674</v>
      </c>
      <c r="G18" s="137">
        <v>153626081</v>
      </c>
      <c r="H18" s="366"/>
      <c r="I18" s="1032"/>
      <c r="J18" s="180"/>
      <c r="K18"/>
    </row>
    <row r="19" spans="1:11">
      <c r="A19" s="364" t="s">
        <v>668</v>
      </c>
      <c r="B19" s="137">
        <v>1542849074</v>
      </c>
      <c r="C19" s="137">
        <v>1578113758</v>
      </c>
      <c r="D19" s="137">
        <v>1528238084</v>
      </c>
      <c r="E19" s="137">
        <v>1671730849</v>
      </c>
      <c r="F19" s="137">
        <v>1394555102</v>
      </c>
      <c r="G19" s="137">
        <v>1665423005</v>
      </c>
      <c r="H19" s="366"/>
      <c r="I19" s="1032"/>
      <c r="J19" s="180"/>
      <c r="K19"/>
    </row>
    <row r="20" spans="1:11">
      <c r="A20" s="364" t="s">
        <v>669</v>
      </c>
      <c r="B20" s="137">
        <v>1110720704</v>
      </c>
      <c r="C20" s="137">
        <v>1080516636</v>
      </c>
      <c r="D20" s="137">
        <v>1098467483</v>
      </c>
      <c r="E20" s="137">
        <v>1076660664</v>
      </c>
      <c r="F20" s="137">
        <v>974841350</v>
      </c>
      <c r="G20" s="137">
        <v>1005995045</v>
      </c>
      <c r="H20" s="366"/>
      <c r="I20" s="1032"/>
      <c r="J20" s="180"/>
      <c r="K20"/>
    </row>
    <row r="21" spans="1:11">
      <c r="A21" s="364" t="s">
        <v>670</v>
      </c>
      <c r="B21" s="137">
        <v>107488543</v>
      </c>
      <c r="C21" s="137">
        <v>128612736</v>
      </c>
      <c r="D21" s="137">
        <v>132268769</v>
      </c>
      <c r="E21" s="137">
        <v>175358145</v>
      </c>
      <c r="F21" s="137">
        <v>162627657</v>
      </c>
      <c r="G21" s="137">
        <v>245266950</v>
      </c>
      <c r="H21" s="366"/>
      <c r="I21" s="1032"/>
      <c r="J21" s="180"/>
      <c r="K21"/>
    </row>
    <row r="22" spans="1:11">
      <c r="A22" s="364" t="s">
        <v>1059</v>
      </c>
      <c r="B22" s="137">
        <v>313510223</v>
      </c>
      <c r="C22" s="137">
        <v>318631326</v>
      </c>
      <c r="D22" s="137">
        <v>326602085</v>
      </c>
      <c r="E22" s="137">
        <v>345429360</v>
      </c>
      <c r="F22" s="137">
        <v>321491679</v>
      </c>
      <c r="G22" s="137">
        <v>353391019</v>
      </c>
      <c r="H22" s="366"/>
      <c r="I22" s="1032"/>
      <c r="J22" s="180"/>
      <c r="K22"/>
    </row>
    <row r="23" spans="1:11">
      <c r="A23" s="364" t="s">
        <v>671</v>
      </c>
      <c r="B23" s="137">
        <v>121809793</v>
      </c>
      <c r="C23" s="137">
        <v>114432109</v>
      </c>
      <c r="D23" s="137">
        <v>93635761</v>
      </c>
      <c r="E23" s="137">
        <v>75544873</v>
      </c>
      <c r="F23" s="137">
        <v>46319582</v>
      </c>
      <c r="G23" s="137">
        <v>43222890</v>
      </c>
      <c r="H23" s="366"/>
      <c r="I23" s="1032"/>
      <c r="J23" s="180"/>
      <c r="K23"/>
    </row>
    <row r="24" spans="1:11">
      <c r="A24" s="364" t="s">
        <v>672</v>
      </c>
      <c r="B24" s="137">
        <v>346898800</v>
      </c>
      <c r="C24" s="137">
        <v>340921008</v>
      </c>
      <c r="D24" s="137">
        <v>347932775</v>
      </c>
      <c r="E24" s="137">
        <v>316098309</v>
      </c>
      <c r="F24" s="137">
        <v>327389507</v>
      </c>
      <c r="G24" s="137">
        <v>382385518</v>
      </c>
      <c r="H24" s="366"/>
      <c r="I24" s="1032"/>
      <c r="J24" s="180"/>
      <c r="K24"/>
    </row>
    <row r="25" spans="1:11">
      <c r="A25" s="364" t="s">
        <v>673</v>
      </c>
      <c r="B25" s="137">
        <v>577465570</v>
      </c>
      <c r="C25" s="137">
        <v>615427279</v>
      </c>
      <c r="D25" s="137">
        <v>625631010</v>
      </c>
      <c r="E25" s="137">
        <v>699339072</v>
      </c>
      <c r="F25" s="137">
        <v>448061930</v>
      </c>
      <c r="G25" s="137">
        <v>692700752</v>
      </c>
      <c r="H25" s="366"/>
      <c r="I25" s="1032"/>
      <c r="J25" s="180"/>
      <c r="K25"/>
    </row>
    <row r="26" spans="1:11">
      <c r="A26" s="364" t="s">
        <v>674</v>
      </c>
      <c r="B26" s="137">
        <v>17601356777</v>
      </c>
      <c r="C26" s="137">
        <v>17987523834</v>
      </c>
      <c r="D26" s="137">
        <v>18613515472</v>
      </c>
      <c r="E26" s="137">
        <v>19470592932</v>
      </c>
      <c r="F26" s="137">
        <v>15095152204</v>
      </c>
      <c r="G26" s="137">
        <v>19262340836</v>
      </c>
      <c r="H26" s="366"/>
      <c r="I26" s="1032"/>
      <c r="J26" s="180"/>
      <c r="K26"/>
    </row>
    <row r="27" spans="1:11">
      <c r="A27" s="367" t="s">
        <v>675</v>
      </c>
      <c r="B27" s="137">
        <v>14015309950</v>
      </c>
      <c r="C27" s="137">
        <v>14249840628</v>
      </c>
      <c r="D27" s="137">
        <v>14760752957</v>
      </c>
      <c r="E27" s="137">
        <v>15486302505</v>
      </c>
      <c r="F27" s="137">
        <v>12971669114</v>
      </c>
      <c r="G27" s="137">
        <v>16177425130</v>
      </c>
      <c r="H27" s="366"/>
      <c r="I27" s="1032"/>
      <c r="J27" s="634"/>
      <c r="K27"/>
    </row>
    <row r="28" spans="1:11">
      <c r="A28" s="364" t="s">
        <v>676</v>
      </c>
      <c r="B28" s="137">
        <v>2375808522</v>
      </c>
      <c r="C28" s="137">
        <v>2453829305</v>
      </c>
      <c r="D28" s="137">
        <v>2556759876</v>
      </c>
      <c r="E28" s="137">
        <v>2600028077</v>
      </c>
      <c r="F28" s="137">
        <v>2356797691</v>
      </c>
      <c r="G28" s="137">
        <v>2714695719</v>
      </c>
      <c r="H28" s="366"/>
      <c r="I28" s="1032"/>
      <c r="J28" s="180"/>
    </row>
    <row r="29" spans="1:11">
      <c r="A29" s="364" t="s">
        <v>677</v>
      </c>
      <c r="B29" s="137">
        <v>18787903</v>
      </c>
      <c r="C29" s="137">
        <v>21157757</v>
      </c>
      <c r="D29" s="137">
        <v>21356590</v>
      </c>
      <c r="E29" s="137">
        <v>22167798</v>
      </c>
      <c r="F29" s="137">
        <v>13337609</v>
      </c>
      <c r="G29" s="137">
        <v>15554324</v>
      </c>
      <c r="H29" s="366"/>
      <c r="I29" s="1032"/>
      <c r="J29" s="180"/>
    </row>
    <row r="30" spans="1:11">
      <c r="A30" s="364" t="s">
        <v>678</v>
      </c>
      <c r="B30" s="137">
        <v>567981977</v>
      </c>
      <c r="C30" s="137">
        <v>842409724</v>
      </c>
      <c r="D30" s="137">
        <v>795927505</v>
      </c>
      <c r="E30" s="137">
        <v>996283232</v>
      </c>
      <c r="F30" s="253">
        <v>855358313</v>
      </c>
      <c r="G30" s="253">
        <v>1131052693</v>
      </c>
      <c r="H30" s="366"/>
      <c r="I30" s="1032"/>
      <c r="J30" s="180"/>
    </row>
    <row r="31" spans="1:11" ht="5" customHeight="1">
      <c r="B31" s="137"/>
      <c r="C31" s="137"/>
      <c r="D31" s="137"/>
      <c r="I31" s="1032"/>
    </row>
    <row r="32" spans="1:11" ht="13">
      <c r="A32" s="368" t="s">
        <v>16</v>
      </c>
      <c r="B32" s="369">
        <f t="shared" ref="B32:G32" si="0">SUM(B5:B10,B16:B26,B28:B30)</f>
        <v>101740768840.73001</v>
      </c>
      <c r="C32" s="369">
        <f t="shared" si="0"/>
        <v>103741107029.05</v>
      </c>
      <c r="D32" s="369">
        <f t="shared" si="0"/>
        <v>106075146507.72</v>
      </c>
      <c r="E32" s="369">
        <f t="shared" si="0"/>
        <v>107779678044</v>
      </c>
      <c r="F32" s="369">
        <f t="shared" si="0"/>
        <v>104359825424.52</v>
      </c>
      <c r="G32" s="369">
        <f t="shared" si="0"/>
        <v>118655571778.56</v>
      </c>
      <c r="I32" s="1032"/>
      <c r="J32" s="180"/>
    </row>
    <row r="33" spans="1:7" ht="6" customHeight="1">
      <c r="B33" s="137"/>
      <c r="C33" s="137"/>
      <c r="D33" s="137"/>
      <c r="E33" s="137"/>
      <c r="F33" s="273"/>
      <c r="G33" s="273"/>
    </row>
    <row r="34" spans="1:7" s="1335" customFormat="1" ht="11" customHeight="1">
      <c r="A34" s="1336" t="s">
        <v>1</v>
      </c>
      <c r="B34" s="1336"/>
      <c r="C34" s="1336"/>
      <c r="D34" s="1336"/>
      <c r="E34" s="1336"/>
      <c r="F34" s="1336"/>
      <c r="G34" s="1336"/>
    </row>
    <row r="35" spans="1:7" s="1335" customFormat="1" ht="11" customHeight="1">
      <c r="A35" s="1337" t="s">
        <v>771</v>
      </c>
      <c r="B35" s="1337"/>
      <c r="C35" s="1337"/>
      <c r="D35" s="1338"/>
      <c r="E35" s="1338"/>
      <c r="F35" s="1338"/>
      <c r="G35" s="1338"/>
    </row>
    <row r="36" spans="1:7" s="1335" customFormat="1" ht="11" customHeight="1">
      <c r="A36" s="1339" t="s">
        <v>679</v>
      </c>
      <c r="B36" s="1339"/>
      <c r="C36" s="1339"/>
      <c r="D36" s="1340"/>
      <c r="E36" s="1340"/>
      <c r="F36" s="1340"/>
      <c r="G36" s="1340"/>
    </row>
    <row r="37" spans="1:7" s="1335" customFormat="1" ht="23" customHeight="1">
      <c r="A37" s="1933" t="s">
        <v>982</v>
      </c>
      <c r="B37" s="1933"/>
      <c r="C37" s="1933"/>
      <c r="D37" s="1934"/>
      <c r="E37" s="1934"/>
      <c r="F37" s="1934"/>
      <c r="G37" s="1934"/>
    </row>
    <row r="38" spans="1:7" s="1335" customFormat="1" ht="11" customHeight="1">
      <c r="A38" s="1339" t="s">
        <v>795</v>
      </c>
      <c r="B38" s="1339"/>
      <c r="C38" s="1339"/>
      <c r="D38" s="1340"/>
      <c r="E38" s="1340"/>
      <c r="F38" s="1340"/>
      <c r="G38" s="1340"/>
    </row>
    <row r="39" spans="1:7" s="1335" customFormat="1" ht="11" customHeight="1">
      <c r="A39" s="1339" t="s">
        <v>1371</v>
      </c>
      <c r="B39" s="1339"/>
      <c r="C39" s="1339"/>
      <c r="D39" s="1340"/>
      <c r="E39" s="1340"/>
      <c r="F39" s="1340"/>
      <c r="G39" s="1340"/>
    </row>
    <row r="40" spans="1:7" s="859" customFormat="1" ht="11" customHeight="1">
      <c r="A40" s="1342" t="s">
        <v>984</v>
      </c>
      <c r="B40" s="860"/>
      <c r="C40" s="860"/>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1">
    <mergeCell ref="A37:G37"/>
  </mergeCells>
  <hyperlinks>
    <hyperlink ref="I1" location="TOC!A1" display="Back"/>
  </hyperlinks>
  <printOptions horizontalCentered="1"/>
  <pageMargins left="0.45" right="0.25" top="0.5" bottom="0.25" header="0.25" footer="0.75"/>
  <pageSetup scale="93" orientation="landscape" r:id="rId2"/>
  <headerFooter scaleWithDoc="0">
    <oddHeader>&amp;R&amp;P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139"/>
  <sheetViews>
    <sheetView zoomScaleNormal="100" zoomScaleSheetLayoutView="90" workbookViewId="0">
      <pane ySplit="3130" topLeftCell="A33"/>
      <selection pane="bottomLeft" activeCell="A71" sqref="A71:XFD72"/>
    </sheetView>
  </sheetViews>
  <sheetFormatPr defaultColWidth="13.1796875" defaultRowHeight="13"/>
  <cols>
    <col min="1" max="1" width="11.7265625" style="998" customWidth="1"/>
    <col min="2" max="4" width="10.7265625" style="997" customWidth="1"/>
    <col min="5" max="5" width="5.7265625" style="998" customWidth="1"/>
    <col min="6" max="6" width="11.7265625" style="998" customWidth="1"/>
    <col min="7" max="9" width="11.7265625" style="997" customWidth="1"/>
    <col min="10" max="10" width="5.7265625" style="997" customWidth="1"/>
    <col min="11" max="11" width="11.7265625" style="997" customWidth="1"/>
    <col min="12" max="13" width="12.26953125" style="997" customWidth="1"/>
    <col min="14" max="14" width="12.26953125" style="998" customWidth="1"/>
    <col min="15" max="15" width="1.7265625" style="998" customWidth="1"/>
    <col min="16" max="16" width="7.81640625" style="1000" bestFit="1" customWidth="1"/>
    <col min="17" max="17" width="13.453125" style="1000" bestFit="1" customWidth="1"/>
    <col min="18" max="18" width="10.26953125" style="1001" bestFit="1" customWidth="1"/>
    <col min="19" max="19" width="1.7265625" style="998" customWidth="1"/>
    <col min="20" max="16384" width="13.1796875" style="998"/>
  </cols>
  <sheetData>
    <row r="1" spans="1:18" ht="18">
      <c r="A1" s="996" t="s">
        <v>241</v>
      </c>
      <c r="B1" s="1756"/>
      <c r="C1" s="1756"/>
      <c r="G1" s="1757"/>
      <c r="H1" s="1758"/>
      <c r="I1" s="1758"/>
      <c r="J1" s="1758"/>
      <c r="K1" s="1758"/>
      <c r="L1" s="1758"/>
      <c r="M1" s="1758"/>
      <c r="P1" s="999" t="s">
        <v>1018</v>
      </c>
    </row>
    <row r="2" spans="1:18">
      <c r="A2" s="1003" t="s">
        <v>1070</v>
      </c>
      <c r="B2" s="1756"/>
      <c r="C2" s="1756"/>
      <c r="G2" s="1758"/>
      <c r="H2" s="1758"/>
      <c r="I2" s="1758"/>
      <c r="J2" s="1758"/>
      <c r="K2" s="1758"/>
      <c r="L2" s="1758"/>
      <c r="M2" s="1758"/>
    </row>
    <row r="3" spans="1:18" ht="10.9" customHeight="1" thickBot="1">
      <c r="A3" s="1004"/>
      <c r="B3" s="1756"/>
      <c r="C3" s="1756"/>
      <c r="G3" s="1758"/>
      <c r="H3" s="1758"/>
      <c r="I3" s="1758"/>
      <c r="J3" s="1758"/>
      <c r="K3" s="1758"/>
      <c r="L3" s="1758"/>
      <c r="M3" s="1758"/>
    </row>
    <row r="4" spans="1:18" ht="21">
      <c r="A4" s="1009" t="s">
        <v>21</v>
      </c>
      <c r="B4" s="1010" t="s">
        <v>1048</v>
      </c>
      <c r="C4" s="1010" t="s">
        <v>948</v>
      </c>
      <c r="D4" s="1010" t="s">
        <v>1049</v>
      </c>
      <c r="E4" s="1007"/>
      <c r="F4" s="1009" t="s">
        <v>21</v>
      </c>
      <c r="G4" s="1010" t="s">
        <v>1048</v>
      </c>
      <c r="H4" s="1010" t="s">
        <v>948</v>
      </c>
      <c r="I4" s="1010" t="s">
        <v>1049</v>
      </c>
      <c r="J4" s="1008"/>
      <c r="K4" s="1009" t="s">
        <v>21</v>
      </c>
      <c r="L4" s="1010" t="s">
        <v>1048</v>
      </c>
      <c r="M4" s="1010" t="s">
        <v>948</v>
      </c>
      <c r="N4" s="1010" t="s">
        <v>1049</v>
      </c>
      <c r="P4" s="1065"/>
      <c r="Q4" s="1065"/>
      <c r="R4" s="1066"/>
    </row>
    <row r="5" spans="1:18" ht="15" customHeight="1">
      <c r="A5" s="1011" t="s">
        <v>54</v>
      </c>
      <c r="B5" s="1759">
        <v>6067181.29</v>
      </c>
      <c r="C5" s="1759">
        <v>5697607.1200000001</v>
      </c>
      <c r="D5" s="1759">
        <f t="shared" ref="D5:D39" si="0">SUM(B5:C5)</f>
        <v>11764788.41</v>
      </c>
      <c r="E5" s="1012"/>
      <c r="F5" s="1015" t="s">
        <v>55</v>
      </c>
      <c r="G5" s="1759">
        <v>6824654.5800000001</v>
      </c>
      <c r="H5" s="1759">
        <v>6659642.1299999999</v>
      </c>
      <c r="I5" s="1759">
        <f t="shared" ref="I5:I39" si="1">SUM(G5:H5)</f>
        <v>13484296.710000001</v>
      </c>
      <c r="J5" s="1759"/>
      <c r="K5" s="1759" t="s">
        <v>122</v>
      </c>
      <c r="L5" s="1760">
        <v>3325698.56</v>
      </c>
      <c r="M5" s="1760">
        <v>4225519.6900000004</v>
      </c>
      <c r="N5" s="1759">
        <f t="shared" ref="N5:N29" si="2">SUM(L5:M5)</f>
        <v>7551218.25</v>
      </c>
      <c r="P5" s="1065"/>
      <c r="Q5" s="1065"/>
      <c r="R5" s="1066"/>
    </row>
    <row r="6" spans="1:18" ht="15" customHeight="1">
      <c r="A6" s="1011" t="s">
        <v>56</v>
      </c>
      <c r="B6" s="1020">
        <v>19675289</v>
      </c>
      <c r="C6" s="1020">
        <v>22284786.23</v>
      </c>
      <c r="D6" s="1761">
        <f t="shared" si="0"/>
        <v>41960075.230000004</v>
      </c>
      <c r="E6" s="1012"/>
      <c r="F6" s="1015" t="s">
        <v>57</v>
      </c>
      <c r="G6" s="1020">
        <v>3933156.2</v>
      </c>
      <c r="H6" s="1020">
        <v>4842100.63</v>
      </c>
      <c r="I6" s="1761">
        <f t="shared" si="1"/>
        <v>8775256.8300000001</v>
      </c>
      <c r="J6" s="1761"/>
      <c r="K6" s="1759" t="s">
        <v>124</v>
      </c>
      <c r="L6" s="1020">
        <v>7354991.54</v>
      </c>
      <c r="M6" s="1020">
        <v>4341215.57</v>
      </c>
      <c r="N6" s="1761">
        <f t="shared" si="2"/>
        <v>11696207.109999999</v>
      </c>
      <c r="P6" s="1065"/>
      <c r="Q6" s="1065"/>
      <c r="R6" s="1066"/>
    </row>
    <row r="7" spans="1:18" ht="15" customHeight="1">
      <c r="A7" s="1011" t="s">
        <v>58</v>
      </c>
      <c r="B7" s="1020">
        <v>2613652.5699999998</v>
      </c>
      <c r="C7" s="1020">
        <v>1245002.25</v>
      </c>
      <c r="D7" s="1761">
        <f t="shared" si="0"/>
        <v>3858654.82</v>
      </c>
      <c r="E7" s="1012"/>
      <c r="F7" s="1015" t="s">
        <v>59</v>
      </c>
      <c r="G7" s="1020">
        <v>2426661.2400000002</v>
      </c>
      <c r="H7" s="1020">
        <v>765766.25</v>
      </c>
      <c r="I7" s="1761">
        <f t="shared" si="1"/>
        <v>3192427.49</v>
      </c>
      <c r="J7" s="1761"/>
      <c r="K7" s="1759" t="s">
        <v>126</v>
      </c>
      <c r="L7" s="1020">
        <v>112806469.38</v>
      </c>
      <c r="M7" s="1020">
        <v>88253595.010000005</v>
      </c>
      <c r="N7" s="1761">
        <f t="shared" si="2"/>
        <v>201060064.38999999</v>
      </c>
      <c r="P7" s="1065"/>
      <c r="Q7" s="1065"/>
      <c r="R7" s="1066"/>
    </row>
    <row r="8" spans="1:18" ht="15" customHeight="1">
      <c r="A8" s="1011" t="s">
        <v>60</v>
      </c>
      <c r="B8" s="1020">
        <v>2493217.46</v>
      </c>
      <c r="C8" s="1020">
        <v>1343192.49</v>
      </c>
      <c r="D8" s="1761">
        <f t="shared" si="0"/>
        <v>3836409.95</v>
      </c>
      <c r="E8" s="1012"/>
      <c r="F8" s="1015" t="s">
        <v>61</v>
      </c>
      <c r="G8" s="1020">
        <v>4354678.96</v>
      </c>
      <c r="H8" s="1020">
        <v>3123114.97</v>
      </c>
      <c r="I8" s="1761">
        <f t="shared" si="1"/>
        <v>7477793.9299999997</v>
      </c>
      <c r="J8" s="1761"/>
      <c r="K8" s="1759" t="s">
        <v>128</v>
      </c>
      <c r="L8" s="1020">
        <v>5399506.1200000001</v>
      </c>
      <c r="M8" s="1020">
        <v>5225983.37</v>
      </c>
      <c r="N8" s="1761">
        <f t="shared" si="2"/>
        <v>10625489.49</v>
      </c>
      <c r="P8" s="1065"/>
      <c r="Q8" s="1065"/>
      <c r="R8" s="1066"/>
    </row>
    <row r="9" spans="1:18" ht="15" customHeight="1">
      <c r="A9" s="1011" t="s">
        <v>62</v>
      </c>
      <c r="B9" s="1020">
        <v>5555860.46</v>
      </c>
      <c r="C9" s="1020">
        <v>4058817.28</v>
      </c>
      <c r="D9" s="1761">
        <f t="shared" si="0"/>
        <v>9614677.7400000002</v>
      </c>
      <c r="E9" s="1012"/>
      <c r="F9" s="1015" t="s">
        <v>63</v>
      </c>
      <c r="G9" s="1020">
        <v>1750534.42</v>
      </c>
      <c r="H9" s="1020">
        <v>892939.71</v>
      </c>
      <c r="I9" s="1761">
        <f t="shared" si="1"/>
        <v>2643474.13</v>
      </c>
      <c r="J9" s="1761"/>
      <c r="K9" s="1759" t="s">
        <v>130</v>
      </c>
      <c r="L9" s="1020">
        <v>1148359.08</v>
      </c>
      <c r="M9" s="1020">
        <v>1001985.53</v>
      </c>
      <c r="N9" s="1761">
        <f t="shared" si="2"/>
        <v>2150344.6100000003</v>
      </c>
      <c r="P9" s="1065"/>
      <c r="Q9" s="1065"/>
      <c r="R9" s="1066"/>
    </row>
    <row r="10" spans="1:18" ht="24" customHeight="1">
      <c r="A10" s="1011" t="s">
        <v>64</v>
      </c>
      <c r="B10" s="1020">
        <v>2945377.26</v>
      </c>
      <c r="C10" s="1020">
        <v>1855322.63</v>
      </c>
      <c r="D10" s="1761">
        <f t="shared" si="0"/>
        <v>4800699.8899999997</v>
      </c>
      <c r="E10" s="1012"/>
      <c r="F10" s="1015" t="s">
        <v>65</v>
      </c>
      <c r="G10" s="1020">
        <v>6361930.3600000003</v>
      </c>
      <c r="H10" s="1020">
        <v>4607281.32</v>
      </c>
      <c r="I10" s="1761">
        <f t="shared" si="1"/>
        <v>10969211.68</v>
      </c>
      <c r="J10" s="1761"/>
      <c r="K10" s="1759" t="s">
        <v>132</v>
      </c>
      <c r="L10" s="1020">
        <v>1427261.36</v>
      </c>
      <c r="M10" s="1020">
        <v>1659468.67</v>
      </c>
      <c r="N10" s="1761">
        <f t="shared" si="2"/>
        <v>3086730.0300000003</v>
      </c>
      <c r="P10" s="1065"/>
      <c r="Q10" s="1065"/>
      <c r="R10" s="1066"/>
    </row>
    <row r="11" spans="1:18" ht="15" customHeight="1">
      <c r="A11" s="1011" t="s">
        <v>66</v>
      </c>
      <c r="B11" s="1020">
        <v>36617546.859999999</v>
      </c>
      <c r="C11" s="1020">
        <v>47037148.479999997</v>
      </c>
      <c r="D11" s="1761">
        <f t="shared" si="0"/>
        <v>83654695.340000004</v>
      </c>
      <c r="E11" s="1012"/>
      <c r="F11" s="1015" t="s">
        <v>67</v>
      </c>
      <c r="G11" s="1020">
        <v>22568900.32</v>
      </c>
      <c r="H11" s="1020">
        <v>31660779.079999998</v>
      </c>
      <c r="I11" s="1761">
        <f t="shared" si="1"/>
        <v>54229679.399999999</v>
      </c>
      <c r="J11" s="1761"/>
      <c r="K11" s="1759" t="s">
        <v>25</v>
      </c>
      <c r="L11" s="1020">
        <v>17785303.379999999</v>
      </c>
      <c r="M11" s="1020">
        <v>15175480.800000001</v>
      </c>
      <c r="N11" s="1761">
        <f t="shared" si="2"/>
        <v>32960784.18</v>
      </c>
      <c r="P11" s="1065"/>
      <c r="Q11" s="1065"/>
      <c r="R11" s="1066"/>
    </row>
    <row r="12" spans="1:18" ht="15" customHeight="1">
      <c r="A12" s="1011" t="s">
        <v>68</v>
      </c>
      <c r="B12" s="1020">
        <v>13457035.68</v>
      </c>
      <c r="C12" s="1020">
        <v>8752545.5800000001</v>
      </c>
      <c r="D12" s="1761">
        <f t="shared" si="0"/>
        <v>22209581.259999998</v>
      </c>
      <c r="E12" s="1012"/>
      <c r="F12" s="1015" t="s">
        <v>69</v>
      </c>
      <c r="G12" s="1020">
        <v>67042195.090000004</v>
      </c>
      <c r="H12" s="1020">
        <v>87332089.709999993</v>
      </c>
      <c r="I12" s="1761">
        <f t="shared" si="1"/>
        <v>154374284.80000001</v>
      </c>
      <c r="J12" s="1761"/>
      <c r="K12" s="1759" t="s">
        <v>134</v>
      </c>
      <c r="L12" s="1020">
        <v>3634181.38</v>
      </c>
      <c r="M12" s="1020">
        <v>3891647.8</v>
      </c>
      <c r="N12" s="1761">
        <f t="shared" si="2"/>
        <v>7525829.1799999997</v>
      </c>
      <c r="P12" s="1065"/>
      <c r="Q12" s="1065"/>
      <c r="R12" s="1066"/>
    </row>
    <row r="13" spans="1:18" ht="15" customHeight="1">
      <c r="A13" s="1011" t="s">
        <v>70</v>
      </c>
      <c r="B13" s="1020">
        <v>611683.46</v>
      </c>
      <c r="C13" s="1020">
        <v>930405.94</v>
      </c>
      <c r="D13" s="1761">
        <f t="shared" si="0"/>
        <v>1542089.4</v>
      </c>
      <c r="E13" s="1012"/>
      <c r="F13" s="1015" t="s">
        <v>71</v>
      </c>
      <c r="G13" s="1020">
        <v>9305194.6999999993</v>
      </c>
      <c r="H13" s="1020">
        <v>6005256.0099999998</v>
      </c>
      <c r="I13" s="1761">
        <f t="shared" si="1"/>
        <v>15310450.709999999</v>
      </c>
      <c r="J13" s="1761"/>
      <c r="K13" s="1759" t="s">
        <v>135</v>
      </c>
      <c r="L13" s="1020">
        <v>16462630.4</v>
      </c>
      <c r="M13" s="1020">
        <v>10988004.810000001</v>
      </c>
      <c r="N13" s="1761">
        <f t="shared" si="2"/>
        <v>27450635.210000001</v>
      </c>
      <c r="P13" s="1065"/>
      <c r="Q13" s="1065"/>
      <c r="R13" s="1066"/>
    </row>
    <row r="14" spans="1:18" ht="15" customHeight="1">
      <c r="A14" s="1014" t="s">
        <v>363</v>
      </c>
      <c r="B14" s="1020">
        <v>14859998.68</v>
      </c>
      <c r="C14" s="1020">
        <v>9385553.4199999999</v>
      </c>
      <c r="D14" s="1761">
        <f t="shared" si="0"/>
        <v>24245552.100000001</v>
      </c>
      <c r="E14" s="1012"/>
      <c r="F14" s="1015" t="s">
        <v>72</v>
      </c>
      <c r="G14" s="1020">
        <v>257773.3</v>
      </c>
      <c r="H14" s="1020">
        <v>190559.53</v>
      </c>
      <c r="I14" s="1761">
        <f t="shared" si="1"/>
        <v>448332.82999999996</v>
      </c>
      <c r="J14" s="1761"/>
      <c r="K14" s="1759" t="s">
        <v>137</v>
      </c>
      <c r="L14" s="1020">
        <v>4631468.3600000003</v>
      </c>
      <c r="M14" s="1020">
        <v>2422492.15</v>
      </c>
      <c r="N14" s="1761">
        <f t="shared" si="2"/>
        <v>7053960.5099999998</v>
      </c>
      <c r="P14" s="1065"/>
      <c r="Q14" s="1065"/>
      <c r="R14" s="1066"/>
    </row>
    <row r="15" spans="1:18" ht="24" customHeight="1">
      <c r="A15" s="1011" t="s">
        <v>73</v>
      </c>
      <c r="B15" s="1020">
        <v>905375.98</v>
      </c>
      <c r="C15" s="1020">
        <v>468864.84</v>
      </c>
      <c r="D15" s="1761">
        <f t="shared" si="0"/>
        <v>1374240.82</v>
      </c>
      <c r="E15" s="1012"/>
      <c r="F15" s="1015" t="s">
        <v>74</v>
      </c>
      <c r="G15" s="1020">
        <v>7194411.4400000004</v>
      </c>
      <c r="H15" s="1020">
        <v>4618323.88</v>
      </c>
      <c r="I15" s="1761">
        <f t="shared" si="1"/>
        <v>11812735.32</v>
      </c>
      <c r="J15" s="1761"/>
      <c r="K15" s="1759" t="s">
        <v>139</v>
      </c>
      <c r="L15" s="1020">
        <v>3886672.46</v>
      </c>
      <c r="M15" s="1020">
        <v>2046790.81</v>
      </c>
      <c r="N15" s="1761">
        <f t="shared" si="2"/>
        <v>5933463.2699999996</v>
      </c>
      <c r="P15" s="1065"/>
      <c r="Q15" s="1065"/>
      <c r="R15" s="1066"/>
    </row>
    <row r="16" spans="1:18" ht="15" customHeight="1">
      <c r="A16" s="1011" t="s">
        <v>75</v>
      </c>
      <c r="B16" s="1020">
        <v>6164374.5199999996</v>
      </c>
      <c r="C16" s="1020">
        <v>4049013.43</v>
      </c>
      <c r="D16" s="1761">
        <f t="shared" si="0"/>
        <v>10213387.949999999</v>
      </c>
      <c r="E16" s="1012"/>
      <c r="F16" s="1015" t="s">
        <v>76</v>
      </c>
      <c r="G16" s="1020">
        <v>14137388.18</v>
      </c>
      <c r="H16" s="1020">
        <v>14263697.91</v>
      </c>
      <c r="I16" s="1761">
        <f t="shared" si="1"/>
        <v>28401086.09</v>
      </c>
      <c r="J16" s="1761"/>
      <c r="K16" s="1759" t="s">
        <v>141</v>
      </c>
      <c r="L16" s="1020">
        <v>8258254.6600000001</v>
      </c>
      <c r="M16" s="1020">
        <v>5890779.04</v>
      </c>
      <c r="N16" s="1761">
        <f t="shared" si="2"/>
        <v>14149033.699999999</v>
      </c>
      <c r="P16" s="1065"/>
      <c r="Q16" s="1065"/>
      <c r="R16" s="1066"/>
    </row>
    <row r="17" spans="1:18" ht="15" customHeight="1">
      <c r="A17" s="1011" t="s">
        <v>77</v>
      </c>
      <c r="B17" s="1020">
        <v>2408701.6</v>
      </c>
      <c r="C17" s="1020">
        <v>1113625.1299999999</v>
      </c>
      <c r="D17" s="1761">
        <f t="shared" si="0"/>
        <v>3522326.73</v>
      </c>
      <c r="E17" s="1012"/>
      <c r="F17" s="1015" t="s">
        <v>78</v>
      </c>
      <c r="G17" s="1020">
        <v>1137794.6000000001</v>
      </c>
      <c r="H17" s="1020">
        <v>369916.76</v>
      </c>
      <c r="I17" s="1761">
        <f t="shared" si="1"/>
        <v>1507711.36</v>
      </c>
      <c r="J17" s="1761"/>
      <c r="K17" s="1759" t="s">
        <v>143</v>
      </c>
      <c r="L17" s="1020">
        <v>5379433.5999999996</v>
      </c>
      <c r="M17" s="1020">
        <v>3149963.1</v>
      </c>
      <c r="N17" s="1761">
        <f t="shared" si="2"/>
        <v>8529396.6999999993</v>
      </c>
      <c r="P17" s="1065"/>
      <c r="Q17" s="1065"/>
      <c r="R17" s="1066"/>
    </row>
    <row r="18" spans="1:18" ht="15" customHeight="1">
      <c r="A18" s="1011" t="s">
        <v>79</v>
      </c>
      <c r="B18" s="1020">
        <v>3492617.34</v>
      </c>
      <c r="C18" s="1020">
        <v>1915867.19</v>
      </c>
      <c r="D18" s="1761">
        <f t="shared" si="0"/>
        <v>5408484.5299999993</v>
      </c>
      <c r="E18" s="1012"/>
      <c r="F18" s="1015" t="s">
        <v>80</v>
      </c>
      <c r="G18" s="1020">
        <v>5964705.8399999999</v>
      </c>
      <c r="H18" s="1020">
        <v>3980198.94</v>
      </c>
      <c r="I18" s="1761">
        <f t="shared" si="1"/>
        <v>9944904.7799999993</v>
      </c>
      <c r="J18" s="1761"/>
      <c r="K18" s="1759" t="s">
        <v>145</v>
      </c>
      <c r="L18" s="1020">
        <v>3159836.2</v>
      </c>
      <c r="M18" s="1020">
        <v>1042941.66</v>
      </c>
      <c r="N18" s="1761">
        <f t="shared" si="2"/>
        <v>4202777.8600000003</v>
      </c>
      <c r="P18" s="1065"/>
      <c r="Q18" s="1065"/>
      <c r="R18" s="1066"/>
    </row>
    <row r="19" spans="1:18" ht="15" customHeight="1">
      <c r="A19" s="1011" t="s">
        <v>81</v>
      </c>
      <c r="B19" s="1020">
        <v>2829167.94</v>
      </c>
      <c r="C19" s="1020">
        <v>1121277.73</v>
      </c>
      <c r="D19" s="1761">
        <f t="shared" si="0"/>
        <v>3950445.67</v>
      </c>
      <c r="E19" s="1012"/>
      <c r="F19" s="1015" t="s">
        <v>82</v>
      </c>
      <c r="G19" s="1020">
        <v>3575020.28</v>
      </c>
      <c r="H19" s="1020">
        <v>1933430.54</v>
      </c>
      <c r="I19" s="1761">
        <f t="shared" si="1"/>
        <v>5508450.8200000003</v>
      </c>
      <c r="J19" s="1761"/>
      <c r="K19" s="1759" t="s">
        <v>147</v>
      </c>
      <c r="L19" s="1020">
        <v>31149371.620000001</v>
      </c>
      <c r="M19" s="1020">
        <v>27416074.960000001</v>
      </c>
      <c r="N19" s="1761">
        <f t="shared" si="2"/>
        <v>58565446.579999998</v>
      </c>
      <c r="P19" s="1065"/>
      <c r="Q19" s="1065"/>
      <c r="R19" s="1066"/>
    </row>
    <row r="20" spans="1:18" ht="24" customHeight="1">
      <c r="A20" s="1011" t="s">
        <v>83</v>
      </c>
      <c r="B20" s="1020">
        <v>10037313.220000001</v>
      </c>
      <c r="C20" s="1020">
        <v>7825507.8399999999</v>
      </c>
      <c r="D20" s="1761">
        <f t="shared" si="0"/>
        <v>17862821.060000002</v>
      </c>
      <c r="E20" s="1012"/>
      <c r="F20" s="1015" t="s">
        <v>84</v>
      </c>
      <c r="G20" s="1020">
        <v>1529736.84</v>
      </c>
      <c r="H20" s="1020">
        <v>2616635.9900000002</v>
      </c>
      <c r="I20" s="1761">
        <f t="shared" si="1"/>
        <v>4146372.83</v>
      </c>
      <c r="J20" s="1761"/>
      <c r="K20" s="1759" t="s">
        <v>149</v>
      </c>
      <c r="L20" s="1020">
        <v>37126754.82</v>
      </c>
      <c r="M20" s="1020">
        <v>22514339.02</v>
      </c>
      <c r="N20" s="1761">
        <f t="shared" si="2"/>
        <v>59641093.840000004</v>
      </c>
      <c r="P20" s="1065"/>
      <c r="Q20" s="1065"/>
      <c r="R20" s="1066"/>
    </row>
    <row r="21" spans="1:18" ht="15" customHeight="1">
      <c r="A21" s="1011" t="s">
        <v>85</v>
      </c>
      <c r="B21" s="1020">
        <v>6087253.8399999999</v>
      </c>
      <c r="C21" s="1020">
        <v>3255119</v>
      </c>
      <c r="D21" s="1761">
        <f t="shared" si="0"/>
        <v>9342372.8399999999</v>
      </c>
      <c r="E21" s="1012"/>
      <c r="F21" s="1015" t="s">
        <v>86</v>
      </c>
      <c r="G21" s="1020">
        <v>4120147.5</v>
      </c>
      <c r="H21" s="1020">
        <v>1866364.32</v>
      </c>
      <c r="I21" s="1761">
        <f t="shared" si="1"/>
        <v>5986511.8200000003</v>
      </c>
      <c r="J21" s="1761"/>
      <c r="K21" s="1759" t="s">
        <v>151</v>
      </c>
      <c r="L21" s="1020">
        <v>992004.76</v>
      </c>
      <c r="M21" s="1020">
        <v>964063.32</v>
      </c>
      <c r="N21" s="1761">
        <f t="shared" si="2"/>
        <v>1956068.08</v>
      </c>
      <c r="P21" s="1065"/>
      <c r="Q21" s="1065"/>
      <c r="R21" s="1066"/>
    </row>
    <row r="22" spans="1:18" ht="15" customHeight="1">
      <c r="A22" s="1011" t="s">
        <v>87</v>
      </c>
      <c r="B22" s="1020">
        <v>4910370.68</v>
      </c>
      <c r="C22" s="1020">
        <v>2943398.63</v>
      </c>
      <c r="D22" s="1761">
        <f t="shared" si="0"/>
        <v>7853769.3099999996</v>
      </c>
      <c r="E22" s="1012"/>
      <c r="F22" s="1015" t="s">
        <v>88</v>
      </c>
      <c r="G22" s="1020">
        <v>107079464.38</v>
      </c>
      <c r="H22" s="1020">
        <v>109126593.64</v>
      </c>
      <c r="I22" s="1761">
        <f t="shared" si="1"/>
        <v>216206058.01999998</v>
      </c>
      <c r="J22" s="1761"/>
      <c r="K22" s="1759" t="s">
        <v>153</v>
      </c>
      <c r="L22" s="1020">
        <v>1568825.38</v>
      </c>
      <c r="M22" s="1020">
        <v>1294570.78</v>
      </c>
      <c r="N22" s="1761">
        <f t="shared" si="2"/>
        <v>2863396.16</v>
      </c>
      <c r="P22" s="1065"/>
      <c r="Q22" s="1065"/>
      <c r="R22" s="1066"/>
    </row>
    <row r="23" spans="1:18" ht="15" customHeight="1">
      <c r="A23" s="1011" t="s">
        <v>89</v>
      </c>
      <c r="B23" s="1020">
        <v>964537.12</v>
      </c>
      <c r="C23" s="1020">
        <v>1668845.95</v>
      </c>
      <c r="D23" s="1761">
        <f t="shared" si="0"/>
        <v>2633383.0699999998</v>
      </c>
      <c r="E23" s="1012"/>
      <c r="F23" s="1015" t="s">
        <v>90</v>
      </c>
      <c r="G23" s="1020">
        <v>6621816.54</v>
      </c>
      <c r="H23" s="1020">
        <v>5960260.4400000004</v>
      </c>
      <c r="I23" s="1761">
        <f t="shared" si="1"/>
        <v>12582076.98</v>
      </c>
      <c r="J23" s="1761"/>
      <c r="K23" s="1759" t="s">
        <v>155</v>
      </c>
      <c r="L23" s="1020">
        <v>7262024.0899999999</v>
      </c>
      <c r="M23" s="1020">
        <v>7073317.2199999997</v>
      </c>
      <c r="N23" s="1761">
        <f t="shared" si="2"/>
        <v>14335341.309999999</v>
      </c>
      <c r="P23" s="1065"/>
      <c r="Q23" s="1065"/>
      <c r="R23" s="1066"/>
    </row>
    <row r="24" spans="1:18" ht="15" customHeight="1">
      <c r="A24" s="1011" t="s">
        <v>91</v>
      </c>
      <c r="B24" s="1020">
        <v>2211145.8199999998</v>
      </c>
      <c r="C24" s="1020">
        <v>953866.65</v>
      </c>
      <c r="D24" s="1761">
        <f t="shared" si="0"/>
        <v>3165012.4699999997</v>
      </c>
      <c r="E24" s="1012"/>
      <c r="F24" s="1015" t="s">
        <v>92</v>
      </c>
      <c r="G24" s="1020">
        <v>2014646.48</v>
      </c>
      <c r="H24" s="1020">
        <v>698832.61</v>
      </c>
      <c r="I24" s="1761">
        <f t="shared" si="1"/>
        <v>2713479.09</v>
      </c>
      <c r="J24" s="1761"/>
      <c r="K24" s="1759" t="s">
        <v>157</v>
      </c>
      <c r="L24" s="1020">
        <v>7837788.2999999998</v>
      </c>
      <c r="M24" s="1020">
        <v>7062817.8399999999</v>
      </c>
      <c r="N24" s="1761">
        <f t="shared" si="2"/>
        <v>14900606.140000001</v>
      </c>
      <c r="P24" s="1065"/>
      <c r="Q24" s="1065"/>
      <c r="R24" s="1066"/>
    </row>
    <row r="25" spans="1:18" ht="24" customHeight="1">
      <c r="A25" s="1011" t="s">
        <v>93</v>
      </c>
      <c r="B25" s="1020">
        <v>76394929.900000006</v>
      </c>
      <c r="C25" s="1020">
        <v>68577943.700000003</v>
      </c>
      <c r="D25" s="1761">
        <f t="shared" si="0"/>
        <v>144972873.60000002</v>
      </c>
      <c r="E25" s="1012"/>
      <c r="F25" s="1015" t="s">
        <v>94</v>
      </c>
      <c r="G25" s="1020">
        <v>2445677.2799999998</v>
      </c>
      <c r="H25" s="1020">
        <v>1569577.49</v>
      </c>
      <c r="I25" s="1761">
        <f t="shared" si="1"/>
        <v>4015254.7699999996</v>
      </c>
      <c r="J25" s="1761"/>
      <c r="K25" s="1759" t="s">
        <v>159</v>
      </c>
      <c r="L25" s="1020">
        <v>9118203.3399999999</v>
      </c>
      <c r="M25" s="1020">
        <v>9960012.5899999999</v>
      </c>
      <c r="N25" s="1761">
        <f t="shared" si="2"/>
        <v>19078215.93</v>
      </c>
      <c r="P25" s="1065"/>
      <c r="Q25" s="1065"/>
      <c r="R25" s="1066"/>
    </row>
    <row r="26" spans="1:18" ht="15" customHeight="1">
      <c r="A26" s="1011" t="s">
        <v>95</v>
      </c>
      <c r="B26" s="1020">
        <v>2688660.38</v>
      </c>
      <c r="C26" s="1020">
        <v>1872678.39</v>
      </c>
      <c r="D26" s="1761">
        <f t="shared" si="0"/>
        <v>4561338.7699999996</v>
      </c>
      <c r="E26" s="1012"/>
      <c r="F26" s="1015" t="s">
        <v>96</v>
      </c>
      <c r="G26" s="1020">
        <v>1297318.24</v>
      </c>
      <c r="H26" s="1020">
        <v>830597.92</v>
      </c>
      <c r="I26" s="1761">
        <f t="shared" si="1"/>
        <v>2127916.16</v>
      </c>
      <c r="J26" s="1761"/>
      <c r="K26" s="1759" t="s">
        <v>161</v>
      </c>
      <c r="L26" s="1020">
        <v>2984465.82</v>
      </c>
      <c r="M26" s="1020">
        <v>1728444.24</v>
      </c>
      <c r="N26" s="1761">
        <f t="shared" si="2"/>
        <v>4712910.0599999996</v>
      </c>
      <c r="P26" s="1065"/>
      <c r="Q26" s="1065"/>
      <c r="R26" s="1066"/>
    </row>
    <row r="27" spans="1:18" ht="15" customHeight="1">
      <c r="A27" s="1011" t="s">
        <v>97</v>
      </c>
      <c r="B27" s="1020">
        <v>857835.86</v>
      </c>
      <c r="C27" s="1020">
        <v>289543.53999999998</v>
      </c>
      <c r="D27" s="1761">
        <f t="shared" si="0"/>
        <v>1147379.3999999999</v>
      </c>
      <c r="E27" s="1012"/>
      <c r="F27" s="1015" t="s">
        <v>98</v>
      </c>
      <c r="G27" s="1020">
        <v>5208289.0199999996</v>
      </c>
      <c r="H27" s="1020">
        <v>7574675.9800000004</v>
      </c>
      <c r="I27" s="1761">
        <f t="shared" si="1"/>
        <v>12782965</v>
      </c>
      <c r="J27" s="1761"/>
      <c r="K27" s="1759" t="s">
        <v>163</v>
      </c>
      <c r="L27" s="1020">
        <v>6765493.5</v>
      </c>
      <c r="M27" s="1020">
        <v>3880351.26</v>
      </c>
      <c r="N27" s="1761">
        <f t="shared" si="2"/>
        <v>10645844.76</v>
      </c>
      <c r="P27" s="1065"/>
      <c r="Q27" s="1065"/>
      <c r="R27" s="1066"/>
    </row>
    <row r="28" spans="1:18" ht="15" customHeight="1">
      <c r="A28" s="1011" t="s">
        <v>99</v>
      </c>
      <c r="B28" s="1020">
        <v>11766718.68</v>
      </c>
      <c r="C28" s="1020">
        <v>10987028.289999999</v>
      </c>
      <c r="D28" s="1761">
        <f t="shared" si="0"/>
        <v>22753746.969999999</v>
      </c>
      <c r="E28" s="1012"/>
      <c r="F28" s="1015" t="s">
        <v>396</v>
      </c>
      <c r="G28" s="1020">
        <v>1547696.46</v>
      </c>
      <c r="H28" s="1020">
        <v>1632467.15</v>
      </c>
      <c r="I28" s="1761">
        <f t="shared" si="1"/>
        <v>3180163.61</v>
      </c>
      <c r="J28" s="1761"/>
      <c r="K28" s="1759" t="s">
        <v>165</v>
      </c>
      <c r="L28" s="1020">
        <v>5261111.46</v>
      </c>
      <c r="M28" s="1020">
        <v>5845791.9699999997</v>
      </c>
      <c r="N28" s="1761">
        <f t="shared" si="2"/>
        <v>11106903.43</v>
      </c>
      <c r="P28" s="1065"/>
      <c r="Q28" s="1065"/>
      <c r="R28" s="1066"/>
    </row>
    <row r="29" spans="1:18" ht="15" customHeight="1">
      <c r="A29" s="1011" t="s">
        <v>101</v>
      </c>
      <c r="B29" s="1020">
        <v>1761098.92</v>
      </c>
      <c r="C29" s="1020">
        <v>863967.5</v>
      </c>
      <c r="D29" s="1761">
        <f t="shared" si="0"/>
        <v>2625066.42</v>
      </c>
      <c r="E29" s="1012"/>
      <c r="F29" s="1015" t="s">
        <v>102</v>
      </c>
      <c r="G29" s="1020">
        <v>13855316.539999999</v>
      </c>
      <c r="H29" s="1020">
        <v>17059879.359999999</v>
      </c>
      <c r="I29" s="1761">
        <f t="shared" si="1"/>
        <v>30915195.899999999</v>
      </c>
      <c r="J29" s="1761"/>
      <c r="K29" s="1759" t="s">
        <v>167</v>
      </c>
      <c r="L29" s="1020">
        <v>15577326.9</v>
      </c>
      <c r="M29" s="1020">
        <v>13579897.630000001</v>
      </c>
      <c r="N29" s="1761">
        <f t="shared" si="2"/>
        <v>29157224.530000001</v>
      </c>
      <c r="P29" s="1065"/>
      <c r="Q29" s="1065"/>
      <c r="R29" s="1066"/>
    </row>
    <row r="30" spans="1:18" ht="24" customHeight="1">
      <c r="A30" s="1011" t="s">
        <v>103</v>
      </c>
      <c r="B30" s="1020">
        <v>2617878.3199999998</v>
      </c>
      <c r="C30" s="1020">
        <v>973813.14</v>
      </c>
      <c r="D30" s="1761">
        <f t="shared" si="0"/>
        <v>3591691.46</v>
      </c>
      <c r="E30" s="1012"/>
      <c r="F30" s="1015" t="s">
        <v>104</v>
      </c>
      <c r="G30" s="1020">
        <v>2455185.3199999998</v>
      </c>
      <c r="H30" s="1020">
        <v>2044021.52</v>
      </c>
      <c r="I30" s="1761">
        <f t="shared" si="1"/>
        <v>4499206.84</v>
      </c>
      <c r="J30" s="1761"/>
      <c r="P30" s="1065"/>
      <c r="Q30" s="1065"/>
      <c r="R30" s="1066"/>
    </row>
    <row r="31" spans="1:18" ht="15" customHeight="1">
      <c r="A31" s="1011" t="s">
        <v>105</v>
      </c>
      <c r="B31" s="1020">
        <v>5325554.74</v>
      </c>
      <c r="C31" s="1020">
        <v>2734465.47</v>
      </c>
      <c r="D31" s="1761">
        <f t="shared" si="0"/>
        <v>8060020.2100000009</v>
      </c>
      <c r="E31" s="1012"/>
      <c r="F31" s="1015" t="s">
        <v>106</v>
      </c>
      <c r="G31" s="1020">
        <v>4239526.1399999997</v>
      </c>
      <c r="H31" s="1020">
        <v>3034685.04</v>
      </c>
      <c r="I31" s="1761">
        <f t="shared" si="1"/>
        <v>7274211.1799999997</v>
      </c>
      <c r="J31" s="1761"/>
      <c r="K31" s="1016" t="s">
        <v>22</v>
      </c>
      <c r="L31" s="1016">
        <f>SUM(B5:B39,G5:G39,L5:L29)</f>
        <v>1209626711.3</v>
      </c>
      <c r="M31" s="1016">
        <f>SUM(C5:C39,H5:H39,M5:M29)</f>
        <v>1100216136.9899998</v>
      </c>
      <c r="N31" s="1016">
        <f>SUM(L31:M31)</f>
        <v>2309842848.29</v>
      </c>
      <c r="P31" s="1065"/>
      <c r="Q31" s="1065"/>
      <c r="R31" s="1066"/>
    </row>
    <row r="32" spans="1:18" ht="15" customHeight="1">
      <c r="A32" s="1011" t="s">
        <v>107</v>
      </c>
      <c r="B32" s="1020">
        <v>1807582.7</v>
      </c>
      <c r="C32" s="1020">
        <v>2640463.59</v>
      </c>
      <c r="D32" s="1761">
        <f t="shared" si="0"/>
        <v>4448046.29</v>
      </c>
      <c r="E32" s="1012"/>
      <c r="F32" s="1015" t="s">
        <v>108</v>
      </c>
      <c r="G32" s="1020">
        <v>2102331.6800000002</v>
      </c>
      <c r="H32" s="1020">
        <v>2488922.0299999998</v>
      </c>
      <c r="I32" s="1761">
        <f t="shared" si="1"/>
        <v>4591253.71</v>
      </c>
      <c r="J32" s="1761"/>
      <c r="K32" s="1761"/>
      <c r="L32" s="1761"/>
      <c r="M32" s="1761"/>
      <c r="N32" s="1017"/>
      <c r="P32" s="1065"/>
      <c r="Q32" s="1065"/>
      <c r="R32" s="1066"/>
    </row>
    <row r="33" spans="1:18" ht="15" customHeight="1">
      <c r="A33" s="1011" t="s">
        <v>109</v>
      </c>
      <c r="B33" s="1020">
        <v>240751839.77000001</v>
      </c>
      <c r="C33" s="1020">
        <v>233022055.58000001</v>
      </c>
      <c r="D33" s="1761">
        <f t="shared" si="0"/>
        <v>473773895.35000002</v>
      </c>
      <c r="E33" s="1012"/>
      <c r="F33" s="1015" t="s">
        <v>110</v>
      </c>
      <c r="G33" s="1020">
        <v>1634325.16</v>
      </c>
      <c r="H33" s="1020">
        <v>1199362.3</v>
      </c>
      <c r="I33" s="1761">
        <f t="shared" si="1"/>
        <v>2833687.46</v>
      </c>
      <c r="J33" s="1761"/>
      <c r="K33" s="1761"/>
      <c r="L33" s="1761"/>
      <c r="M33" s="1761"/>
      <c r="N33" s="1017"/>
      <c r="P33" s="1065"/>
      <c r="Q33" s="1065"/>
      <c r="R33" s="1066"/>
    </row>
    <row r="34" spans="1:18" ht="15" customHeight="1">
      <c r="A34" s="1011" t="s">
        <v>111</v>
      </c>
      <c r="B34" s="1020">
        <v>15362867.960000001</v>
      </c>
      <c r="C34" s="1020">
        <v>14568788.41</v>
      </c>
      <c r="D34" s="1761">
        <f t="shared" si="0"/>
        <v>29931656.370000001</v>
      </c>
      <c r="E34" s="1012"/>
      <c r="F34" s="1015" t="s">
        <v>112</v>
      </c>
      <c r="G34" s="1020">
        <v>2652741.12</v>
      </c>
      <c r="H34" s="1020">
        <v>2139911.4300000002</v>
      </c>
      <c r="I34" s="1761">
        <f t="shared" si="1"/>
        <v>4792652.5500000007</v>
      </c>
      <c r="J34" s="1761"/>
      <c r="K34" s="1761"/>
      <c r="L34" s="1761"/>
      <c r="M34" s="1761"/>
      <c r="N34" s="1017"/>
      <c r="P34" s="1065"/>
      <c r="Q34" s="1065"/>
      <c r="R34" s="1066"/>
    </row>
    <row r="35" spans="1:18" ht="24" customHeight="1">
      <c r="A35" s="1011" t="s">
        <v>113</v>
      </c>
      <c r="B35" s="1020">
        <v>2860861.4</v>
      </c>
      <c r="C35" s="1020">
        <v>1464112.93</v>
      </c>
      <c r="D35" s="1761">
        <f t="shared" si="0"/>
        <v>4324974.33</v>
      </c>
      <c r="E35" s="1012"/>
      <c r="F35" s="1015" t="s">
        <v>114</v>
      </c>
      <c r="G35" s="1020">
        <v>6689429.2400000002</v>
      </c>
      <c r="H35" s="1020">
        <v>5688662.79</v>
      </c>
      <c r="I35" s="1761">
        <f t="shared" si="1"/>
        <v>12378092.030000001</v>
      </c>
      <c r="J35" s="1761"/>
      <c r="K35" s="1761"/>
      <c r="L35" s="1761"/>
      <c r="M35" s="1761"/>
      <c r="N35" s="1017"/>
      <c r="P35" s="1065"/>
      <c r="Q35" s="1065"/>
      <c r="R35" s="1066"/>
    </row>
    <row r="36" spans="1:18" ht="15" customHeight="1">
      <c r="A36" s="1011" t="s">
        <v>115</v>
      </c>
      <c r="B36" s="1020">
        <v>4977983.32</v>
      </c>
      <c r="C36" s="1020">
        <v>2547474.96</v>
      </c>
      <c r="D36" s="1761">
        <f t="shared" si="0"/>
        <v>7525458.2800000003</v>
      </c>
      <c r="E36" s="1012"/>
      <c r="F36" s="1015" t="s">
        <v>116</v>
      </c>
      <c r="G36" s="1020">
        <v>4283896.96</v>
      </c>
      <c r="H36" s="1020">
        <v>2965585.55</v>
      </c>
      <c r="I36" s="1761">
        <f t="shared" si="1"/>
        <v>7249482.5099999998</v>
      </c>
      <c r="J36" s="1761"/>
      <c r="K36" s="1761"/>
      <c r="L36" s="1761"/>
      <c r="M36" s="1761"/>
      <c r="N36" s="1017"/>
      <c r="P36" s="1065"/>
      <c r="Q36" s="1065"/>
      <c r="R36" s="1066"/>
    </row>
    <row r="37" spans="1:18" ht="15" customHeight="1">
      <c r="A37" s="1011" t="s">
        <v>24</v>
      </c>
      <c r="B37" s="1020">
        <v>9902087.8399999999</v>
      </c>
      <c r="C37" s="1020">
        <v>7250756.6900000004</v>
      </c>
      <c r="D37" s="1761">
        <f t="shared" si="0"/>
        <v>17152844.530000001</v>
      </c>
      <c r="E37" s="1012"/>
      <c r="F37" s="1015" t="s">
        <v>117</v>
      </c>
      <c r="G37" s="1020">
        <v>2856635.6</v>
      </c>
      <c r="H37" s="1020">
        <v>1708333.55</v>
      </c>
      <c r="I37" s="1761">
        <f t="shared" si="1"/>
        <v>4564969.1500000004</v>
      </c>
      <c r="J37" s="1761"/>
      <c r="K37" s="1761"/>
      <c r="L37" s="1761"/>
      <c r="M37" s="1761"/>
      <c r="N37" s="1017"/>
      <c r="P37" s="1065"/>
      <c r="Q37" s="1065"/>
      <c r="R37" s="1066"/>
    </row>
    <row r="38" spans="1:18" ht="15" customHeight="1">
      <c r="A38" s="1011" t="s">
        <v>118</v>
      </c>
      <c r="B38" s="1020">
        <v>18711808.379999999</v>
      </c>
      <c r="C38" s="1020">
        <v>20990831.75</v>
      </c>
      <c r="D38" s="1761">
        <f t="shared" si="0"/>
        <v>39702640.129999995</v>
      </c>
      <c r="E38" s="1012"/>
      <c r="F38" s="1015" t="s">
        <v>119</v>
      </c>
      <c r="G38" s="1020">
        <v>10845495.960000001</v>
      </c>
      <c r="H38" s="1020">
        <v>3943934.92</v>
      </c>
      <c r="I38" s="1761">
        <f t="shared" si="1"/>
        <v>14789430.880000001</v>
      </c>
      <c r="J38" s="1761"/>
      <c r="K38" s="1761"/>
      <c r="L38" s="1761"/>
      <c r="M38" s="1761"/>
      <c r="N38" s="1017"/>
      <c r="P38" s="1065"/>
      <c r="Q38" s="1065"/>
      <c r="R38" s="1066"/>
    </row>
    <row r="39" spans="1:18" ht="15" customHeight="1">
      <c r="A39" s="1018" t="s">
        <v>120</v>
      </c>
      <c r="B39" s="1762">
        <v>3197868.34</v>
      </c>
      <c r="C39" s="1762">
        <v>2508391.31</v>
      </c>
      <c r="D39" s="1763">
        <f t="shared" si="0"/>
        <v>5706259.6500000004</v>
      </c>
      <c r="E39" s="1012"/>
      <c r="F39" s="1764" t="s">
        <v>121</v>
      </c>
      <c r="G39" s="1762">
        <v>5115321.57</v>
      </c>
      <c r="H39" s="1762">
        <v>4988103.6900000004</v>
      </c>
      <c r="I39" s="1763">
        <f t="shared" si="1"/>
        <v>10103425.260000002</v>
      </c>
      <c r="J39" s="1761"/>
      <c r="K39" s="1761"/>
      <c r="L39" s="1761"/>
      <c r="M39" s="1761"/>
      <c r="N39" s="1017"/>
      <c r="P39" s="1065"/>
      <c r="Q39" s="1065"/>
      <c r="R39" s="1066"/>
    </row>
    <row r="40" spans="1:18" ht="11.15" customHeight="1">
      <c r="A40" s="1003"/>
      <c r="B40" s="1765"/>
      <c r="C40" s="1765"/>
      <c r="D40" s="1765"/>
      <c r="E40" s="1766"/>
      <c r="F40" s="1766"/>
      <c r="G40" s="1765"/>
      <c r="H40" s="1765"/>
      <c r="I40" s="1765"/>
      <c r="J40" s="1765"/>
      <c r="K40" s="1765"/>
      <c r="L40" s="1765"/>
      <c r="M40" s="1765"/>
      <c r="P40" s="1065"/>
      <c r="Q40" s="1065"/>
      <c r="R40" s="1066"/>
    </row>
    <row r="41" spans="1:18" ht="18">
      <c r="A41" s="996" t="s">
        <v>53</v>
      </c>
      <c r="B41" s="1767"/>
      <c r="C41" s="1768"/>
      <c r="D41" s="1768"/>
      <c r="E41" s="1769"/>
      <c r="F41" s="1769"/>
      <c r="G41" s="1768"/>
      <c r="H41" s="1768"/>
      <c r="I41" s="1768"/>
      <c r="J41" s="1768"/>
      <c r="K41" s="1768"/>
      <c r="L41" s="1768"/>
      <c r="M41" s="1768"/>
      <c r="P41" s="1065"/>
      <c r="Q41" s="1065"/>
      <c r="R41" s="1066"/>
    </row>
    <row r="42" spans="1:18">
      <c r="A42" s="1003" t="str">
        <f>A2</f>
        <v>Local Sales Tax Distribution - Fiscal Year 2022</v>
      </c>
      <c r="B42" s="1767"/>
      <c r="C42" s="1765"/>
      <c r="D42" s="1765"/>
      <c r="E42" s="1766"/>
      <c r="F42" s="1766"/>
      <c r="G42" s="1765"/>
      <c r="H42" s="1765"/>
      <c r="I42" s="1765"/>
      <c r="J42" s="1765"/>
      <c r="K42" s="1765"/>
      <c r="L42" s="1765"/>
      <c r="M42" s="1765"/>
      <c r="P42" s="1065"/>
      <c r="Q42" s="1065"/>
      <c r="R42" s="1066"/>
    </row>
    <row r="43" spans="1:18" ht="11.15" customHeight="1" thickBot="1">
      <c r="A43" s="1005"/>
      <c r="B43" s="1006"/>
      <c r="C43" s="1006"/>
      <c r="D43" s="1006"/>
      <c r="E43" s="1015"/>
      <c r="F43" s="1005"/>
      <c r="G43" s="1006"/>
      <c r="H43" s="1006"/>
      <c r="I43" s="1006"/>
      <c r="J43" s="1008"/>
      <c r="K43" s="1005"/>
      <c r="L43" s="1006"/>
      <c r="M43" s="1006"/>
      <c r="N43" s="1006"/>
      <c r="P43" s="1065"/>
      <c r="Q43" s="1065"/>
      <c r="R43" s="1066"/>
    </row>
    <row r="44" spans="1:18" ht="21">
      <c r="A44" s="1009" t="s">
        <v>23</v>
      </c>
      <c r="B44" s="1010" t="s">
        <v>1048</v>
      </c>
      <c r="C44" s="1010" t="s">
        <v>948</v>
      </c>
      <c r="D44" s="1010" t="s">
        <v>1049</v>
      </c>
      <c r="E44" s="1015"/>
      <c r="F44" s="1009" t="s">
        <v>23</v>
      </c>
      <c r="G44" s="1010" t="s">
        <v>1048</v>
      </c>
      <c r="H44" s="1010" t="s">
        <v>948</v>
      </c>
      <c r="I44" s="1010" t="s">
        <v>1049</v>
      </c>
      <c r="J44" s="1008"/>
      <c r="K44" s="1009" t="s">
        <v>23</v>
      </c>
      <c r="L44" s="1010" t="s">
        <v>1048</v>
      </c>
      <c r="M44" s="1010" t="s">
        <v>948</v>
      </c>
      <c r="N44" s="1010" t="s">
        <v>1049</v>
      </c>
      <c r="P44" s="1065"/>
      <c r="Q44" s="1065"/>
      <c r="R44" s="1066"/>
    </row>
    <row r="45" spans="1:18" ht="15" customHeight="1">
      <c r="A45" s="1011" t="s">
        <v>172</v>
      </c>
      <c r="B45" s="1760">
        <v>22030111.780000001</v>
      </c>
      <c r="C45" s="1760">
        <v>35871704.009999998</v>
      </c>
      <c r="D45" s="1759">
        <f t="shared" ref="D45:D59" si="3">SUM(B45:C45)</f>
        <v>57901815.789999999</v>
      </c>
      <c r="E45" s="1012"/>
      <c r="F45" s="1015" t="s">
        <v>142</v>
      </c>
      <c r="G45" s="1020">
        <v>7499724.9000000004</v>
      </c>
      <c r="H45" s="1020">
        <v>17611247.719999999</v>
      </c>
      <c r="I45" s="1761">
        <f t="shared" ref="I45:I59" si="4">SUM(G45:H45)</f>
        <v>25110972.619999997</v>
      </c>
      <c r="J45" s="1759"/>
      <c r="K45" s="1015" t="s">
        <v>25</v>
      </c>
      <c r="L45" s="1020">
        <v>19121710.239999998</v>
      </c>
      <c r="M45" s="1020">
        <v>26219330.399999999</v>
      </c>
      <c r="N45" s="1761">
        <f t="shared" ref="N45:N52" si="5">SUM(L45:M45)</f>
        <v>45341040.640000001</v>
      </c>
      <c r="P45" s="1065"/>
      <c r="Q45" s="1065"/>
      <c r="R45" s="1066"/>
    </row>
    <row r="46" spans="1:18" ht="15" customHeight="1">
      <c r="A46" s="1011" t="s">
        <v>174</v>
      </c>
      <c r="B46" s="1020">
        <v>3156666.9</v>
      </c>
      <c r="C46" s="1020">
        <v>5054702.57</v>
      </c>
      <c r="D46" s="1761">
        <f t="shared" si="3"/>
        <v>8211369.4700000007</v>
      </c>
      <c r="E46" s="1012"/>
      <c r="F46" s="1015" t="s">
        <v>144</v>
      </c>
      <c r="G46" s="1020">
        <v>5092079.74</v>
      </c>
      <c r="H46" s="1020">
        <v>2534561.84</v>
      </c>
      <c r="I46" s="1761">
        <f t="shared" si="4"/>
        <v>7626641.5800000001</v>
      </c>
      <c r="J46" s="1761"/>
      <c r="K46" s="1015" t="s">
        <v>169</v>
      </c>
      <c r="L46" s="1020">
        <v>4640976.4000000004</v>
      </c>
      <c r="M46" s="1020">
        <v>8951466.7899999991</v>
      </c>
      <c r="N46" s="1761">
        <f t="shared" si="5"/>
        <v>13592443.189999999</v>
      </c>
      <c r="P46" s="1065"/>
      <c r="Q46" s="1065"/>
      <c r="R46" s="1066"/>
    </row>
    <row r="47" spans="1:18" ht="15" customHeight="1">
      <c r="A47" s="1011" t="s">
        <v>176</v>
      </c>
      <c r="B47" s="1020">
        <v>1126173.6399999999</v>
      </c>
      <c r="C47" s="1020">
        <v>524432.17000000004</v>
      </c>
      <c r="D47" s="1761">
        <f t="shared" si="3"/>
        <v>1650605.81</v>
      </c>
      <c r="E47" s="1012"/>
      <c r="F47" s="1015" t="s">
        <v>146</v>
      </c>
      <c r="G47" s="1020">
        <v>793392.52</v>
      </c>
      <c r="H47" s="1020">
        <v>1365385.97</v>
      </c>
      <c r="I47" s="1761">
        <f t="shared" si="4"/>
        <v>2158778.4900000002</v>
      </c>
      <c r="J47" s="1761"/>
      <c r="K47" s="1015" t="s">
        <v>170</v>
      </c>
      <c r="L47" s="1020">
        <v>4157123.2</v>
      </c>
      <c r="M47" s="1020">
        <v>5386654.5199999996</v>
      </c>
      <c r="N47" s="1761">
        <f t="shared" si="5"/>
        <v>9543777.7199999988</v>
      </c>
      <c r="P47" s="1065"/>
      <c r="Q47" s="1065"/>
      <c r="R47" s="1066"/>
    </row>
    <row r="48" spans="1:18" ht="15" customHeight="1">
      <c r="A48" s="1011" t="s">
        <v>178</v>
      </c>
      <c r="B48" s="1020">
        <v>6411583.3799999999</v>
      </c>
      <c r="C48" s="1020">
        <v>14236023.91</v>
      </c>
      <c r="D48" s="1761">
        <f t="shared" si="3"/>
        <v>20647607.289999999</v>
      </c>
      <c r="E48" s="1012"/>
      <c r="F48" s="1015" t="s">
        <v>148</v>
      </c>
      <c r="G48" s="1020">
        <v>13442245.369999999</v>
      </c>
      <c r="H48" s="1020">
        <v>20473941.84</v>
      </c>
      <c r="I48" s="1761">
        <f t="shared" si="4"/>
        <v>33916187.210000001</v>
      </c>
      <c r="J48" s="1761"/>
      <c r="K48" s="1015" t="s">
        <v>171</v>
      </c>
      <c r="L48" s="1020">
        <v>19943626.780000001</v>
      </c>
      <c r="M48" s="1020">
        <v>16251098.58</v>
      </c>
      <c r="N48" s="1761">
        <f t="shared" si="5"/>
        <v>36194725.359999999</v>
      </c>
      <c r="P48" s="1065"/>
      <c r="Q48" s="1065"/>
      <c r="R48" s="1066"/>
    </row>
    <row r="49" spans="1:19" ht="24" customHeight="1">
      <c r="A49" s="1011" t="s">
        <v>123</v>
      </c>
      <c r="B49" s="1020">
        <v>54564486.840000004</v>
      </c>
      <c r="C49" s="1020">
        <v>54669045.189999998</v>
      </c>
      <c r="D49" s="1761">
        <f t="shared" si="3"/>
        <v>109233532.03</v>
      </c>
      <c r="E49" s="1012"/>
      <c r="F49" s="1015" t="s">
        <v>150</v>
      </c>
      <c r="G49" s="1020">
        <v>9325267.2200000007</v>
      </c>
      <c r="H49" s="1020">
        <v>11494944.16</v>
      </c>
      <c r="I49" s="1761">
        <f t="shared" si="4"/>
        <v>20820211.380000003</v>
      </c>
      <c r="J49" s="1761"/>
      <c r="K49" s="1015" t="s">
        <v>26</v>
      </c>
      <c r="L49" s="1020">
        <v>87791891.799999997</v>
      </c>
      <c r="M49" s="1020">
        <v>87389210.549999997</v>
      </c>
      <c r="N49" s="1761">
        <f t="shared" si="5"/>
        <v>175181102.34999999</v>
      </c>
      <c r="P49" s="1065"/>
      <c r="Q49" s="1065"/>
      <c r="R49" s="1066"/>
    </row>
    <row r="50" spans="1:19" ht="15" customHeight="1">
      <c r="A50" s="1011" t="s">
        <v>125</v>
      </c>
      <c r="B50" s="1770">
        <v>3527480.16</v>
      </c>
      <c r="C50" s="1770">
        <v>9376226.5099999998</v>
      </c>
      <c r="D50" s="1759">
        <f t="shared" si="3"/>
        <v>12903706.67</v>
      </c>
      <c r="E50" s="1012"/>
      <c r="F50" s="1015" t="s">
        <v>152</v>
      </c>
      <c r="G50" s="1020">
        <v>3955341.6</v>
      </c>
      <c r="H50" s="1020">
        <v>3102546.8</v>
      </c>
      <c r="I50" s="1761">
        <f t="shared" si="4"/>
        <v>7057888.4000000004</v>
      </c>
      <c r="J50" s="1761"/>
      <c r="K50" s="1015" t="s">
        <v>173</v>
      </c>
      <c r="L50" s="1020">
        <v>4469831.8</v>
      </c>
      <c r="M50" s="1020">
        <v>6783526.5499999998</v>
      </c>
      <c r="N50" s="1761">
        <f t="shared" si="5"/>
        <v>11253358.35</v>
      </c>
      <c r="P50" s="1065"/>
      <c r="Q50" s="1065"/>
      <c r="R50" s="1066"/>
    </row>
    <row r="51" spans="1:19" ht="15" customHeight="1">
      <c r="A51" s="1011" t="s">
        <v>127</v>
      </c>
      <c r="B51" s="1020">
        <v>1106101.1599999999</v>
      </c>
      <c r="C51" s="1020">
        <v>1642527.12</v>
      </c>
      <c r="D51" s="1761">
        <f t="shared" si="3"/>
        <v>2748628.2800000003</v>
      </c>
      <c r="E51" s="1012"/>
      <c r="F51" s="1015" t="s">
        <v>154</v>
      </c>
      <c r="G51" s="1020">
        <v>2823885.7</v>
      </c>
      <c r="H51" s="1020">
        <v>2766036.67</v>
      </c>
      <c r="I51" s="1761">
        <f t="shared" si="4"/>
        <v>5589922.3700000001</v>
      </c>
      <c r="J51" s="1761"/>
      <c r="K51" s="1015" t="s">
        <v>175</v>
      </c>
      <c r="L51" s="1020">
        <v>1527623.94</v>
      </c>
      <c r="M51" s="1020">
        <v>4970180.9000000004</v>
      </c>
      <c r="N51" s="1761">
        <f t="shared" si="5"/>
        <v>6497804.8399999999</v>
      </c>
      <c r="P51" s="1065"/>
      <c r="Q51" s="1065"/>
      <c r="R51" s="1066"/>
    </row>
    <row r="52" spans="1:19" ht="15" customHeight="1">
      <c r="A52" s="1011" t="s">
        <v>129</v>
      </c>
      <c r="B52" s="1020">
        <v>7761724.04</v>
      </c>
      <c r="C52" s="1020">
        <v>10882533.91</v>
      </c>
      <c r="D52" s="1761">
        <f t="shared" si="3"/>
        <v>18644257.949999999</v>
      </c>
      <c r="E52" s="1012"/>
      <c r="F52" s="1015" t="s">
        <v>156</v>
      </c>
      <c r="G52" s="1020">
        <v>34860673.719999999</v>
      </c>
      <c r="H52" s="1020">
        <v>32705424.969999999</v>
      </c>
      <c r="I52" s="1761">
        <f t="shared" si="4"/>
        <v>67566098.689999998</v>
      </c>
      <c r="J52" s="1761"/>
      <c r="K52" s="1015" t="s">
        <v>177</v>
      </c>
      <c r="L52" s="1020">
        <v>5601287.7000000002</v>
      </c>
      <c r="M52" s="1020">
        <v>11990438.689999999</v>
      </c>
      <c r="N52" s="1761">
        <f t="shared" si="5"/>
        <v>17591726.390000001</v>
      </c>
      <c r="P52" s="1065"/>
      <c r="Q52" s="1065"/>
      <c r="R52" s="1066"/>
    </row>
    <row r="53" spans="1:19" ht="24" customHeight="1">
      <c r="A53" s="1013" t="s">
        <v>131</v>
      </c>
      <c r="B53" s="1020">
        <v>1277245.74</v>
      </c>
      <c r="C53" s="1020">
        <v>3323197.99</v>
      </c>
      <c r="D53" s="1761">
        <f t="shared" si="3"/>
        <v>4600443.7300000004</v>
      </c>
      <c r="E53" s="1012"/>
      <c r="F53" s="1015" t="s">
        <v>158</v>
      </c>
      <c r="G53" s="1020">
        <v>38270888.100000001</v>
      </c>
      <c r="H53" s="1020">
        <v>42433403.710000001</v>
      </c>
      <c r="I53" s="1761">
        <f t="shared" si="4"/>
        <v>80704291.810000002</v>
      </c>
      <c r="J53" s="1761"/>
      <c r="K53" s="1015"/>
      <c r="L53" s="1020"/>
      <c r="M53" s="1020"/>
      <c r="N53" s="1761"/>
      <c r="P53" s="1065"/>
      <c r="Q53" s="1065"/>
      <c r="R53" s="1066"/>
    </row>
    <row r="54" spans="1:19" ht="15" customHeight="1">
      <c r="A54" s="1013" t="s">
        <v>109</v>
      </c>
      <c r="B54" s="1020">
        <v>4274388.9400000004</v>
      </c>
      <c r="C54" s="1020">
        <v>12864230.42</v>
      </c>
      <c r="D54" s="1761">
        <f t="shared" si="3"/>
        <v>17138619.359999999</v>
      </c>
      <c r="E54" s="1012"/>
      <c r="F54" s="1015" t="s">
        <v>160</v>
      </c>
      <c r="G54" s="1020">
        <v>868400.32</v>
      </c>
      <c r="H54" s="1020">
        <v>1881604.82</v>
      </c>
      <c r="I54" s="1761">
        <f t="shared" si="4"/>
        <v>2750005.14</v>
      </c>
      <c r="J54" s="1761"/>
      <c r="K54" s="1021" t="s">
        <v>27</v>
      </c>
      <c r="L54" s="1022">
        <f>SUM(B45:B59,G45:G59,L45:L52)</f>
        <v>465363265.90999997</v>
      </c>
      <c r="M54" s="1022">
        <f>SUM(C45:C59,H45:H59,M45:M52)</f>
        <v>562680858.31999993</v>
      </c>
      <c r="N54" s="1022">
        <f>SUM(L54:M54)</f>
        <v>1028044124.2299999</v>
      </c>
      <c r="P54" s="1065"/>
      <c r="Q54" s="1065"/>
      <c r="R54" s="1066"/>
    </row>
    <row r="55" spans="1:19" ht="15" customHeight="1">
      <c r="A55" s="1013" t="s">
        <v>133</v>
      </c>
      <c r="B55" s="1020">
        <v>3309851.84</v>
      </c>
      <c r="C55" s="1020">
        <v>6248178.21</v>
      </c>
      <c r="D55" s="1761">
        <f t="shared" si="3"/>
        <v>9558030.0500000007</v>
      </c>
      <c r="E55" s="1012"/>
      <c r="F55" s="1015" t="s">
        <v>162</v>
      </c>
      <c r="G55" s="1020">
        <v>5303369.34</v>
      </c>
      <c r="H55" s="1020">
        <v>4849299.22</v>
      </c>
      <c r="I55" s="1761">
        <f t="shared" si="4"/>
        <v>10152668.559999999</v>
      </c>
      <c r="J55" s="1761"/>
      <c r="P55" s="1065"/>
      <c r="Q55" s="1065"/>
      <c r="R55" s="1066"/>
    </row>
    <row r="56" spans="1:19" ht="15" customHeight="1">
      <c r="A56" s="1013" t="s">
        <v>24</v>
      </c>
      <c r="B56" s="1020">
        <v>1814977.8</v>
      </c>
      <c r="C56" s="1020">
        <v>2165446.7999999998</v>
      </c>
      <c r="D56" s="1761">
        <f t="shared" si="3"/>
        <v>3980424.5999999996</v>
      </c>
      <c r="E56" s="1012"/>
      <c r="F56" s="1015" t="s">
        <v>164</v>
      </c>
      <c r="G56" s="1020">
        <v>2703450.66</v>
      </c>
      <c r="H56" s="1020">
        <v>1025719.52</v>
      </c>
      <c r="I56" s="1761">
        <f t="shared" si="4"/>
        <v>3729170.18</v>
      </c>
      <c r="J56" s="1761"/>
      <c r="K56" s="1022" t="s">
        <v>22</v>
      </c>
      <c r="L56" s="1022">
        <f>L31</f>
        <v>1209626711.3</v>
      </c>
      <c r="M56" s="1022">
        <f>M31</f>
        <v>1100216136.9899998</v>
      </c>
      <c r="N56" s="1022">
        <f>SUM(L56:M56)</f>
        <v>2309842848.29</v>
      </c>
      <c r="P56" s="1065"/>
      <c r="Q56" s="1065"/>
      <c r="R56" s="1066"/>
    </row>
    <row r="57" spans="1:19" ht="24" customHeight="1">
      <c r="A57" s="1013" t="s">
        <v>136</v>
      </c>
      <c r="B57" s="1020">
        <v>5018128.38</v>
      </c>
      <c r="C57" s="1020">
        <v>15237156.310000001</v>
      </c>
      <c r="D57" s="1761">
        <f t="shared" si="3"/>
        <v>20255284.690000001</v>
      </c>
      <c r="E57" s="1012"/>
      <c r="F57" s="1015" t="s">
        <v>166</v>
      </c>
      <c r="G57" s="1020">
        <v>18165624.719999999</v>
      </c>
      <c r="H57" s="1020">
        <v>10487135.68</v>
      </c>
      <c r="I57" s="1761">
        <f t="shared" si="4"/>
        <v>28652760.399999999</v>
      </c>
      <c r="J57" s="1761"/>
      <c r="K57" s="998"/>
      <c r="L57" s="998"/>
      <c r="M57" s="998"/>
      <c r="P57" s="1065"/>
      <c r="Q57" s="1065"/>
      <c r="R57" s="1066"/>
    </row>
    <row r="58" spans="1:19" ht="15" customHeight="1">
      <c r="A58" s="1013" t="s">
        <v>138</v>
      </c>
      <c r="B58" s="1020">
        <v>1469519.32</v>
      </c>
      <c r="C58" s="1020">
        <v>2913386.35</v>
      </c>
      <c r="D58" s="1761">
        <f t="shared" si="3"/>
        <v>4382905.67</v>
      </c>
      <c r="E58" s="1012"/>
      <c r="F58" s="1015" t="s">
        <v>168</v>
      </c>
      <c r="G58" s="1020">
        <v>2063243.06</v>
      </c>
      <c r="H58" s="1020">
        <v>1471749.07</v>
      </c>
      <c r="I58" s="1761">
        <f t="shared" si="4"/>
        <v>3534992.13</v>
      </c>
      <c r="J58" s="1761"/>
      <c r="K58" s="1021" t="s">
        <v>28</v>
      </c>
      <c r="L58" s="1022">
        <f>SUM(L54:L56)</f>
        <v>1674989977.21</v>
      </c>
      <c r="M58" s="1022">
        <f>SUM(M54:M56)</f>
        <v>1662896995.3099997</v>
      </c>
      <c r="N58" s="1022">
        <f>SUM(N54:N56)</f>
        <v>3337886972.52</v>
      </c>
      <c r="P58" s="1065"/>
      <c r="Q58" s="1065"/>
      <c r="R58" s="1066"/>
    </row>
    <row r="59" spans="1:19" ht="15" customHeight="1">
      <c r="A59" s="1018" t="s">
        <v>140</v>
      </c>
      <c r="B59" s="1762">
        <v>24716659.239999998</v>
      </c>
      <c r="C59" s="1762">
        <v>20837770.489999998</v>
      </c>
      <c r="D59" s="1763">
        <f t="shared" si="3"/>
        <v>45554429.729999997</v>
      </c>
      <c r="E59" s="1012"/>
      <c r="F59" s="1764" t="s">
        <v>132</v>
      </c>
      <c r="G59" s="1762">
        <v>31376507.920000002</v>
      </c>
      <c r="H59" s="1762">
        <v>44689387.390000001</v>
      </c>
      <c r="I59" s="1763">
        <f t="shared" si="4"/>
        <v>76065895.310000002</v>
      </c>
      <c r="J59" s="1761"/>
      <c r="K59" s="1761"/>
      <c r="L59" s="1761"/>
      <c r="M59" s="1761"/>
      <c r="N59" s="1017"/>
      <c r="P59" s="1065"/>
      <c r="Q59" s="1065"/>
      <c r="R59" s="1066"/>
    </row>
    <row r="60" spans="1:19" ht="11.15" customHeight="1">
      <c r="A60" s="1023"/>
      <c r="B60" s="1765"/>
      <c r="C60" s="1765"/>
      <c r="D60" s="1765"/>
      <c r="E60" s="1766"/>
      <c r="J60" s="998"/>
      <c r="K60" s="998"/>
      <c r="L60" s="998"/>
      <c r="M60" s="998"/>
      <c r="P60" s="1065"/>
      <c r="Q60" s="1065"/>
      <c r="R60" s="1066"/>
    </row>
    <row r="61" spans="1:19" s="1344" customFormat="1" ht="11" hidden="1" customHeight="1">
      <c r="A61" s="1343" t="s">
        <v>18</v>
      </c>
      <c r="B61" s="1771"/>
      <c r="C61" s="1771"/>
      <c r="D61" s="1771"/>
      <c r="E61" s="1772"/>
      <c r="F61" s="1773"/>
      <c r="G61" s="1771"/>
      <c r="H61" s="1771"/>
      <c r="I61" s="1771"/>
      <c r="J61" s="1771"/>
      <c r="K61" s="1771"/>
      <c r="L61" s="1771"/>
      <c r="M61" s="1771"/>
      <c r="N61" s="1772"/>
      <c r="R61" s="1345"/>
    </row>
    <row r="62" spans="1:19" s="1344" customFormat="1" ht="11" hidden="1" customHeight="1">
      <c r="A62" s="1346"/>
      <c r="B62" s="1774"/>
      <c r="C62" s="1774"/>
      <c r="D62" s="1774"/>
      <c r="E62" s="1772"/>
      <c r="F62" s="1775"/>
      <c r="G62" s="1774"/>
      <c r="H62" s="1935"/>
      <c r="I62" s="1936"/>
      <c r="J62" s="1776"/>
      <c r="K62" s="1776"/>
      <c r="L62" s="1776"/>
      <c r="M62" s="1776"/>
      <c r="N62" s="1772"/>
      <c r="R62" s="1345"/>
    </row>
    <row r="63" spans="1:19">
      <c r="A63" s="862" t="s">
        <v>991</v>
      </c>
      <c r="B63" s="1024"/>
      <c r="C63" s="1024"/>
      <c r="D63" s="1024"/>
      <c r="E63" s="1024"/>
      <c r="F63" s="1561"/>
      <c r="G63" s="1561"/>
      <c r="H63" s="1561"/>
      <c r="I63" s="1561"/>
      <c r="J63" s="1561"/>
      <c r="K63" s="1561"/>
      <c r="L63" s="1561"/>
      <c r="M63" s="1561"/>
      <c r="N63" s="1561"/>
      <c r="O63" s="772"/>
      <c r="P63" s="1065"/>
      <c r="Q63" s="1065"/>
      <c r="R63" s="1066"/>
      <c r="S63" s="772"/>
    </row>
    <row r="64" spans="1:19" s="772" customFormat="1" ht="12.75" customHeight="1">
      <c r="A64" s="1019"/>
      <c r="B64" s="1765"/>
      <c r="C64" s="1765"/>
      <c r="D64" s="1765"/>
      <c r="E64" s="1766"/>
      <c r="F64" s="1766"/>
      <c r="G64" s="1765"/>
      <c r="H64" s="1765"/>
      <c r="I64" s="1765"/>
      <c r="J64" s="1765"/>
      <c r="K64" s="1765"/>
      <c r="L64" s="1765"/>
      <c r="M64" s="1765"/>
      <c r="N64" s="998"/>
      <c r="O64" s="998"/>
      <c r="P64" s="1065"/>
      <c r="Q64" s="1065"/>
      <c r="R64" s="1066"/>
      <c r="S64" s="998"/>
    </row>
    <row r="65" spans="1:18">
      <c r="A65" s="1019"/>
      <c r="B65" s="1765"/>
      <c r="C65" s="1765"/>
      <c r="D65" s="1765"/>
      <c r="E65" s="1766"/>
      <c r="F65" s="1766"/>
      <c r="G65" s="1765"/>
      <c r="H65" s="1765"/>
      <c r="I65" s="1765"/>
      <c r="J65" s="1765"/>
      <c r="K65" s="1765"/>
      <c r="L65" s="1765"/>
      <c r="M65" s="1765"/>
      <c r="P65" s="1065"/>
      <c r="Q65" s="1065"/>
      <c r="R65" s="1066"/>
    </row>
    <row r="66" spans="1:18">
      <c r="A66" s="1019"/>
      <c r="B66" s="1765"/>
      <c r="C66" s="1765"/>
      <c r="D66" s="1765"/>
      <c r="E66" s="1766"/>
      <c r="F66" s="1766"/>
      <c r="G66" s="1765"/>
      <c r="H66" s="1765"/>
      <c r="I66" s="1765"/>
      <c r="J66" s="1765"/>
      <c r="K66" s="1765"/>
      <c r="L66" s="1765"/>
      <c r="M66" s="1765"/>
      <c r="P66" s="1065"/>
      <c r="Q66" s="1065"/>
      <c r="R66" s="1066"/>
    </row>
    <row r="67" spans="1:18">
      <c r="A67" s="1019"/>
      <c r="B67" s="1765"/>
      <c r="C67" s="1765"/>
      <c r="D67" s="1765"/>
      <c r="E67" s="1766"/>
      <c r="F67" s="1766"/>
      <c r="G67" s="1765"/>
      <c r="H67" s="1765"/>
      <c r="I67" s="1765"/>
      <c r="J67" s="1765"/>
      <c r="K67" s="1765"/>
      <c r="L67" s="1765"/>
      <c r="M67" s="1765"/>
      <c r="P67" s="1065"/>
      <c r="Q67" s="1065"/>
      <c r="R67" s="1066"/>
    </row>
    <row r="68" spans="1:18">
      <c r="A68" s="1019"/>
      <c r="B68" s="1765"/>
      <c r="C68" s="1765"/>
      <c r="D68" s="1765"/>
      <c r="E68" s="1766"/>
      <c r="F68" s="1766"/>
      <c r="G68" s="1765"/>
      <c r="H68" s="1765"/>
      <c r="I68" s="1765"/>
      <c r="J68" s="1765"/>
      <c r="K68" s="1765"/>
      <c r="L68" s="1765"/>
      <c r="M68" s="1765"/>
      <c r="P68" s="1065"/>
      <c r="Q68" s="1065"/>
      <c r="R68" s="1066"/>
    </row>
    <row r="69" spans="1:18">
      <c r="A69" s="1019"/>
      <c r="B69" s="1765"/>
      <c r="C69" s="1765"/>
      <c r="D69" s="1765"/>
      <c r="E69" s="1766"/>
      <c r="F69" s="1766"/>
      <c r="G69" s="1765"/>
      <c r="H69" s="1765"/>
      <c r="I69" s="1765"/>
      <c r="J69" s="1765"/>
      <c r="K69" s="1765"/>
      <c r="L69" s="1765"/>
      <c r="M69" s="1765"/>
      <c r="P69" s="1065"/>
      <c r="Q69" s="1065"/>
      <c r="R69" s="1066"/>
    </row>
    <row r="70" spans="1:18">
      <c r="A70" s="1019"/>
      <c r="B70" s="1765"/>
      <c r="C70" s="1765"/>
      <c r="D70" s="1765"/>
      <c r="E70" s="1766"/>
      <c r="F70" s="1766"/>
      <c r="G70" s="1765"/>
      <c r="H70" s="1765"/>
      <c r="I70" s="1765"/>
      <c r="J70" s="1765"/>
      <c r="K70" s="1765"/>
      <c r="L70" s="1765"/>
      <c r="M70" s="1765"/>
      <c r="P70" s="1065"/>
      <c r="Q70" s="1065"/>
      <c r="R70" s="1066"/>
    </row>
    <row r="71" spans="1:18" s="1002" customFormat="1">
      <c r="A71" s="1497"/>
      <c r="B71" s="997"/>
      <c r="C71" s="997"/>
      <c r="D71" s="997"/>
      <c r="E71" s="998"/>
      <c r="F71" s="1766"/>
      <c r="G71" s="1765"/>
      <c r="H71" s="1765"/>
      <c r="I71" s="1765"/>
      <c r="J71" s="1765"/>
      <c r="K71" s="1765"/>
      <c r="L71" s="1765"/>
      <c r="M71" s="1765"/>
      <c r="N71" s="998"/>
      <c r="P71" s="1488"/>
      <c r="Q71" s="1488"/>
      <c r="R71" s="1493"/>
    </row>
    <row r="72" spans="1:18" s="1490" customFormat="1" ht="11" customHeight="1">
      <c r="A72" s="1492"/>
      <c r="B72" s="1774"/>
      <c r="C72" s="1774"/>
      <c r="D72" s="1774"/>
      <c r="E72" s="1772"/>
      <c r="F72" s="1775"/>
      <c r="G72" s="1774"/>
      <c r="H72" s="1935"/>
      <c r="I72" s="1936"/>
      <c r="J72" s="1776"/>
      <c r="K72" s="1776"/>
      <c r="L72" s="1776"/>
      <c r="M72" s="1776"/>
      <c r="N72" s="1772"/>
      <c r="R72" s="1664"/>
    </row>
    <row r="73" spans="1:18">
      <c r="P73" s="1065"/>
      <c r="Q73" s="1065"/>
      <c r="R73" s="1066"/>
    </row>
    <row r="74" spans="1:18">
      <c r="P74" s="1065"/>
      <c r="Q74" s="1065"/>
      <c r="R74" s="1066"/>
    </row>
    <row r="75" spans="1:18">
      <c r="P75" s="1065"/>
      <c r="Q75" s="1065"/>
      <c r="R75" s="1066"/>
    </row>
    <row r="76" spans="1:18">
      <c r="P76" s="1065"/>
      <c r="Q76" s="1065"/>
      <c r="R76" s="1066"/>
    </row>
    <row r="77" spans="1:18">
      <c r="P77" s="1065"/>
      <c r="Q77" s="1065"/>
      <c r="R77" s="1066"/>
    </row>
    <row r="78" spans="1:18">
      <c r="P78" s="1065"/>
      <c r="Q78" s="1065"/>
      <c r="R78" s="1066"/>
    </row>
    <row r="79" spans="1:18">
      <c r="P79" s="1065"/>
      <c r="Q79" s="1065"/>
      <c r="R79" s="1066"/>
    </row>
    <row r="80" spans="1:18">
      <c r="P80" s="1065"/>
      <c r="Q80" s="1065"/>
      <c r="R80" s="1066"/>
    </row>
    <row r="81" spans="16:18">
      <c r="P81" s="1065"/>
      <c r="Q81" s="1065"/>
      <c r="R81" s="1066"/>
    </row>
    <row r="82" spans="16:18">
      <c r="P82" s="1065"/>
      <c r="Q82" s="1065"/>
      <c r="R82" s="1066"/>
    </row>
    <row r="83" spans="16:18">
      <c r="P83" s="1065"/>
      <c r="Q83" s="1065"/>
      <c r="R83" s="1066"/>
    </row>
    <row r="84" spans="16:18">
      <c r="P84" s="1065"/>
      <c r="Q84" s="1065"/>
      <c r="R84" s="1066"/>
    </row>
    <row r="85" spans="16:18">
      <c r="P85" s="1065"/>
      <c r="Q85" s="1065"/>
      <c r="R85" s="1066"/>
    </row>
    <row r="86" spans="16:18">
      <c r="P86" s="1065"/>
      <c r="Q86" s="1065"/>
      <c r="R86" s="1066"/>
    </row>
    <row r="87" spans="16:18">
      <c r="P87" s="1065"/>
      <c r="Q87" s="1065"/>
      <c r="R87" s="1066"/>
    </row>
    <row r="88" spans="16:18">
      <c r="P88" s="1065"/>
      <c r="Q88" s="1065"/>
      <c r="R88" s="1066"/>
    </row>
    <row r="89" spans="16:18">
      <c r="P89" s="1065"/>
      <c r="Q89" s="1065"/>
      <c r="R89" s="1066"/>
    </row>
    <row r="90" spans="16:18">
      <c r="P90" s="1065"/>
      <c r="Q90" s="1065"/>
      <c r="R90" s="1066"/>
    </row>
    <row r="91" spans="16:18">
      <c r="P91" s="1065"/>
      <c r="Q91" s="1065"/>
      <c r="R91" s="1066"/>
    </row>
    <row r="92" spans="16:18">
      <c r="P92" s="1065"/>
      <c r="Q92" s="1065"/>
      <c r="R92" s="1066"/>
    </row>
    <row r="93" spans="16:18">
      <c r="P93" s="1065"/>
      <c r="Q93" s="1065"/>
      <c r="R93" s="1066"/>
    </row>
    <row r="94" spans="16:18">
      <c r="P94" s="1065"/>
      <c r="Q94" s="1065"/>
      <c r="R94" s="1066"/>
    </row>
    <row r="95" spans="16:18">
      <c r="P95" s="1065"/>
      <c r="Q95" s="1065"/>
      <c r="R95" s="1066"/>
    </row>
    <row r="96" spans="16:18">
      <c r="P96" s="1065"/>
      <c r="Q96" s="1065"/>
      <c r="R96" s="1066"/>
    </row>
    <row r="97" spans="16:18">
      <c r="P97" s="1065"/>
      <c r="Q97" s="1065"/>
      <c r="R97" s="1066"/>
    </row>
    <row r="98" spans="16:18">
      <c r="P98" s="1065"/>
      <c r="Q98" s="1065"/>
      <c r="R98" s="1066"/>
    </row>
    <row r="99" spans="16:18">
      <c r="P99" s="1065"/>
      <c r="Q99" s="1065"/>
      <c r="R99" s="1066"/>
    </row>
    <row r="100" spans="16:18">
      <c r="P100" s="1065"/>
      <c r="Q100" s="1065"/>
      <c r="R100" s="1066"/>
    </row>
    <row r="101" spans="16:18">
      <c r="P101" s="1065"/>
      <c r="Q101" s="1065"/>
      <c r="R101" s="1066"/>
    </row>
    <row r="102" spans="16:18">
      <c r="P102" s="1065"/>
      <c r="Q102" s="1065"/>
      <c r="R102" s="1066"/>
    </row>
    <row r="103" spans="16:18">
      <c r="P103" s="1065"/>
      <c r="Q103" s="1065"/>
      <c r="R103" s="1066"/>
    </row>
    <row r="104" spans="16:18">
      <c r="P104" s="1065"/>
      <c r="Q104" s="1065"/>
      <c r="R104" s="1066"/>
    </row>
    <row r="105" spans="16:18">
      <c r="P105" s="1065"/>
      <c r="Q105" s="1065"/>
      <c r="R105" s="1066"/>
    </row>
    <row r="106" spans="16:18">
      <c r="P106" s="1065"/>
      <c r="Q106" s="1065"/>
      <c r="R106" s="1066"/>
    </row>
    <row r="107" spans="16:18">
      <c r="P107" s="1065"/>
      <c r="Q107" s="1065"/>
      <c r="R107" s="1066"/>
    </row>
    <row r="108" spans="16:18">
      <c r="P108" s="1065"/>
      <c r="Q108" s="1065"/>
      <c r="R108" s="1066"/>
    </row>
    <row r="109" spans="16:18">
      <c r="P109" s="1065"/>
      <c r="Q109" s="1065"/>
      <c r="R109" s="1066"/>
    </row>
    <row r="110" spans="16:18">
      <c r="P110" s="1065"/>
      <c r="Q110" s="1065"/>
      <c r="R110" s="1066"/>
    </row>
    <row r="111" spans="16:18">
      <c r="P111" s="1065"/>
      <c r="Q111" s="1065"/>
      <c r="R111" s="1066"/>
    </row>
    <row r="112" spans="16:18">
      <c r="P112" s="1065"/>
      <c r="Q112" s="1065"/>
      <c r="R112" s="1066"/>
    </row>
    <row r="113" spans="16:18">
      <c r="P113" s="1065"/>
      <c r="Q113" s="1065"/>
      <c r="R113" s="1066"/>
    </row>
    <row r="114" spans="16:18">
      <c r="P114" s="1065"/>
      <c r="Q114" s="1065"/>
      <c r="R114" s="1066"/>
    </row>
    <row r="115" spans="16:18">
      <c r="P115" s="1065"/>
      <c r="Q115" s="1065"/>
      <c r="R115" s="1066"/>
    </row>
    <row r="116" spans="16:18">
      <c r="P116" s="1065"/>
      <c r="Q116" s="1065"/>
      <c r="R116" s="1066"/>
    </row>
    <row r="117" spans="16:18">
      <c r="P117" s="1065"/>
      <c r="Q117" s="1065"/>
      <c r="R117" s="1066"/>
    </row>
    <row r="118" spans="16:18">
      <c r="P118" s="1065"/>
      <c r="Q118" s="1065"/>
      <c r="R118" s="1066"/>
    </row>
    <row r="119" spans="16:18">
      <c r="P119" s="1065"/>
      <c r="Q119" s="1065"/>
      <c r="R119" s="1066"/>
    </row>
    <row r="120" spans="16:18">
      <c r="P120" s="1065"/>
      <c r="Q120" s="1065"/>
      <c r="R120" s="1066"/>
    </row>
    <row r="121" spans="16:18">
      <c r="P121" s="1065"/>
      <c r="Q121" s="1065"/>
      <c r="R121" s="1066"/>
    </row>
    <row r="122" spans="16:18">
      <c r="P122" s="1065"/>
      <c r="Q122" s="1065"/>
      <c r="R122" s="1066"/>
    </row>
    <row r="123" spans="16:18">
      <c r="P123" s="1065"/>
      <c r="Q123" s="1065"/>
      <c r="R123" s="1066"/>
    </row>
    <row r="124" spans="16:18">
      <c r="P124" s="1065"/>
      <c r="Q124" s="1065"/>
      <c r="R124" s="1066"/>
    </row>
    <row r="125" spans="16:18">
      <c r="P125" s="1065"/>
      <c r="Q125" s="1065"/>
      <c r="R125" s="1066"/>
    </row>
    <row r="126" spans="16:18">
      <c r="P126" s="1065"/>
      <c r="Q126" s="1065"/>
      <c r="R126" s="1066"/>
    </row>
    <row r="127" spans="16:18">
      <c r="P127" s="1065"/>
      <c r="Q127" s="1065"/>
      <c r="R127" s="1066"/>
    </row>
    <row r="128" spans="16:18">
      <c r="P128" s="1065"/>
      <c r="Q128" s="1065"/>
      <c r="R128" s="1066"/>
    </row>
    <row r="129" spans="16:18">
      <c r="P129" s="1065"/>
      <c r="Q129" s="1065"/>
      <c r="R129" s="1066"/>
    </row>
    <row r="130" spans="16:18">
      <c r="P130" s="1065"/>
      <c r="Q130" s="1065"/>
      <c r="R130" s="1066"/>
    </row>
    <row r="131" spans="16:18">
      <c r="P131" s="1065"/>
      <c r="Q131" s="1065"/>
      <c r="R131" s="1066"/>
    </row>
    <row r="132" spans="16:18">
      <c r="P132" s="1065"/>
      <c r="Q132" s="1065"/>
      <c r="R132" s="1066"/>
    </row>
    <row r="133" spans="16:18">
      <c r="P133" s="1065"/>
      <c r="Q133" s="1065"/>
      <c r="R133" s="1066"/>
    </row>
    <row r="134" spans="16:18">
      <c r="P134" s="1065"/>
      <c r="Q134" s="1065"/>
      <c r="R134" s="1066"/>
    </row>
    <row r="135" spans="16:18">
      <c r="P135" s="1065"/>
      <c r="Q135" s="1065"/>
      <c r="R135" s="1066"/>
    </row>
    <row r="136" spans="16:18">
      <c r="P136" s="1065"/>
      <c r="Q136" s="1065"/>
      <c r="R136" s="1066"/>
    </row>
    <row r="137" spans="16:18">
      <c r="P137" s="1065"/>
      <c r="Q137" s="1065"/>
      <c r="R137" s="1066"/>
    </row>
    <row r="138" spans="16:18">
      <c r="P138" s="1065"/>
      <c r="Q138" s="1065"/>
      <c r="R138" s="1066"/>
    </row>
    <row r="139" spans="16:18">
      <c r="P139" s="1065"/>
      <c r="Q139" s="1065"/>
      <c r="R139" s="1066"/>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2">
    <mergeCell ref="H62:I62"/>
    <mergeCell ref="H72:I72"/>
  </mergeCells>
  <conditionalFormatting sqref="N59 E5:E58 N32:N42">
    <cfRule type="cellIs" dxfId="1" priority="3" stopIfTrue="1" operator="notBetween">
      <formula>-0.1</formula>
      <formula>0.1</formula>
    </cfRule>
  </conditionalFormatting>
  <conditionalFormatting sqref="E59">
    <cfRule type="cellIs" dxfId="0" priority="1" stopIfTrue="1" operator="notBetween">
      <formula>-0.1</formula>
      <formula>0.1</formula>
    </cfRule>
  </conditionalFormatting>
  <hyperlinks>
    <hyperlink ref="P1" location="TOC!A1" display="Back"/>
  </hyperlinks>
  <pageMargins left="0.5" right="0.35" top="0.35" bottom="0.25" header="0.25" footer="0.25"/>
  <pageSetup scale="87" fitToHeight="2" orientation="landscape" r:id="rId2"/>
  <headerFooter scaleWithDoc="0">
    <oddHeader>&amp;R&amp;P</oddHeader>
  </headerFooter>
  <rowBreaks count="1" manualBreakCount="1">
    <brk id="40"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7"/>
  <sheetViews>
    <sheetView zoomScaleNormal="100" workbookViewId="0"/>
  </sheetViews>
  <sheetFormatPr defaultRowHeight="12.5"/>
  <cols>
    <col min="1" max="1" width="11.6328125" customWidth="1"/>
    <col min="2" max="2" width="15" customWidth="1"/>
    <col min="3" max="3" width="13.7265625" customWidth="1"/>
    <col min="4" max="4" width="13" customWidth="1"/>
    <col min="5" max="5" width="15" customWidth="1"/>
    <col min="6" max="6" width="15.6328125" customWidth="1"/>
    <col min="7" max="7" width="20" customWidth="1"/>
    <col min="8" max="8" width="19.1796875" customWidth="1"/>
    <col min="9" max="9" width="10.90625" bestFit="1" customWidth="1"/>
    <col min="10" max="10" width="12.453125" bestFit="1" customWidth="1"/>
  </cols>
  <sheetData>
    <row r="1" spans="1:10" ht="18">
      <c r="A1" s="403" t="s">
        <v>244</v>
      </c>
      <c r="B1" s="7"/>
      <c r="C1" s="7"/>
      <c r="D1" s="7"/>
      <c r="E1" s="9"/>
      <c r="F1" s="36"/>
      <c r="G1" s="36"/>
      <c r="H1" s="7"/>
      <c r="I1" s="939" t="s">
        <v>1018</v>
      </c>
    </row>
    <row r="2" spans="1:10" ht="15.5">
      <c r="A2" s="37" t="s">
        <v>181</v>
      </c>
      <c r="B2" s="7"/>
      <c r="C2" s="7"/>
      <c r="D2" s="7"/>
      <c r="E2" s="9"/>
      <c r="F2" s="38"/>
      <c r="G2" s="38"/>
      <c r="H2" s="7"/>
    </row>
    <row r="3" spans="1:10" ht="6" customHeight="1">
      <c r="A3" s="19"/>
      <c r="B3" s="244" t="s">
        <v>755</v>
      </c>
      <c r="C3" s="7"/>
      <c r="D3" s="7"/>
      <c r="E3" s="9"/>
      <c r="F3" s="19"/>
      <c r="G3" s="19"/>
      <c r="H3" s="7"/>
    </row>
    <row r="4" spans="1:10" ht="6" customHeight="1" thickBot="1">
      <c r="A4" s="235"/>
      <c r="B4" s="7"/>
      <c r="C4" s="7"/>
      <c r="D4" s="7"/>
      <c r="E4" s="9"/>
      <c r="F4" s="39"/>
      <c r="G4" s="39"/>
      <c r="H4" s="7"/>
    </row>
    <row r="5" spans="1:10" ht="15" customHeight="1" thickTop="1">
      <c r="A5" s="40"/>
      <c r="B5" s="1349" t="s">
        <v>182</v>
      </c>
      <c r="C5" s="1358" t="s">
        <v>1287</v>
      </c>
      <c r="D5" s="1355" t="s">
        <v>183</v>
      </c>
      <c r="E5" s="1350" t="s">
        <v>184</v>
      </c>
      <c r="F5" s="1360" t="s">
        <v>185</v>
      </c>
      <c r="G5" s="1351" t="s">
        <v>1286</v>
      </c>
      <c r="H5" s="41"/>
    </row>
    <row r="6" spans="1:10" ht="15" customHeight="1">
      <c r="A6" s="42" t="s">
        <v>31</v>
      </c>
      <c r="B6" s="1357" t="s">
        <v>186</v>
      </c>
      <c r="C6" s="1359" t="s">
        <v>1288</v>
      </c>
      <c r="D6" s="1356" t="s">
        <v>20</v>
      </c>
      <c r="E6" s="1354" t="s">
        <v>20</v>
      </c>
      <c r="F6" s="1353" t="s">
        <v>187</v>
      </c>
      <c r="G6" s="1352" t="s">
        <v>1337</v>
      </c>
      <c r="H6" s="43"/>
    </row>
    <row r="7" spans="1:10" ht="15" hidden="1" customHeight="1">
      <c r="A7" s="44">
        <v>2010</v>
      </c>
      <c r="B7" s="232">
        <v>275338000</v>
      </c>
      <c r="C7" s="233">
        <v>5635000</v>
      </c>
      <c r="D7" s="232">
        <v>5671000</v>
      </c>
      <c r="E7" s="232">
        <v>3618000</v>
      </c>
      <c r="F7" s="233">
        <v>6223000</v>
      </c>
      <c r="G7" s="393" t="s">
        <v>52</v>
      </c>
      <c r="H7" s="393"/>
    </row>
    <row r="8" spans="1:10" ht="15" hidden="1" customHeight="1">
      <c r="A8" s="44">
        <v>2011</v>
      </c>
      <c r="B8" s="45">
        <v>276572000</v>
      </c>
      <c r="C8" s="19">
        <v>6176000</v>
      </c>
      <c r="D8" s="45">
        <v>2713000</v>
      </c>
      <c r="E8" s="45">
        <v>3477000</v>
      </c>
      <c r="F8" s="19">
        <v>5985000</v>
      </c>
      <c r="G8" s="393" t="s">
        <v>52</v>
      </c>
      <c r="H8" s="393"/>
    </row>
    <row r="9" spans="1:10" ht="15" customHeight="1">
      <c r="A9" s="44">
        <v>2012</v>
      </c>
      <c r="B9" s="46">
        <v>307149000</v>
      </c>
      <c r="C9" s="39">
        <v>6254000</v>
      </c>
      <c r="D9" s="39">
        <v>298000</v>
      </c>
      <c r="E9" s="46">
        <v>3676000</v>
      </c>
      <c r="F9" s="1361">
        <v>6880000</v>
      </c>
      <c r="G9" s="393" t="s">
        <v>52</v>
      </c>
      <c r="H9" s="393"/>
    </row>
    <row r="10" spans="1:10" ht="15" customHeight="1">
      <c r="A10" s="47">
        <v>2013</v>
      </c>
      <c r="B10" s="46">
        <v>360109000</v>
      </c>
      <c r="C10" s="39">
        <v>6181000</v>
      </c>
      <c r="D10" s="39">
        <v>-268000</v>
      </c>
      <c r="E10" s="46">
        <v>5514000</v>
      </c>
      <c r="F10" s="1361">
        <v>7327000</v>
      </c>
      <c r="G10" s="393" t="s">
        <v>52</v>
      </c>
      <c r="H10" s="393"/>
    </row>
    <row r="11" spans="1:10" ht="15" customHeight="1">
      <c r="A11" s="47">
        <v>2014</v>
      </c>
      <c r="B11" s="46">
        <v>296103000</v>
      </c>
      <c r="C11" s="39">
        <v>6425000</v>
      </c>
      <c r="D11" s="39">
        <v>196000</v>
      </c>
      <c r="E11" s="46">
        <v>4222000</v>
      </c>
      <c r="F11" s="1361">
        <v>6979000</v>
      </c>
      <c r="G11" s="1363">
        <v>320421000</v>
      </c>
      <c r="H11" s="393"/>
    </row>
    <row r="12" spans="1:10" ht="15" customHeight="1">
      <c r="A12" s="47">
        <v>2015</v>
      </c>
      <c r="B12" s="46">
        <v>331713000</v>
      </c>
      <c r="C12" s="39">
        <v>6419000</v>
      </c>
      <c r="D12" s="39">
        <v>98000</v>
      </c>
      <c r="E12" s="46">
        <v>4493000</v>
      </c>
      <c r="F12" s="1361">
        <v>7089000</v>
      </c>
      <c r="G12" s="1364">
        <v>300641000</v>
      </c>
      <c r="H12" s="393"/>
    </row>
    <row r="13" spans="1:10" ht="15" customHeight="1">
      <c r="A13" s="47">
        <v>2016</v>
      </c>
      <c r="B13" s="46">
        <v>354104000</v>
      </c>
      <c r="C13" s="46">
        <v>6364000</v>
      </c>
      <c r="D13" s="39">
        <v>222000</v>
      </c>
      <c r="E13" s="46">
        <v>4688000</v>
      </c>
      <c r="F13" s="1361">
        <v>6538000</v>
      </c>
      <c r="G13" s="1364">
        <v>339081000</v>
      </c>
      <c r="H13" s="393"/>
    </row>
    <row r="14" spans="1:10" ht="15" customHeight="1">
      <c r="A14" s="47">
        <v>2017</v>
      </c>
      <c r="B14" s="46">
        <v>378757000</v>
      </c>
      <c r="C14" s="46">
        <v>6521000</v>
      </c>
      <c r="D14" s="39">
        <v>8202000</v>
      </c>
      <c r="E14" s="46">
        <v>3597000</v>
      </c>
      <c r="F14" s="1361">
        <v>6346000</v>
      </c>
      <c r="G14" s="1364">
        <v>340910000</v>
      </c>
      <c r="H14" s="442"/>
      <c r="I14" s="439"/>
      <c r="J14" s="439"/>
    </row>
    <row r="15" spans="1:10" ht="15" customHeight="1">
      <c r="A15" s="47">
        <v>2018</v>
      </c>
      <c r="B15" s="46">
        <v>380183000</v>
      </c>
      <c r="C15" s="46">
        <v>6415000</v>
      </c>
      <c r="D15" s="39">
        <v>932000</v>
      </c>
      <c r="E15" s="46">
        <v>7365000</v>
      </c>
      <c r="F15" s="1361">
        <v>6469000</v>
      </c>
      <c r="G15" s="1364">
        <v>337947000</v>
      </c>
      <c r="H15" s="443"/>
      <c r="I15" s="439"/>
      <c r="J15" s="439"/>
    </row>
    <row r="16" spans="1:10" ht="15" customHeight="1">
      <c r="A16" s="47">
        <v>2019</v>
      </c>
      <c r="B16" s="46">
        <v>372107000</v>
      </c>
      <c r="C16" s="46">
        <v>6738000</v>
      </c>
      <c r="D16" s="46">
        <v>191000</v>
      </c>
      <c r="E16" s="46">
        <v>5681000</v>
      </c>
      <c r="F16" s="1361">
        <v>6444000</v>
      </c>
      <c r="G16" s="1365">
        <v>382018000</v>
      </c>
      <c r="H16" s="444"/>
      <c r="I16" s="439"/>
      <c r="J16" s="439"/>
    </row>
    <row r="17" spans="1:10" ht="15" customHeight="1">
      <c r="A17" s="47">
        <v>2020</v>
      </c>
      <c r="B17" s="46">
        <f>ROUND(39715917.44+-6507.25+-48621.15+487130322.81+-59669923.88,-3)</f>
        <v>467121000</v>
      </c>
      <c r="C17" s="46">
        <f>ROUND(6074046.59+-46849.18+0+560500.22,-3)</f>
        <v>6588000</v>
      </c>
      <c r="D17" s="46">
        <f>ROUND(10996+69278.18,-3)</f>
        <v>80000</v>
      </c>
      <c r="E17" s="46">
        <f>ROUND(6772425.16,-3)</f>
        <v>6772000</v>
      </c>
      <c r="F17" s="1361">
        <f>ROUND(5794346.74+726593.281,-3)</f>
        <v>6521000</v>
      </c>
      <c r="G17" s="1365">
        <f>ROUND(603081210.21-242492835.9,-3)</f>
        <v>360588000</v>
      </c>
      <c r="H17" s="444"/>
      <c r="I17" s="1038"/>
      <c r="J17" s="1038"/>
    </row>
    <row r="18" spans="1:10" ht="15" customHeight="1">
      <c r="A18" s="47">
        <v>2021</v>
      </c>
      <c r="B18" s="46">
        <f>ROUND(656755933.34,-3)</f>
        <v>656756000</v>
      </c>
      <c r="C18" s="46">
        <f>ROUND(7768577.65,-3)</f>
        <v>7769000</v>
      </c>
      <c r="D18" s="46">
        <f>ROUND(810177.55,-3)</f>
        <v>810000</v>
      </c>
      <c r="E18" s="46">
        <f>ROUND(9398274.96,-3)</f>
        <v>9398000</v>
      </c>
      <c r="F18" s="1361">
        <f>ROUND(6050514.76,-3)</f>
        <v>6051000</v>
      </c>
      <c r="G18" s="1365">
        <f>ROUND(363104671.05,-3)</f>
        <v>363105000</v>
      </c>
      <c r="H18" s="444"/>
      <c r="I18" s="439"/>
      <c r="J18" s="439"/>
    </row>
    <row r="19" spans="1:10" ht="15" customHeight="1">
      <c r="A19" s="47">
        <v>2022</v>
      </c>
      <c r="B19" s="686">
        <v>634000000</v>
      </c>
      <c r="C19" s="686">
        <v>8542000</v>
      </c>
      <c r="D19" s="686">
        <v>27000</v>
      </c>
      <c r="E19" s="686">
        <v>9070000</v>
      </c>
      <c r="F19" s="1362">
        <v>6110000</v>
      </c>
      <c r="G19" s="1366">
        <v>426830000</v>
      </c>
      <c r="H19" s="440"/>
      <c r="I19" s="439"/>
      <c r="J19" s="439"/>
    </row>
    <row r="20" spans="1:10" s="770" customFormat="1" ht="13">
      <c r="A20" s="868"/>
      <c r="B20" s="864"/>
      <c r="C20" s="864"/>
      <c r="D20" s="864"/>
      <c r="E20" s="864"/>
      <c r="F20" s="865"/>
      <c r="G20" s="865"/>
      <c r="H20" s="866"/>
      <c r="I20" s="867" t="s">
        <v>757</v>
      </c>
    </row>
    <row r="21" spans="1:10" s="1348" customFormat="1" ht="14.5" customHeight="1">
      <c r="A21" s="1937" t="s">
        <v>1350</v>
      </c>
      <c r="B21" s="1937"/>
      <c r="C21" s="1937"/>
      <c r="D21" s="1937"/>
      <c r="E21" s="1937"/>
      <c r="F21" s="1937"/>
      <c r="G21" s="1937"/>
      <c r="H21" s="1937"/>
    </row>
    <row r="22" spans="1:10" s="1348" customFormat="1" ht="50" customHeight="1">
      <c r="A22" s="1937" t="s">
        <v>1357</v>
      </c>
      <c r="B22" s="1937"/>
      <c r="C22" s="1937"/>
      <c r="D22" s="1937"/>
      <c r="E22" s="1937"/>
      <c r="F22" s="1937"/>
      <c r="G22" s="1937"/>
      <c r="H22" s="1937"/>
    </row>
    <row r="23" spans="1:10" s="1348" customFormat="1" ht="27" customHeight="1">
      <c r="A23" s="1938" t="s">
        <v>1351</v>
      </c>
      <c r="B23" s="1938"/>
      <c r="C23" s="1938"/>
      <c r="D23" s="1938"/>
      <c r="E23" s="1938"/>
      <c r="F23" s="1938"/>
      <c r="G23" s="1938"/>
      <c r="H23" s="1938"/>
    </row>
    <row r="24" spans="1:10" s="1348" customFormat="1" ht="15" customHeight="1">
      <c r="A24" s="1941" t="s">
        <v>769</v>
      </c>
      <c r="B24" s="1941"/>
      <c r="C24" s="1941"/>
      <c r="D24" s="1941"/>
      <c r="E24" s="1941"/>
      <c r="F24" s="1941"/>
      <c r="G24" s="1941"/>
      <c r="H24" s="1941"/>
    </row>
    <row r="25" spans="1:10" s="1348" customFormat="1" ht="15" customHeight="1">
      <c r="A25" s="1941" t="s">
        <v>770</v>
      </c>
      <c r="B25" s="1941"/>
      <c r="C25" s="1941"/>
      <c r="D25" s="1941"/>
      <c r="E25" s="1941"/>
      <c r="F25" s="1941"/>
      <c r="G25" s="1941"/>
      <c r="H25" s="1941"/>
    </row>
    <row r="26" spans="1:10" s="1348" customFormat="1" ht="50" customHeight="1">
      <c r="A26" s="1941" t="s">
        <v>1285</v>
      </c>
      <c r="B26" s="1941"/>
      <c r="C26" s="1941"/>
      <c r="D26" s="1941"/>
      <c r="E26" s="1941"/>
      <c r="F26" s="1941"/>
      <c r="G26" s="1941"/>
      <c r="H26" s="1941"/>
    </row>
    <row r="27" spans="1:10" s="772" customFormat="1" ht="12.75" customHeight="1">
      <c r="A27" s="862" t="s">
        <v>990</v>
      </c>
      <c r="B27" s="773"/>
      <c r="C27" s="773"/>
      <c r="D27" s="773"/>
      <c r="E27" s="774"/>
    </row>
    <row r="35" spans="1:10" s="1489" customFormat="1" ht="11.5"/>
    <row r="36" spans="1:10" s="1489" customFormat="1" ht="11.5">
      <c r="A36" s="1939"/>
      <c r="B36" s="1939"/>
      <c r="C36" s="1939"/>
      <c r="D36" s="1939"/>
      <c r="E36" s="1939"/>
      <c r="F36" s="1939"/>
      <c r="G36" s="1939"/>
      <c r="H36" s="1939"/>
      <c r="I36" s="1494"/>
      <c r="J36" s="1494"/>
    </row>
    <row r="37" spans="1:10" s="1491" customFormat="1" ht="11.5">
      <c r="A37" s="1940"/>
      <c r="B37" s="1940"/>
      <c r="C37" s="1940"/>
      <c r="D37" s="1940"/>
      <c r="E37" s="1940"/>
      <c r="F37" s="1940"/>
      <c r="G37" s="1940"/>
      <c r="H37" s="1940"/>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8">
    <mergeCell ref="A21:H21"/>
    <mergeCell ref="A23:H23"/>
    <mergeCell ref="A22:H22"/>
    <mergeCell ref="A36:H36"/>
    <mergeCell ref="A37:H37"/>
    <mergeCell ref="A26:H26"/>
    <mergeCell ref="A24:H24"/>
    <mergeCell ref="A25:H25"/>
  </mergeCells>
  <phoneticPr fontId="12" type="noConversion"/>
  <hyperlinks>
    <hyperlink ref="I1" location="TOC!A1" display="Back"/>
  </hyperlinks>
  <pageMargins left="0.6" right="0.25" top="0.5" bottom="0.25" header="0.25" footer="0.25"/>
  <pageSetup orientation="landscape" r:id="rId2"/>
  <headerFooter scaleWithDoc="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Y64"/>
  <sheetViews>
    <sheetView zoomScaleNormal="100" workbookViewId="0">
      <pane ySplit="5200" topLeftCell="A28"/>
      <selection pane="bottomLeft" activeCell="A28" sqref="A28"/>
    </sheetView>
  </sheetViews>
  <sheetFormatPr defaultRowHeight="12.5"/>
  <cols>
    <col min="1" max="1" width="12.6328125" customWidth="1"/>
    <col min="2" max="2" width="14.6328125" customWidth="1"/>
    <col min="3" max="5" width="13.7265625" customWidth="1"/>
    <col min="6" max="7" width="15.6328125" customWidth="1"/>
    <col min="8" max="8" width="14.6328125" customWidth="1"/>
    <col min="9" max="9" width="13.7265625" customWidth="1"/>
    <col min="10" max="10" width="8.7265625" customWidth="1"/>
    <col min="11" max="11" width="12.54296875" bestFit="1" customWidth="1"/>
    <col min="12" max="12" width="11.81640625" customWidth="1"/>
    <col min="13" max="13" width="12" customWidth="1"/>
    <col min="14" max="14" width="11.54296875" customWidth="1"/>
    <col min="15" max="15" width="12.26953125" customWidth="1"/>
    <col min="16" max="16" width="9.81640625" customWidth="1"/>
    <col min="17" max="17" width="9.81640625" bestFit="1" customWidth="1"/>
    <col min="18" max="18" width="11" customWidth="1"/>
    <col min="19" max="20" width="9.26953125" bestFit="1" customWidth="1"/>
    <col min="21" max="21" width="9.81640625" bestFit="1" customWidth="1"/>
    <col min="22" max="22" width="10.7265625" customWidth="1"/>
    <col min="23" max="24" width="9.26953125" bestFit="1" customWidth="1"/>
  </cols>
  <sheetData>
    <row r="1" spans="1:25" ht="17.5" customHeight="1">
      <c r="A1" s="404" t="s">
        <v>245</v>
      </c>
      <c r="B1" s="7"/>
      <c r="C1" s="7"/>
      <c r="D1" s="7"/>
      <c r="E1" s="7"/>
      <c r="F1" s="9"/>
      <c r="G1" s="7"/>
      <c r="H1" s="7"/>
      <c r="K1" s="939" t="s">
        <v>1018</v>
      </c>
    </row>
    <row r="2" spans="1:25" ht="15.65" customHeight="1">
      <c r="A2" s="3" t="s">
        <v>767</v>
      </c>
      <c r="B2" s="7"/>
      <c r="C2" s="7"/>
      <c r="D2" s="7"/>
      <c r="E2" s="7"/>
      <c r="F2" s="9"/>
      <c r="G2" s="7"/>
      <c r="H2" s="7"/>
    </row>
    <row r="3" spans="1:25" ht="5" customHeight="1">
      <c r="A3" s="245"/>
      <c r="B3" s="257"/>
      <c r="C3" s="7"/>
      <c r="D3" s="7"/>
      <c r="E3" s="257"/>
      <c r="F3" s="7"/>
      <c r="G3" s="7"/>
      <c r="H3" s="257"/>
    </row>
    <row r="4" spans="1:25" ht="5" customHeight="1" thickBot="1">
      <c r="A4" s="1375"/>
      <c r="B4" s="1376"/>
      <c r="C4" s="1377"/>
      <c r="D4" s="1377"/>
      <c r="E4" s="1376"/>
      <c r="F4" s="1377"/>
      <c r="G4" s="1377"/>
      <c r="H4" s="1376"/>
    </row>
    <row r="5" spans="1:25" ht="27" customHeight="1" thickTop="1">
      <c r="A5" s="1378" t="s">
        <v>31</v>
      </c>
      <c r="B5" s="1378" t="s">
        <v>1290</v>
      </c>
      <c r="C5" s="1378" t="s">
        <v>1291</v>
      </c>
      <c r="D5" s="1379" t="s">
        <v>1292</v>
      </c>
      <c r="E5" s="1379" t="s">
        <v>1302</v>
      </c>
      <c r="F5" s="1379" t="s">
        <v>268</v>
      </c>
      <c r="G5" s="1379" t="s">
        <v>1294</v>
      </c>
      <c r="H5" s="1378" t="s">
        <v>1293</v>
      </c>
      <c r="I5" s="1378" t="s">
        <v>1358</v>
      </c>
      <c r="K5" s="576"/>
      <c r="L5" s="576"/>
      <c r="M5" s="576"/>
      <c r="N5" s="576"/>
      <c r="O5" s="576"/>
      <c r="P5" s="576"/>
      <c r="Q5" s="576"/>
      <c r="R5" s="576"/>
      <c r="S5" s="576"/>
      <c r="T5" s="576"/>
      <c r="U5" s="576"/>
      <c r="V5" s="576"/>
      <c r="W5" s="576"/>
      <c r="X5" s="576"/>
      <c r="Y5" s="576"/>
    </row>
    <row r="6" spans="1:25" ht="12.75" hidden="1" customHeight="1">
      <c r="A6" s="44">
        <v>2010</v>
      </c>
      <c r="B6" s="233">
        <v>5107000</v>
      </c>
      <c r="C6" s="233">
        <v>146000</v>
      </c>
      <c r="D6" s="233">
        <v>99000</v>
      </c>
      <c r="E6" s="233">
        <v>549000</v>
      </c>
      <c r="F6" s="392">
        <v>158389000</v>
      </c>
      <c r="G6" s="392">
        <v>17668000</v>
      </c>
      <c r="H6" s="232">
        <v>8309000</v>
      </c>
      <c r="I6" s="232"/>
      <c r="K6" s="576"/>
      <c r="L6" s="576"/>
      <c r="M6" s="576"/>
      <c r="N6" s="576"/>
      <c r="O6" s="576"/>
      <c r="P6" s="576"/>
      <c r="Q6" s="576"/>
      <c r="R6" s="576"/>
      <c r="S6" s="576"/>
      <c r="T6" s="576"/>
      <c r="U6" s="576"/>
      <c r="V6" s="576"/>
      <c r="W6" s="576"/>
      <c r="X6" s="576"/>
      <c r="Y6" s="576"/>
    </row>
    <row r="7" spans="1:25" ht="12.5" hidden="1" customHeight="1">
      <c r="A7" s="44">
        <v>2011</v>
      </c>
      <c r="B7" s="19">
        <v>5143000</v>
      </c>
      <c r="C7" s="19">
        <v>151000</v>
      </c>
      <c r="D7" s="19">
        <v>102000</v>
      </c>
      <c r="E7" s="19">
        <v>424000</v>
      </c>
      <c r="F7" s="19">
        <v>155719000</v>
      </c>
      <c r="G7" s="19">
        <v>18012000</v>
      </c>
      <c r="H7" s="45">
        <v>6449000</v>
      </c>
      <c r="I7" s="45"/>
      <c r="K7" s="576"/>
      <c r="L7" s="576"/>
      <c r="M7" s="576"/>
      <c r="N7" s="576"/>
      <c r="O7" s="576"/>
      <c r="P7" s="576"/>
      <c r="Q7" s="576"/>
      <c r="R7" s="576"/>
      <c r="S7" s="576"/>
      <c r="T7" s="576"/>
      <c r="U7" s="576"/>
      <c r="V7" s="576"/>
      <c r="W7" s="576"/>
      <c r="X7" s="576"/>
    </row>
    <row r="8" spans="1:25" ht="15" customHeight="1">
      <c r="A8" s="1374">
        <v>2012</v>
      </c>
      <c r="B8" s="39">
        <v>3412000</v>
      </c>
      <c r="C8" s="39">
        <v>149000</v>
      </c>
      <c r="D8" s="39">
        <v>172000</v>
      </c>
      <c r="E8" s="39">
        <v>596000</v>
      </c>
      <c r="F8" s="39">
        <v>173911000</v>
      </c>
      <c r="G8" s="39">
        <v>18542000</v>
      </c>
      <c r="H8" s="46">
        <v>4725000</v>
      </c>
      <c r="I8" s="46"/>
    </row>
    <row r="9" spans="1:25" ht="15" customHeight="1">
      <c r="A9" s="1374">
        <v>2013</v>
      </c>
      <c r="B9" s="39">
        <v>2544000</v>
      </c>
      <c r="C9" s="39">
        <v>160000</v>
      </c>
      <c r="D9" s="39">
        <v>265000</v>
      </c>
      <c r="E9" s="39">
        <v>895000</v>
      </c>
      <c r="F9" s="39">
        <v>169297000</v>
      </c>
      <c r="G9" s="39">
        <v>18577000</v>
      </c>
      <c r="H9" s="46">
        <v>5753000</v>
      </c>
      <c r="I9" s="46"/>
    </row>
    <row r="10" spans="1:25" ht="15" customHeight="1">
      <c r="A10" s="1374">
        <v>2014</v>
      </c>
      <c r="B10" s="39">
        <v>2611000</v>
      </c>
      <c r="C10" s="39">
        <v>152000</v>
      </c>
      <c r="D10" s="39">
        <v>224000</v>
      </c>
      <c r="E10" s="39">
        <v>811000</v>
      </c>
      <c r="F10" s="39">
        <v>161619000</v>
      </c>
      <c r="G10" s="39">
        <v>19007000</v>
      </c>
      <c r="H10" s="46">
        <v>2919000</v>
      </c>
      <c r="I10" s="46"/>
    </row>
    <row r="11" spans="1:25" ht="15" customHeight="1">
      <c r="A11" s="1374">
        <v>2015</v>
      </c>
      <c r="B11" s="39">
        <v>2738000</v>
      </c>
      <c r="C11" s="39">
        <v>175000</v>
      </c>
      <c r="D11" s="39">
        <v>289000</v>
      </c>
      <c r="E11" s="39">
        <v>735000</v>
      </c>
      <c r="F11" s="39">
        <v>159856000</v>
      </c>
      <c r="G11" s="39">
        <v>19141000</v>
      </c>
      <c r="H11" s="46">
        <v>5001000</v>
      </c>
      <c r="I11" s="46"/>
    </row>
    <row r="12" spans="1:25" ht="15" customHeight="1">
      <c r="A12" s="1374">
        <v>2016</v>
      </c>
      <c r="B12" s="39">
        <v>2871000</v>
      </c>
      <c r="C12" s="39">
        <v>183000</v>
      </c>
      <c r="D12" s="39">
        <v>320000</v>
      </c>
      <c r="E12" s="39">
        <v>1036000</v>
      </c>
      <c r="F12" s="39">
        <v>159286000</v>
      </c>
      <c r="G12" s="39">
        <v>19455000</v>
      </c>
      <c r="H12" s="46">
        <v>6056000</v>
      </c>
      <c r="I12" s="46" t="s">
        <v>1359</v>
      </c>
    </row>
    <row r="13" spans="1:25" ht="15" customHeight="1">
      <c r="A13" s="1374">
        <v>2017</v>
      </c>
      <c r="B13" s="39">
        <v>2769000</v>
      </c>
      <c r="C13" s="39">
        <v>207000</v>
      </c>
      <c r="D13" s="39">
        <v>265000</v>
      </c>
      <c r="E13" s="39">
        <v>1058000</v>
      </c>
      <c r="F13" s="39">
        <v>151117000</v>
      </c>
      <c r="G13" s="39">
        <v>20081000</v>
      </c>
      <c r="H13" s="46">
        <v>4273000</v>
      </c>
      <c r="I13" s="46" t="s">
        <v>1359</v>
      </c>
    </row>
    <row r="14" spans="1:25" ht="15" customHeight="1">
      <c r="A14" s="1374">
        <v>2018</v>
      </c>
      <c r="B14" s="39">
        <v>2795000</v>
      </c>
      <c r="C14" s="39">
        <v>201000</v>
      </c>
      <c r="D14" s="39">
        <v>357000</v>
      </c>
      <c r="E14" s="39">
        <v>1159000</v>
      </c>
      <c r="F14" s="39">
        <v>139202000</v>
      </c>
      <c r="G14" s="39">
        <v>21181000</v>
      </c>
      <c r="H14" s="46">
        <v>12015000</v>
      </c>
      <c r="I14" s="46" t="s">
        <v>1359</v>
      </c>
    </row>
    <row r="15" spans="1:25" ht="15" customHeight="1">
      <c r="A15" s="1374">
        <v>2019</v>
      </c>
      <c r="B15" s="39">
        <v>3060000</v>
      </c>
      <c r="C15" s="39">
        <v>205000</v>
      </c>
      <c r="D15" s="39">
        <v>309000</v>
      </c>
      <c r="E15" s="46">
        <v>1050000</v>
      </c>
      <c r="F15" s="39">
        <v>129451000</v>
      </c>
      <c r="G15" s="39">
        <v>21838000</v>
      </c>
      <c r="H15" s="46">
        <v>12577000</v>
      </c>
      <c r="I15" s="46">
        <v>136000</v>
      </c>
    </row>
    <row r="16" spans="1:25" ht="15" customHeight="1">
      <c r="A16" s="1374">
        <v>2020</v>
      </c>
      <c r="B16" s="46">
        <f>ROUND(3214035.05+0,-3)</f>
        <v>3214000</v>
      </c>
      <c r="C16" s="396">
        <f>ROUND(207801.87+0,-3)</f>
        <v>208000</v>
      </c>
      <c r="D16" s="396">
        <f>ROUND(365532.86,-3)</f>
        <v>366000</v>
      </c>
      <c r="E16" s="396">
        <f>ROUND(934707.14+0,-3)</f>
        <v>935000</v>
      </c>
      <c r="F16" s="46">
        <f>ROUND(131950330.82,-3)</f>
        <v>131950000</v>
      </c>
      <c r="G16" s="46">
        <f>ROUND(21687544.8,-3)</f>
        <v>21688000</v>
      </c>
      <c r="H16" s="396">
        <f>ROUND(7557161.83+0,-3)</f>
        <v>7557000</v>
      </c>
      <c r="I16" s="396">
        <v>341000</v>
      </c>
    </row>
    <row r="17" spans="1:10" ht="15" customHeight="1">
      <c r="A17" s="1374">
        <v>2021</v>
      </c>
      <c r="B17" s="46">
        <f>ROUND(2893448.35,-3)</f>
        <v>2893000</v>
      </c>
      <c r="C17" s="396">
        <f>ROUND(195393.74+0,-3)</f>
        <v>195000</v>
      </c>
      <c r="D17" s="396">
        <f>ROUND(353186.52,-3)</f>
        <v>353000</v>
      </c>
      <c r="E17" s="396">
        <f>ROUND(1362564.58,-3)</f>
        <v>1363000</v>
      </c>
      <c r="F17" s="46">
        <f>ROUND(234194399.6,-3)</f>
        <v>234194000</v>
      </c>
      <c r="G17" s="46">
        <f>ROUND(52437827.86,-3)</f>
        <v>52438000</v>
      </c>
      <c r="H17" s="396">
        <f>ROUND(7253196.86,-3)</f>
        <v>7253000</v>
      </c>
      <c r="I17" s="396">
        <v>353000</v>
      </c>
    </row>
    <row r="18" spans="1:10" ht="15" customHeight="1">
      <c r="A18" s="1374">
        <v>2022</v>
      </c>
      <c r="B18" s="46">
        <v>3195000</v>
      </c>
      <c r="C18" s="396">
        <v>202000</v>
      </c>
      <c r="D18" s="396">
        <v>376000</v>
      </c>
      <c r="E18" s="396">
        <v>1744000</v>
      </c>
      <c r="F18" s="46">
        <v>219818000</v>
      </c>
      <c r="G18" s="46">
        <v>58809000</v>
      </c>
      <c r="H18" s="396">
        <v>8495000</v>
      </c>
      <c r="I18" s="396">
        <v>349000</v>
      </c>
    </row>
    <row r="19" spans="1:10">
      <c r="A19" s="397"/>
      <c r="B19" s="687"/>
      <c r="C19" s="687"/>
      <c r="D19" s="687"/>
      <c r="E19" s="687"/>
      <c r="F19" s="687"/>
      <c r="G19" s="687"/>
      <c r="H19" s="687"/>
      <c r="I19" s="439"/>
    </row>
    <row r="20" spans="1:10" s="1347" customFormat="1" ht="11.5">
      <c r="A20" s="1347" t="s">
        <v>1289</v>
      </c>
      <c r="B20" s="1370"/>
      <c r="C20" s="1369"/>
      <c r="D20" s="1371"/>
      <c r="E20" s="1371"/>
      <c r="F20" s="1371"/>
      <c r="G20" s="1371"/>
      <c r="H20" s="1371"/>
      <c r="I20" s="1371"/>
      <c r="J20" s="1372"/>
    </row>
    <row r="21" spans="1:10" s="1347" customFormat="1" ht="15" customHeight="1">
      <c r="A21" s="1944" t="s">
        <v>1352</v>
      </c>
      <c r="B21" s="1943"/>
      <c r="C21" s="1943"/>
      <c r="D21" s="1943"/>
      <c r="E21" s="1943"/>
      <c r="F21" s="1943"/>
      <c r="G21" s="1943"/>
      <c r="H21" s="1943"/>
      <c r="I21" s="1943"/>
      <c r="J21" s="1373"/>
    </row>
    <row r="22" spans="1:10" s="1367" customFormat="1" ht="15" customHeight="1">
      <c r="A22" s="1944" t="s">
        <v>1023</v>
      </c>
      <c r="B22" s="1943"/>
      <c r="C22" s="1943"/>
      <c r="D22" s="1943"/>
      <c r="E22" s="1943"/>
      <c r="F22" s="1943"/>
      <c r="G22" s="1943"/>
      <c r="H22" s="1943"/>
      <c r="I22" s="1943"/>
      <c r="J22" s="1368"/>
    </row>
    <row r="23" spans="1:10" s="1367" customFormat="1" ht="27" customHeight="1">
      <c r="A23" s="1944" t="s">
        <v>1015</v>
      </c>
      <c r="B23" s="1943"/>
      <c r="C23" s="1943"/>
      <c r="D23" s="1943"/>
      <c r="E23" s="1943"/>
      <c r="F23" s="1943"/>
      <c r="G23" s="1943"/>
      <c r="H23" s="1943"/>
      <c r="I23" s="1943"/>
      <c r="J23" s="1368"/>
    </row>
    <row r="24" spans="1:10" s="1367" customFormat="1" ht="15" customHeight="1">
      <c r="A24" s="1944" t="s">
        <v>188</v>
      </c>
      <c r="B24" s="1943"/>
      <c r="C24" s="1943"/>
      <c r="D24" s="1943"/>
      <c r="E24" s="1943"/>
      <c r="F24" s="1943"/>
      <c r="G24" s="1943"/>
      <c r="H24" s="1943"/>
      <c r="I24" s="1943"/>
      <c r="J24" s="1368"/>
    </row>
    <row r="25" spans="1:10" s="1367" customFormat="1" ht="27" customHeight="1">
      <c r="A25" s="1941" t="s">
        <v>1021</v>
      </c>
      <c r="B25" s="1943"/>
      <c r="C25" s="1943"/>
      <c r="D25" s="1943"/>
      <c r="E25" s="1943"/>
      <c r="F25" s="1943"/>
      <c r="G25" s="1943"/>
      <c r="H25" s="1943"/>
      <c r="I25" s="1943"/>
      <c r="J25" s="1368"/>
    </row>
    <row r="26" spans="1:10" s="1367" customFormat="1" ht="38" customHeight="1">
      <c r="A26" s="1944" t="s">
        <v>1022</v>
      </c>
      <c r="B26" s="1943"/>
      <c r="C26" s="1943"/>
      <c r="D26" s="1943"/>
      <c r="E26" s="1943"/>
      <c r="F26" s="1943"/>
      <c r="G26" s="1943"/>
      <c r="H26" s="1943"/>
      <c r="I26" s="1943"/>
      <c r="J26" s="1368"/>
    </row>
    <row r="27" spans="1:10" s="1367" customFormat="1" ht="27" customHeight="1">
      <c r="A27" s="1944" t="s">
        <v>768</v>
      </c>
      <c r="B27" s="1943"/>
      <c r="C27" s="1943"/>
      <c r="D27" s="1943"/>
      <c r="E27" s="1943"/>
      <c r="F27" s="1943"/>
      <c r="G27" s="1943"/>
      <c r="H27" s="1943"/>
      <c r="I27" s="1943"/>
      <c r="J27" s="1368"/>
    </row>
    <row r="28" spans="1:10" s="1367" customFormat="1" ht="14" customHeight="1">
      <c r="A28" s="1944" t="s">
        <v>1360</v>
      </c>
      <c r="B28" s="1943"/>
      <c r="C28" s="1943"/>
      <c r="D28" s="1943"/>
      <c r="E28" s="1943"/>
      <c r="F28" s="1943"/>
      <c r="G28" s="1943"/>
      <c r="H28" s="1943"/>
      <c r="I28" s="1943"/>
      <c r="J28" s="1368"/>
    </row>
    <row r="29" spans="1:10" ht="18">
      <c r="A29" s="48" t="s">
        <v>246</v>
      </c>
      <c r="B29" s="7"/>
      <c r="C29" s="7"/>
      <c r="D29" s="7"/>
      <c r="E29" s="7"/>
      <c r="F29" s="9"/>
      <c r="G29" s="7"/>
      <c r="H29" s="7"/>
    </row>
    <row r="30" spans="1:10" ht="15.5">
      <c r="A30" s="3" t="s">
        <v>767</v>
      </c>
      <c r="B30" s="7"/>
      <c r="C30" s="7"/>
      <c r="D30" s="7"/>
      <c r="E30" s="7"/>
      <c r="F30" s="9"/>
      <c r="G30" s="7"/>
      <c r="H30" s="7"/>
    </row>
    <row r="31" spans="1:10" ht="5" customHeight="1">
      <c r="A31" s="245"/>
      <c r="B31" s="7"/>
      <c r="C31" s="7"/>
      <c r="D31" s="7"/>
      <c r="E31" s="7"/>
      <c r="F31" s="7"/>
      <c r="G31" s="7"/>
      <c r="H31" s="7"/>
      <c r="I31" s="7"/>
    </row>
    <row r="32" spans="1:10" ht="5" customHeight="1" thickBot="1">
      <c r="A32" s="1375"/>
      <c r="B32" s="1377"/>
      <c r="C32" s="1377"/>
      <c r="D32" s="1377"/>
      <c r="E32" s="1377"/>
      <c r="F32" s="1377"/>
      <c r="G32" s="1377"/>
      <c r="H32" s="1377"/>
      <c r="I32" s="1377"/>
    </row>
    <row r="33" spans="1:11" ht="27" customHeight="1" thickTop="1">
      <c r="A33" s="1378" t="s">
        <v>31</v>
      </c>
      <c r="B33" s="1378" t="s">
        <v>1295</v>
      </c>
      <c r="C33" s="1378" t="s">
        <v>1296</v>
      </c>
      <c r="D33" s="1378" t="s">
        <v>1297</v>
      </c>
      <c r="E33" s="1378" t="s">
        <v>1338</v>
      </c>
      <c r="F33" s="1378" t="s">
        <v>1301</v>
      </c>
      <c r="G33" s="1379" t="s">
        <v>1298</v>
      </c>
      <c r="H33" s="1378" t="s">
        <v>1299</v>
      </c>
      <c r="I33" s="1378" t="s">
        <v>1300</v>
      </c>
    </row>
    <row r="34" spans="1:11" ht="15" hidden="1" customHeight="1">
      <c r="A34" s="44">
        <v>2010</v>
      </c>
      <c r="B34" s="233">
        <v>287000</v>
      </c>
      <c r="C34" s="233">
        <v>117000</v>
      </c>
      <c r="D34" s="233">
        <v>272000</v>
      </c>
      <c r="E34" s="233">
        <v>1875000</v>
      </c>
      <c r="F34" s="233">
        <v>200000</v>
      </c>
      <c r="G34" s="233">
        <v>994000</v>
      </c>
      <c r="H34" s="233">
        <v>11000</v>
      </c>
      <c r="I34" s="392">
        <v>115000</v>
      </c>
    </row>
    <row r="35" spans="1:11" ht="15" hidden="1" customHeight="1">
      <c r="A35" s="44">
        <v>2011</v>
      </c>
      <c r="B35" s="19">
        <v>240000</v>
      </c>
      <c r="C35" s="19">
        <v>103000</v>
      </c>
      <c r="D35" s="19">
        <v>192000</v>
      </c>
      <c r="E35" s="19">
        <v>1849000</v>
      </c>
      <c r="F35" s="19">
        <v>174000</v>
      </c>
      <c r="G35" s="19">
        <v>888000</v>
      </c>
      <c r="H35" s="19">
        <v>9000</v>
      </c>
      <c r="I35" s="522">
        <v>94000</v>
      </c>
      <c r="J35" s="163"/>
    </row>
    <row r="36" spans="1:11" ht="15" customHeight="1">
      <c r="A36" s="1374">
        <v>2012</v>
      </c>
      <c r="B36" s="39">
        <v>301000</v>
      </c>
      <c r="C36" s="39">
        <v>131000</v>
      </c>
      <c r="D36" s="39">
        <v>537000</v>
      </c>
      <c r="E36" s="39">
        <v>1837000</v>
      </c>
      <c r="F36" s="39">
        <v>191000</v>
      </c>
      <c r="G36" s="39">
        <v>931000</v>
      </c>
      <c r="H36" s="39">
        <v>8000</v>
      </c>
      <c r="I36" s="522">
        <v>123000</v>
      </c>
      <c r="J36" s="163"/>
    </row>
    <row r="37" spans="1:11" ht="15" customHeight="1">
      <c r="A37" s="1374">
        <v>2013</v>
      </c>
      <c r="B37" s="39">
        <v>291000</v>
      </c>
      <c r="C37" s="39">
        <v>168000</v>
      </c>
      <c r="D37" s="39">
        <v>500000</v>
      </c>
      <c r="E37" s="39">
        <v>2036000</v>
      </c>
      <c r="F37" s="39">
        <v>194000</v>
      </c>
      <c r="G37" s="39">
        <v>844000</v>
      </c>
      <c r="H37" s="39">
        <v>9000</v>
      </c>
      <c r="I37" s="39">
        <v>93000</v>
      </c>
      <c r="J37" s="163"/>
    </row>
    <row r="38" spans="1:11" ht="15" customHeight="1">
      <c r="A38" s="1374">
        <v>2014</v>
      </c>
      <c r="B38" s="39">
        <v>401000</v>
      </c>
      <c r="C38" s="39">
        <v>129000</v>
      </c>
      <c r="D38" s="39">
        <v>516000</v>
      </c>
      <c r="E38" s="39">
        <v>2166000</v>
      </c>
      <c r="F38" s="39">
        <v>210000</v>
      </c>
      <c r="G38" s="39">
        <v>888000</v>
      </c>
      <c r="H38" s="39">
        <v>11000</v>
      </c>
      <c r="I38" s="39">
        <v>170000</v>
      </c>
      <c r="J38" s="163"/>
    </row>
    <row r="39" spans="1:11" ht="15" customHeight="1">
      <c r="A39" s="1374">
        <v>2015</v>
      </c>
      <c r="B39" s="46">
        <v>375000</v>
      </c>
      <c r="C39" s="39">
        <v>192000</v>
      </c>
      <c r="D39" s="39">
        <v>439000</v>
      </c>
      <c r="E39" s="39">
        <v>2385000</v>
      </c>
      <c r="F39" s="39">
        <v>213000</v>
      </c>
      <c r="G39" s="39">
        <v>927000</v>
      </c>
      <c r="H39" s="39">
        <v>11000</v>
      </c>
      <c r="I39" s="39">
        <v>125000</v>
      </c>
      <c r="J39" s="163"/>
    </row>
    <row r="40" spans="1:11" ht="15" customHeight="1">
      <c r="A40" s="1374">
        <v>2016</v>
      </c>
      <c r="B40" s="46">
        <v>401000</v>
      </c>
      <c r="C40" s="39">
        <v>126000</v>
      </c>
      <c r="D40" s="39">
        <v>291000</v>
      </c>
      <c r="E40" s="46">
        <v>2221000</v>
      </c>
      <c r="F40" s="39">
        <v>219000</v>
      </c>
      <c r="G40" s="39">
        <v>906000</v>
      </c>
      <c r="H40" s="39">
        <v>11000</v>
      </c>
      <c r="I40" s="46">
        <v>116000</v>
      </c>
      <c r="J40" s="163"/>
      <c r="K40" s="49"/>
    </row>
    <row r="41" spans="1:11" ht="15" customHeight="1">
      <c r="A41" s="1374">
        <v>2017</v>
      </c>
      <c r="B41" s="46">
        <v>451000</v>
      </c>
      <c r="C41" s="39">
        <v>88000</v>
      </c>
      <c r="D41" s="39">
        <v>167000</v>
      </c>
      <c r="E41" s="46">
        <v>2583000</v>
      </c>
      <c r="F41" s="39">
        <v>174000</v>
      </c>
      <c r="G41" s="39">
        <v>1004000</v>
      </c>
      <c r="H41" s="39">
        <v>12000</v>
      </c>
      <c r="I41" s="46">
        <v>99000</v>
      </c>
      <c r="J41" s="163"/>
    </row>
    <row r="42" spans="1:11" ht="15" customHeight="1">
      <c r="A42" s="1374">
        <v>2018</v>
      </c>
      <c r="B42" s="46">
        <v>395000</v>
      </c>
      <c r="C42" s="39">
        <v>173000</v>
      </c>
      <c r="D42" s="46">
        <v>173000</v>
      </c>
      <c r="E42" s="46">
        <v>2695000</v>
      </c>
      <c r="F42" s="39">
        <v>169000</v>
      </c>
      <c r="G42" s="39">
        <v>1109000</v>
      </c>
      <c r="H42" s="39">
        <v>12000</v>
      </c>
      <c r="I42" s="46">
        <v>121000</v>
      </c>
      <c r="J42" s="163"/>
    </row>
    <row r="43" spans="1:11" ht="15" customHeight="1">
      <c r="A43" s="1374">
        <v>2019</v>
      </c>
      <c r="B43" s="46">
        <v>398000</v>
      </c>
      <c r="C43" s="39">
        <v>178000</v>
      </c>
      <c r="D43" s="46">
        <v>179000</v>
      </c>
      <c r="E43" s="46">
        <v>2604000</v>
      </c>
      <c r="F43" s="39">
        <v>175000</v>
      </c>
      <c r="G43" s="39">
        <v>664000</v>
      </c>
      <c r="H43" s="39">
        <v>12000</v>
      </c>
      <c r="I43" s="46">
        <v>90000</v>
      </c>
      <c r="J43" s="163"/>
    </row>
    <row r="44" spans="1:11" ht="15" customHeight="1">
      <c r="A44" s="1374">
        <v>2020</v>
      </c>
      <c r="B44" s="46">
        <f>ROUND(460022.04+0,-3)</f>
        <v>460000</v>
      </c>
      <c r="C44" s="396">
        <f>ROUND(218257.13,-3)</f>
        <v>218000</v>
      </c>
      <c r="D44" s="46">
        <f>ROUND(142617.3+0,-3)</f>
        <v>143000</v>
      </c>
      <c r="E44" s="46">
        <f>ROUND(1840522.66+614428.88, -3)</f>
        <v>2455000</v>
      </c>
      <c r="F44" s="46">
        <f>ROUND(216842.49+0,-3)</f>
        <v>217000</v>
      </c>
      <c r="G44" s="46">
        <f>ROUND(878294.38+0,-3)</f>
        <v>878000</v>
      </c>
      <c r="H44" s="46">
        <f>ROUND(12296.11+0,-3)</f>
        <v>12000</v>
      </c>
      <c r="I44" s="46">
        <f>ROUND(87968.28,-3)</f>
        <v>88000</v>
      </c>
      <c r="J44" s="531" t="s">
        <v>900</v>
      </c>
    </row>
    <row r="45" spans="1:11" ht="15" customHeight="1">
      <c r="A45" s="1374">
        <v>2021</v>
      </c>
      <c r="B45" s="46">
        <f>ROUND(435319.53,-3)</f>
        <v>435000</v>
      </c>
      <c r="C45" s="396">
        <f>ROUND(114095.95,-3)</f>
        <v>114000</v>
      </c>
      <c r="D45" s="46">
        <f>ROUND(204881.54,-3)</f>
        <v>205000</v>
      </c>
      <c r="E45" s="46">
        <f>ROUND(2399547.09, -3)</f>
        <v>2400000</v>
      </c>
      <c r="F45" s="46">
        <f>ROUND(233425.8,-3)</f>
        <v>233000</v>
      </c>
      <c r="G45" s="46">
        <f>ROUND(1597402.6,-3)</f>
        <v>1597000</v>
      </c>
      <c r="H45" s="46">
        <f>ROUND(13309.03,-3)</f>
        <v>13000</v>
      </c>
      <c r="I45" s="46">
        <f>ROUND(81848.49,-3)</f>
        <v>82000</v>
      </c>
      <c r="J45" s="531" t="s">
        <v>900</v>
      </c>
    </row>
    <row r="46" spans="1:11" ht="15" customHeight="1">
      <c r="A46" s="1374">
        <v>2022</v>
      </c>
      <c r="B46" s="46">
        <v>557000</v>
      </c>
      <c r="C46" s="396">
        <v>159000</v>
      </c>
      <c r="D46" s="46">
        <v>159000</v>
      </c>
      <c r="E46" s="46">
        <v>2576000</v>
      </c>
      <c r="F46" s="46">
        <v>229000</v>
      </c>
      <c r="G46" s="46">
        <v>2314000</v>
      </c>
      <c r="H46" s="46">
        <v>16000</v>
      </c>
      <c r="I46" s="46">
        <v>109000</v>
      </c>
      <c r="J46" s="531"/>
    </row>
    <row r="47" spans="1:11">
      <c r="A47" s="13"/>
      <c r="B47" s="687"/>
      <c r="C47" s="687"/>
      <c r="D47" s="687"/>
      <c r="E47" s="687"/>
      <c r="F47" s="687"/>
      <c r="G47" s="687"/>
      <c r="H47" s="687"/>
      <c r="I47" s="687"/>
      <c r="J47" s="441"/>
      <c r="K47" s="439"/>
    </row>
    <row r="48" spans="1:11" s="1347" customFormat="1" ht="11.5">
      <c r="A48" s="1347" t="s">
        <v>1289</v>
      </c>
      <c r="B48" s="1370"/>
      <c r="C48" s="1369"/>
      <c r="D48" s="1371"/>
      <c r="E48" s="1371"/>
      <c r="F48" s="1371"/>
      <c r="G48" s="1371"/>
      <c r="H48" s="1371"/>
      <c r="I48" s="1371"/>
      <c r="J48" s="1372"/>
    </row>
    <row r="49" spans="1:10" s="1347" customFormat="1" ht="15" customHeight="1">
      <c r="A49" s="1942" t="s">
        <v>1372</v>
      </c>
      <c r="B49" s="1943"/>
      <c r="C49" s="1943"/>
      <c r="D49" s="1943"/>
      <c r="E49" s="1943"/>
      <c r="F49" s="1943"/>
      <c r="G49" s="1943"/>
      <c r="H49" s="1943"/>
      <c r="I49" s="1943"/>
      <c r="J49" s="1373"/>
    </row>
    <row r="50" spans="1:10" s="1347" customFormat="1" ht="15" customHeight="1">
      <c r="A50" s="1942" t="s">
        <v>1373</v>
      </c>
      <c r="B50" s="1943"/>
      <c r="C50" s="1943"/>
      <c r="D50" s="1943"/>
      <c r="E50" s="1943"/>
      <c r="F50" s="1943"/>
      <c r="G50" s="1943"/>
      <c r="H50" s="1943"/>
      <c r="I50" s="1943"/>
      <c r="J50" s="1373"/>
    </row>
    <row r="51" spans="1:10" s="1347" customFormat="1" ht="15" customHeight="1">
      <c r="A51" s="1942" t="s">
        <v>1374</v>
      </c>
      <c r="B51" s="1943"/>
      <c r="C51" s="1943"/>
      <c r="D51" s="1943"/>
      <c r="E51" s="1943"/>
      <c r="F51" s="1943"/>
      <c r="G51" s="1943"/>
      <c r="H51" s="1943"/>
      <c r="I51" s="1943"/>
      <c r="J51" s="1373"/>
    </row>
    <row r="52" spans="1:10" s="1347" customFormat="1" ht="27" customHeight="1">
      <c r="A52" s="1942" t="s">
        <v>1375</v>
      </c>
      <c r="B52" s="1943"/>
      <c r="C52" s="1943"/>
      <c r="D52" s="1943"/>
      <c r="E52" s="1943"/>
      <c r="F52" s="1943"/>
      <c r="G52" s="1943"/>
      <c r="H52" s="1943"/>
      <c r="I52" s="1943"/>
      <c r="J52" s="1373"/>
    </row>
    <row r="53" spans="1:10" s="1347" customFormat="1" ht="15" customHeight="1">
      <c r="A53" s="1942" t="s">
        <v>1376</v>
      </c>
      <c r="B53" s="1943"/>
      <c r="C53" s="1943"/>
      <c r="D53" s="1943"/>
      <c r="E53" s="1943"/>
      <c r="F53" s="1943"/>
      <c r="G53" s="1943"/>
      <c r="H53" s="1943"/>
      <c r="I53" s="1943"/>
      <c r="J53" s="1373"/>
    </row>
    <row r="54" spans="1:10" s="1347" customFormat="1" ht="27" customHeight="1">
      <c r="A54" s="1942" t="s">
        <v>1377</v>
      </c>
      <c r="B54" s="1943"/>
      <c r="C54" s="1943"/>
      <c r="D54" s="1943"/>
      <c r="E54" s="1943"/>
      <c r="F54" s="1943"/>
      <c r="G54" s="1943"/>
      <c r="H54" s="1943"/>
      <c r="I54" s="1943"/>
      <c r="J54" s="1373"/>
    </row>
    <row r="55" spans="1:10" s="1347" customFormat="1" ht="15" customHeight="1">
      <c r="A55" s="1942" t="s">
        <v>1378</v>
      </c>
      <c r="B55" s="1943"/>
      <c r="C55" s="1943"/>
      <c r="D55" s="1943"/>
      <c r="E55" s="1943"/>
      <c r="F55" s="1943"/>
      <c r="G55" s="1943"/>
      <c r="H55" s="1943"/>
      <c r="I55" s="1943"/>
      <c r="J55" s="1373"/>
    </row>
    <row r="56" spans="1:10" s="1347" customFormat="1" ht="15" customHeight="1">
      <c r="A56" s="1942" t="s">
        <v>1379</v>
      </c>
      <c r="B56" s="1943"/>
      <c r="C56" s="1943"/>
      <c r="D56" s="1943"/>
      <c r="E56" s="1943"/>
      <c r="F56" s="1943"/>
      <c r="G56" s="1943"/>
      <c r="H56" s="1943"/>
      <c r="I56" s="1943"/>
      <c r="J56" s="1373"/>
    </row>
    <row r="57" spans="1:10" s="772" customFormat="1" ht="12.75" customHeight="1">
      <c r="A57" s="862" t="s">
        <v>990</v>
      </c>
      <c r="B57" s="773"/>
      <c r="C57" s="773"/>
      <c r="D57" s="773"/>
      <c r="E57" s="774"/>
    </row>
    <row r="62" spans="1:10" s="1347" customFormat="1" ht="11.5">
      <c r="B62" s="1370"/>
      <c r="C62" s="1369"/>
      <c r="D62" s="1371"/>
      <c r="E62" s="1371"/>
      <c r="F62" s="1371"/>
      <c r="G62" s="1371"/>
      <c r="H62" s="1371"/>
      <c r="I62" s="1371"/>
      <c r="J62" s="1372"/>
    </row>
    <row r="63" spans="1:10" s="1367" customFormat="1" ht="11.5">
      <c r="A63" s="1944"/>
      <c r="B63" s="1943"/>
      <c r="C63" s="1943"/>
      <c r="D63" s="1943"/>
      <c r="E63" s="1943"/>
      <c r="F63" s="1943"/>
      <c r="G63" s="1943"/>
      <c r="H63" s="1943"/>
      <c r="I63" s="1943"/>
      <c r="J63" s="1368"/>
    </row>
    <row r="64" spans="1:10" s="1347" customFormat="1" ht="11.5">
      <c r="A64" s="1942"/>
      <c r="B64" s="1943"/>
      <c r="C64" s="1943"/>
      <c r="D64" s="1943"/>
      <c r="E64" s="1943"/>
      <c r="F64" s="1943"/>
      <c r="G64" s="1943"/>
      <c r="H64" s="1943"/>
      <c r="I64" s="1943"/>
      <c r="J64" s="1373"/>
    </row>
  </sheetData>
  <sortState columnSort="1" ref="K4:Y8">
    <sortCondition ref="K4:Y4"/>
  </sortState>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8">
    <mergeCell ref="A52:I52"/>
    <mergeCell ref="A63:I63"/>
    <mergeCell ref="A64:I64"/>
    <mergeCell ref="A21:I21"/>
    <mergeCell ref="A22:I22"/>
    <mergeCell ref="A23:I23"/>
    <mergeCell ref="A24:I24"/>
    <mergeCell ref="A25:I25"/>
    <mergeCell ref="A26:I26"/>
    <mergeCell ref="A53:I53"/>
    <mergeCell ref="A54:I54"/>
    <mergeCell ref="A55:I55"/>
    <mergeCell ref="A56:I56"/>
    <mergeCell ref="A28:I28"/>
    <mergeCell ref="A49:I49"/>
    <mergeCell ref="A50:I50"/>
    <mergeCell ref="A51:I51"/>
    <mergeCell ref="A27:I27"/>
  </mergeCells>
  <phoneticPr fontId="12" type="noConversion"/>
  <hyperlinks>
    <hyperlink ref="K1" location="TOC!A1" display="Back"/>
  </hyperlinks>
  <pageMargins left="0.6" right="0.25" top="0.5" bottom="0.25" header="0.25" footer="0"/>
  <pageSetup orientation="landscape" r:id="rId2"/>
  <headerFooter scaleWithDoc="0">
    <oddHeader>&amp;R&amp;P</oddHeader>
  </headerFooter>
  <rowBreaks count="1" manualBreakCount="1">
    <brk id="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47"/>
  <sheetViews>
    <sheetView zoomScale="95" zoomScaleNormal="95" workbookViewId="0"/>
  </sheetViews>
  <sheetFormatPr defaultColWidth="9.26953125" defaultRowHeight="12.5"/>
  <cols>
    <col min="1" max="1" width="26" style="411" customWidth="1"/>
    <col min="2" max="2" width="27.26953125" style="426" customWidth="1"/>
    <col min="3" max="3" width="22.1796875" style="426" customWidth="1"/>
    <col min="4" max="5" width="16.453125" style="426" bestFit="1" customWidth="1"/>
    <col min="6" max="6" width="18.1796875" style="426" bestFit="1" customWidth="1"/>
    <col min="7" max="7" width="2.7265625" style="426" customWidth="1"/>
    <col min="8" max="16384" width="9.26953125" style="411"/>
  </cols>
  <sheetData>
    <row r="1" spans="1:8" s="1380" customFormat="1" ht="16" customHeight="1">
      <c r="A1" s="1382" t="s">
        <v>283</v>
      </c>
      <c r="B1" s="1382"/>
      <c r="C1" s="1382"/>
      <c r="D1" s="1777"/>
      <c r="E1" s="1777"/>
      <c r="F1" s="1777"/>
      <c r="G1" s="1777"/>
      <c r="H1" s="1383" t="s">
        <v>1018</v>
      </c>
    </row>
    <row r="2" spans="1:8" s="1380" customFormat="1" ht="14" customHeight="1">
      <c r="A2" s="1384" t="s">
        <v>1243</v>
      </c>
      <c r="B2" s="1384"/>
      <c r="C2" s="1384"/>
      <c r="D2" s="1777"/>
      <c r="E2" s="1777"/>
      <c r="F2" s="1777"/>
      <c r="G2" s="1777"/>
    </row>
    <row r="3" spans="1:8" ht="5" customHeight="1"/>
    <row r="4" spans="1:8" s="1380" customFormat="1" ht="13">
      <c r="A4" s="1381"/>
      <c r="B4" s="1778"/>
      <c r="C4" s="1778"/>
      <c r="D4" s="1779" t="s">
        <v>284</v>
      </c>
      <c r="E4" s="1779" t="s">
        <v>285</v>
      </c>
      <c r="F4" s="1779" t="s">
        <v>16</v>
      </c>
      <c r="G4" s="1777"/>
    </row>
    <row r="5" spans="1:8" ht="12.5" customHeight="1">
      <c r="A5" s="78" t="s">
        <v>286</v>
      </c>
      <c r="B5" s="425"/>
      <c r="C5" s="425"/>
      <c r="D5" s="1780">
        <v>691737699353.27002</v>
      </c>
      <c r="E5" s="1781">
        <v>551282717472</v>
      </c>
      <c r="F5" s="1780">
        <f>SUM(D5:E5)</f>
        <v>1243020416825.27</v>
      </c>
    </row>
    <row r="6" spans="1:8" ht="12.5" customHeight="1">
      <c r="A6" s="424" t="s">
        <v>763</v>
      </c>
      <c r="B6" s="424"/>
      <c r="C6" s="424"/>
      <c r="D6" s="1782">
        <v>18426807848</v>
      </c>
      <c r="E6" s="1783">
        <v>12308042099</v>
      </c>
      <c r="F6" s="1782">
        <f t="shared" ref="F6:F14" si="0">D6+E6</f>
        <v>30734849947</v>
      </c>
    </row>
    <row r="7" spans="1:8" ht="12.5" customHeight="1">
      <c r="A7" s="79" t="s">
        <v>287</v>
      </c>
      <c r="B7" s="424"/>
      <c r="C7" s="424"/>
      <c r="D7" s="1782">
        <v>637301</v>
      </c>
      <c r="E7" s="1783">
        <v>0</v>
      </c>
      <c r="F7" s="1782">
        <f t="shared" si="0"/>
        <v>637301</v>
      </c>
      <c r="G7" s="412"/>
    </row>
    <row r="8" spans="1:8" ht="12.5" customHeight="1">
      <c r="A8" s="78" t="s">
        <v>288</v>
      </c>
      <c r="B8" s="425"/>
      <c r="C8" s="425"/>
      <c r="D8" s="1782">
        <v>51260347092.610001</v>
      </c>
      <c r="E8" s="1783">
        <v>38359048987</v>
      </c>
      <c r="F8" s="1782">
        <f t="shared" si="0"/>
        <v>89619396079.610001</v>
      </c>
    </row>
    <row r="9" spans="1:8" ht="12.5" customHeight="1">
      <c r="A9" s="411" t="s">
        <v>289</v>
      </c>
      <c r="D9" s="1782">
        <v>239151177538</v>
      </c>
      <c r="E9" s="1783">
        <v>161191993877</v>
      </c>
      <c r="F9" s="1782">
        <f t="shared" si="0"/>
        <v>400343171415</v>
      </c>
    </row>
    <row r="10" spans="1:8" ht="12.5" customHeight="1">
      <c r="A10" s="411" t="s">
        <v>290</v>
      </c>
      <c r="D10" s="1782">
        <v>66503975882</v>
      </c>
      <c r="E10" s="1783">
        <v>96925444758</v>
      </c>
      <c r="F10" s="1782">
        <f t="shared" si="0"/>
        <v>163429420640</v>
      </c>
    </row>
    <row r="11" spans="1:8" ht="12.5" customHeight="1">
      <c r="A11" s="425" t="s">
        <v>764</v>
      </c>
      <c r="B11" s="425"/>
      <c r="C11" s="425"/>
      <c r="D11" s="1783">
        <v>-40409840</v>
      </c>
      <c r="E11" s="1783">
        <v>430000000</v>
      </c>
      <c r="F11" s="1782">
        <f t="shared" si="0"/>
        <v>389590160</v>
      </c>
    </row>
    <row r="12" spans="1:8" ht="12.5" customHeight="1">
      <c r="A12" s="425" t="s">
        <v>765</v>
      </c>
      <c r="B12" s="425"/>
      <c r="C12" s="425"/>
      <c r="D12" s="1782">
        <f>D5+D6+D7-D8-D9-D10-D11</f>
        <v>353290053829.66003</v>
      </c>
      <c r="E12" s="1782">
        <f>E5+E6+E7-E8-E9-E10-E11</f>
        <v>266684271949</v>
      </c>
      <c r="F12" s="1782">
        <f t="shared" si="0"/>
        <v>619974325778.66003</v>
      </c>
    </row>
    <row r="13" spans="1:8" ht="12.5" customHeight="1">
      <c r="A13" s="425" t="s">
        <v>291</v>
      </c>
      <c r="B13" s="425"/>
      <c r="C13" s="425"/>
      <c r="D13" s="1782">
        <v>12145903398.343328</v>
      </c>
      <c r="E13" s="1783">
        <v>14827447115.633543</v>
      </c>
      <c r="F13" s="1782">
        <f t="shared" si="0"/>
        <v>26973350513.976871</v>
      </c>
    </row>
    <row r="14" spans="1:8" ht="12.5" customHeight="1">
      <c r="A14" s="425" t="s">
        <v>292</v>
      </c>
      <c r="B14" s="425"/>
      <c r="C14" s="425"/>
      <c r="D14" s="1782">
        <v>1809815947</v>
      </c>
      <c r="E14" s="1784">
        <v>1753880393</v>
      </c>
      <c r="F14" s="1782">
        <f t="shared" si="0"/>
        <v>3563696340</v>
      </c>
    </row>
    <row r="15" spans="1:8" ht="12.5" customHeight="1">
      <c r="A15" s="425" t="s">
        <v>293</v>
      </c>
      <c r="B15" s="425"/>
      <c r="C15" s="425"/>
      <c r="D15" s="1782">
        <v>854986867</v>
      </c>
      <c r="E15" s="1784">
        <v>763677757</v>
      </c>
      <c r="F15" s="1785">
        <f>D15+E15</f>
        <v>1618664624</v>
      </c>
    </row>
    <row r="16" spans="1:8" ht="12.5" customHeight="1">
      <c r="A16" s="1786" t="s">
        <v>294</v>
      </c>
      <c r="B16" s="1786"/>
      <c r="C16" s="1786"/>
      <c r="D16" s="1787">
        <f>D13-D14-D15</f>
        <v>9481100584.3433285</v>
      </c>
      <c r="E16" s="1787">
        <f>E13-E14-E15</f>
        <v>12309888965.633543</v>
      </c>
      <c r="F16" s="1788">
        <f>SUM(D16:E16)</f>
        <v>21790989549.976871</v>
      </c>
    </row>
    <row r="17" spans="1:7" ht="5" customHeight="1">
      <c r="A17" s="425"/>
      <c r="B17" s="425"/>
      <c r="C17" s="425"/>
      <c r="D17" s="1780"/>
      <c r="E17" s="1781"/>
      <c r="F17" s="1780"/>
    </row>
    <row r="18" spans="1:7" ht="5" customHeight="1">
      <c r="A18" s="425"/>
      <c r="B18" s="425"/>
      <c r="C18" s="425"/>
      <c r="D18" s="1780"/>
      <c r="E18" s="1781"/>
      <c r="F18" s="1780"/>
    </row>
    <row r="19" spans="1:7" ht="12.5" customHeight="1">
      <c r="A19" s="425" t="s">
        <v>45</v>
      </c>
      <c r="B19" s="425"/>
      <c r="C19" s="425"/>
      <c r="D19" s="1780">
        <v>51656390.863433331</v>
      </c>
      <c r="E19" s="1789">
        <v>102127100.50231442</v>
      </c>
      <c r="F19" s="1780">
        <f>D19+E19</f>
        <v>153783491.36574775</v>
      </c>
    </row>
    <row r="20" spans="1:7" ht="12.5" customHeight="1">
      <c r="A20" s="425" t="s">
        <v>295</v>
      </c>
      <c r="B20" s="425"/>
      <c r="C20" s="425"/>
      <c r="D20" s="1782">
        <v>41325131.493629843</v>
      </c>
      <c r="E20" s="1782">
        <v>81701680.40185155</v>
      </c>
      <c r="F20" s="1782">
        <f>D20+E20</f>
        <v>123026811.89548139</v>
      </c>
    </row>
    <row r="21" spans="1:7" ht="12.5" customHeight="1">
      <c r="A21" s="425" t="s">
        <v>296</v>
      </c>
      <c r="B21" s="425"/>
      <c r="C21" s="425"/>
      <c r="D21" s="1782"/>
      <c r="E21" s="1782"/>
      <c r="F21" s="1782"/>
    </row>
    <row r="22" spans="1:7" ht="12.5" customHeight="1">
      <c r="A22" s="425" t="s">
        <v>742</v>
      </c>
      <c r="B22" s="425"/>
      <c r="C22" s="425"/>
      <c r="D22" s="1782">
        <v>17300</v>
      </c>
      <c r="E22" s="1782">
        <v>253499</v>
      </c>
      <c r="F22" s="1782">
        <f>D22+E22</f>
        <v>270799</v>
      </c>
    </row>
    <row r="23" spans="1:7" ht="12.5" customHeight="1">
      <c r="A23" s="426" t="s">
        <v>297</v>
      </c>
      <c r="D23" s="1790">
        <v>0</v>
      </c>
      <c r="E23" s="1782">
        <v>0</v>
      </c>
      <c r="F23" s="1782">
        <f t="shared" ref="F23:F25" si="1">D23+E23</f>
        <v>0</v>
      </c>
      <c r="G23" s="412"/>
    </row>
    <row r="24" spans="1:7" ht="12.5" customHeight="1">
      <c r="A24" s="426" t="s">
        <v>243</v>
      </c>
      <c r="D24" s="1790">
        <v>315464</v>
      </c>
      <c r="E24" s="1791">
        <v>0</v>
      </c>
      <c r="F24" s="1782">
        <f>D24+E24</f>
        <v>315464</v>
      </c>
    </row>
    <row r="25" spans="1:7" ht="12.5" hidden="1" customHeight="1">
      <c r="A25" s="426" t="s">
        <v>766</v>
      </c>
      <c r="D25" s="1790">
        <v>0</v>
      </c>
      <c r="E25" s="1782">
        <v>0</v>
      </c>
      <c r="F25" s="1782">
        <f t="shared" si="1"/>
        <v>0</v>
      </c>
    </row>
    <row r="26" spans="1:7" ht="12.5" customHeight="1">
      <c r="A26" s="426" t="s">
        <v>739</v>
      </c>
      <c r="D26" s="1790">
        <v>0</v>
      </c>
      <c r="E26" s="1782">
        <v>0</v>
      </c>
      <c r="F26" s="1782">
        <f>D26+E26</f>
        <v>0</v>
      </c>
    </row>
    <row r="27" spans="1:7" s="1380" customFormat="1" ht="12.5" customHeight="1">
      <c r="A27" s="1792" t="s">
        <v>298</v>
      </c>
      <c r="B27" s="1792"/>
      <c r="C27" s="1792"/>
      <c r="D27" s="1793">
        <f>D19-D20-D22-D23-D24-D25-D26</f>
        <v>9998495.3698034883</v>
      </c>
      <c r="E27" s="1793">
        <f>E19-E20-E22-E23-E24-E25-E26</f>
        <v>20171921.100462869</v>
      </c>
      <c r="F27" s="1793">
        <f>SUM(D27:E27)</f>
        <v>30170416.470266357</v>
      </c>
      <c r="G27" s="1777"/>
    </row>
    <row r="28" spans="1:7" ht="6" customHeight="1"/>
    <row r="29" spans="1:7" ht="6" customHeight="1"/>
    <row r="30" spans="1:7" ht="18">
      <c r="A30" s="413" t="s">
        <v>299</v>
      </c>
      <c r="B30" s="413"/>
      <c r="C30" s="413"/>
      <c r="D30" s="1794"/>
      <c r="E30" s="1794"/>
      <c r="F30" s="1795"/>
      <c r="G30" s="1795"/>
    </row>
    <row r="31" spans="1:7" ht="15.5">
      <c r="A31" s="414" t="s">
        <v>300</v>
      </c>
      <c r="B31" s="414"/>
      <c r="C31" s="414"/>
      <c r="D31" s="1796"/>
      <c r="E31" s="1796"/>
      <c r="F31" s="1795"/>
      <c r="G31" s="1795"/>
    </row>
    <row r="32" spans="1:7" ht="9" customHeight="1" thickBot="1">
      <c r="A32" s="415"/>
      <c r="B32" s="1797"/>
      <c r="C32" s="1797"/>
      <c r="D32" s="1796"/>
      <c r="E32" s="1796"/>
      <c r="F32" s="1795"/>
      <c r="G32" s="1795"/>
    </row>
    <row r="33" spans="1:7" ht="16" customHeight="1">
      <c r="A33" s="775" t="s">
        <v>31</v>
      </c>
      <c r="B33" s="1798" t="s">
        <v>301</v>
      </c>
      <c r="C33" s="1799"/>
      <c r="D33" s="1800"/>
      <c r="E33" s="1799"/>
      <c r="F33" s="1795"/>
      <c r="G33" s="1795"/>
    </row>
    <row r="34" spans="1:7">
      <c r="A34" s="416">
        <v>2016</v>
      </c>
      <c r="B34" s="1801">
        <v>21142000</v>
      </c>
      <c r="C34" s="1802"/>
      <c r="E34" s="1803"/>
      <c r="F34" s="1795"/>
      <c r="G34" s="1795"/>
    </row>
    <row r="35" spans="1:7">
      <c r="A35" s="416">
        <v>2017</v>
      </c>
      <c r="B35" s="1804">
        <v>23068000</v>
      </c>
      <c r="C35" s="1802"/>
      <c r="E35" s="1803"/>
      <c r="F35" s="1795"/>
      <c r="G35" s="1795"/>
    </row>
    <row r="36" spans="1:7">
      <c r="A36" s="416">
        <v>2018</v>
      </c>
      <c r="B36" s="1804">
        <v>23724800</v>
      </c>
      <c r="C36" s="1802"/>
      <c r="E36" s="1803"/>
      <c r="F36" s="1795"/>
      <c r="G36" s="1795"/>
    </row>
    <row r="37" spans="1:7">
      <c r="A37" s="416">
        <v>2019</v>
      </c>
      <c r="B37" s="1804">
        <v>29641360</v>
      </c>
      <c r="C37" s="1795"/>
      <c r="D37" s="1795"/>
      <c r="E37" s="1795"/>
      <c r="F37" s="1795"/>
      <c r="G37" s="1795"/>
    </row>
    <row r="38" spans="1:7">
      <c r="A38" s="416">
        <v>2020</v>
      </c>
      <c r="B38" s="1804">
        <v>25949060</v>
      </c>
      <c r="C38" s="1795"/>
      <c r="D38" s="1795"/>
      <c r="E38" s="1795"/>
      <c r="F38" s="1795"/>
      <c r="G38" s="1795"/>
    </row>
    <row r="39" spans="1:7">
      <c r="A39" s="416">
        <v>2021</v>
      </c>
      <c r="B39" s="1804">
        <v>29336130</v>
      </c>
      <c r="C39" s="1795"/>
      <c r="D39" s="1795"/>
      <c r="E39" s="1795"/>
      <c r="F39" s="1795"/>
      <c r="G39" s="1795"/>
    </row>
    <row r="40" spans="1:7">
      <c r="A40" s="416">
        <v>2022</v>
      </c>
      <c r="B40" s="1804">
        <f>ROUND($F$27,-1)</f>
        <v>30170420</v>
      </c>
    </row>
    <row r="47" spans="1:7" s="772" customFormat="1" ht="12.75" customHeight="1">
      <c r="A47" s="862" t="s">
        <v>986</v>
      </c>
      <c r="B47" s="943"/>
      <c r="C47" s="943"/>
      <c r="D47" s="943"/>
      <c r="E47" s="943"/>
      <c r="F47" s="1561"/>
      <c r="G47" s="1561"/>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hyperlinks>
    <hyperlink ref="H1" location="TOC!A1" display="Back"/>
  </hyperlinks>
  <pageMargins left="0.6" right="0.25" top="0.35" bottom="0.25" header="0.25" footer="0.25"/>
  <pageSetup orientation="landscape" r:id="rId2"/>
  <headerFooter scaleWithDoc="0">
    <oddHeader>&amp;R&amp;P</oddHead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72"/>
  <sheetViews>
    <sheetView zoomScaleNormal="100" zoomScaleSheetLayoutView="90" workbookViewId="0">
      <pane ySplit="3040" topLeftCell="A132"/>
      <selection pane="bottomLeft" activeCell="A160" sqref="A160"/>
    </sheetView>
  </sheetViews>
  <sheetFormatPr defaultColWidth="11.26953125" defaultRowHeight="12.5"/>
  <cols>
    <col min="1" max="1" width="22.81640625" style="99" customWidth="1"/>
    <col min="2" max="2" width="13.7265625" style="99" hidden="1" customWidth="1"/>
    <col min="3" max="5" width="14.6328125" style="99" customWidth="1"/>
    <col min="6" max="7" width="14.6328125" style="175" customWidth="1"/>
    <col min="8" max="8" width="4.81640625" style="99" bestFit="1" customWidth="1"/>
    <col min="9" max="16384" width="11.26953125" style="99"/>
  </cols>
  <sheetData>
    <row r="1" spans="1:8" s="371" customFormat="1" ht="17.5" customHeight="1">
      <c r="A1" s="370" t="s">
        <v>599</v>
      </c>
      <c r="B1" s="370"/>
      <c r="C1" s="370"/>
      <c r="D1" s="370"/>
      <c r="F1" s="372"/>
      <c r="G1" s="372"/>
      <c r="H1" s="939" t="s">
        <v>1018</v>
      </c>
    </row>
    <row r="2" spans="1:8" s="371" customFormat="1" ht="15.65" customHeight="1">
      <c r="A2" s="373" t="s">
        <v>792</v>
      </c>
      <c r="B2" s="373"/>
      <c r="C2" s="373"/>
      <c r="D2" s="373"/>
      <c r="F2" s="372"/>
      <c r="G2" s="372"/>
    </row>
    <row r="3" spans="1:8" s="371" customFormat="1" ht="6" customHeight="1" thickBot="1">
      <c r="A3" s="348"/>
      <c r="B3" s="374"/>
      <c r="C3" s="374"/>
      <c r="D3" s="374"/>
      <c r="F3" s="372"/>
      <c r="G3" s="372"/>
    </row>
    <row r="4" spans="1:8" ht="26.5" thickTop="1">
      <c r="A4" s="630" t="s">
        <v>21</v>
      </c>
      <c r="B4" s="631" t="s">
        <v>930</v>
      </c>
      <c r="C4" s="1198" t="s">
        <v>931</v>
      </c>
      <c r="D4" s="1198" t="s">
        <v>932</v>
      </c>
      <c r="E4" s="1198" t="s">
        <v>933</v>
      </c>
      <c r="F4" s="1198" t="s">
        <v>964</v>
      </c>
      <c r="G4" s="1198" t="s">
        <v>1069</v>
      </c>
    </row>
    <row r="5" spans="1:8" ht="24" customHeight="1">
      <c r="A5" s="377" t="s">
        <v>54</v>
      </c>
      <c r="B5" s="378">
        <v>831479.45</v>
      </c>
      <c r="C5" s="1059">
        <v>916004.78999999992</v>
      </c>
      <c r="D5" s="1060">
        <v>1023735.09</v>
      </c>
      <c r="E5" s="1060">
        <v>1085444.9900000002</v>
      </c>
      <c r="F5" s="1060">
        <v>1609351.07</v>
      </c>
      <c r="G5" s="1060">
        <v>1723090.65</v>
      </c>
    </row>
    <row r="6" spans="1:8">
      <c r="A6" s="97" t="s">
        <v>56</v>
      </c>
      <c r="B6" s="98">
        <v>5661987.8499999996</v>
      </c>
      <c r="C6" s="1061">
        <v>7310466.5799999982</v>
      </c>
      <c r="D6" s="1062">
        <v>6783830.5199999996</v>
      </c>
      <c r="E6" s="1062">
        <v>7677069.2299999986</v>
      </c>
      <c r="F6" s="1062">
        <v>10783141.449999999</v>
      </c>
      <c r="G6" s="1062">
        <v>10110250.65</v>
      </c>
    </row>
    <row r="7" spans="1:8">
      <c r="A7" s="97" t="s">
        <v>58</v>
      </c>
      <c r="B7" s="98">
        <v>208395.54</v>
      </c>
      <c r="C7" s="1061">
        <v>184885.83</v>
      </c>
      <c r="D7" s="1062">
        <v>203069.11</v>
      </c>
      <c r="E7" s="1062">
        <v>291456.63</v>
      </c>
      <c r="F7" s="1062">
        <v>322369.33</v>
      </c>
      <c r="G7" s="1062">
        <v>368867.1</v>
      </c>
    </row>
    <row r="8" spans="1:8">
      <c r="A8" s="97" t="s">
        <v>60</v>
      </c>
      <c r="B8" s="98">
        <v>328832.78999999998</v>
      </c>
      <c r="C8" s="1061">
        <v>343579.66000000003</v>
      </c>
      <c r="D8" s="1062">
        <v>365922.63</v>
      </c>
      <c r="E8" s="1062">
        <v>410504.98999999993</v>
      </c>
      <c r="F8" s="1062">
        <v>560960.31000000006</v>
      </c>
      <c r="G8" s="1062">
        <v>680485.66</v>
      </c>
    </row>
    <row r="9" spans="1:8">
      <c r="A9" s="97" t="s">
        <v>62</v>
      </c>
      <c r="B9" s="98">
        <v>531758.03</v>
      </c>
      <c r="C9" s="1061">
        <v>608204.8600000001</v>
      </c>
      <c r="D9" s="1062">
        <v>604215.96</v>
      </c>
      <c r="E9" s="1062">
        <v>777235.10999999964</v>
      </c>
      <c r="F9" s="1062">
        <v>989743.54</v>
      </c>
      <c r="G9" s="1062">
        <v>1128793.97</v>
      </c>
    </row>
    <row r="10" spans="1:8" ht="24" customHeight="1">
      <c r="A10" s="97" t="s">
        <v>64</v>
      </c>
      <c r="B10" s="98">
        <v>322942.42</v>
      </c>
      <c r="C10" s="1061">
        <v>329293.32999999996</v>
      </c>
      <c r="D10" s="1062">
        <v>312322.24</v>
      </c>
      <c r="E10" s="1062">
        <v>428932.31999999989</v>
      </c>
      <c r="F10" s="1062">
        <v>542059.07999999996</v>
      </c>
      <c r="G10" s="1062">
        <v>601369.59</v>
      </c>
    </row>
    <row r="11" spans="1:8">
      <c r="A11" s="97" t="s">
        <v>66</v>
      </c>
      <c r="B11" s="98">
        <v>21478308.510000005</v>
      </c>
      <c r="C11" s="1061">
        <v>21160588.409999996</v>
      </c>
      <c r="D11" s="1062">
        <v>20140024.699999999</v>
      </c>
      <c r="E11" s="1062">
        <v>22966291.539999992</v>
      </c>
      <c r="F11" s="1062">
        <v>31465024.09</v>
      </c>
      <c r="G11" s="1062">
        <v>37330804.600000001</v>
      </c>
    </row>
    <row r="12" spans="1:8">
      <c r="A12" s="97" t="s">
        <v>68</v>
      </c>
      <c r="B12" s="98">
        <v>1949753.3000000007</v>
      </c>
      <c r="C12" s="1061">
        <v>2055632.9099999992</v>
      </c>
      <c r="D12" s="1062">
        <v>2172761</v>
      </c>
      <c r="E12" s="1062">
        <v>2555788.8899999997</v>
      </c>
      <c r="F12" s="1062">
        <v>3846710.28</v>
      </c>
      <c r="G12" s="1062">
        <v>3650785.83</v>
      </c>
    </row>
    <row r="13" spans="1:8">
      <c r="A13" s="97" t="s">
        <v>70</v>
      </c>
      <c r="B13" s="98">
        <v>101603.80000000002</v>
      </c>
      <c r="C13" s="1061">
        <v>1219904.4300000002</v>
      </c>
      <c r="D13" s="1062">
        <v>114319.87</v>
      </c>
      <c r="E13" s="1062">
        <v>99799.599999999991</v>
      </c>
      <c r="F13" s="1063">
        <v>180720.6</v>
      </c>
      <c r="G13" s="1063">
        <v>205394.6</v>
      </c>
      <c r="H13" s="174"/>
    </row>
    <row r="14" spans="1:8">
      <c r="A14" s="379" t="s">
        <v>363</v>
      </c>
      <c r="B14" s="98">
        <v>2843846.6799999988</v>
      </c>
      <c r="C14" s="1061">
        <v>2970564.3899999978</v>
      </c>
      <c r="D14" s="1062">
        <v>2831336.91</v>
      </c>
      <c r="E14" s="1062">
        <v>3621182.8</v>
      </c>
      <c r="F14" s="1062">
        <v>5303106.54</v>
      </c>
      <c r="G14" s="1062">
        <v>5601099.9500000002</v>
      </c>
    </row>
    <row r="15" spans="1:8" ht="24" customHeight="1">
      <c r="A15" s="97" t="s">
        <v>73</v>
      </c>
      <c r="B15" s="98">
        <v>78500.430000000008</v>
      </c>
      <c r="C15" s="1061">
        <v>71337.399999999994</v>
      </c>
      <c r="D15" s="1062">
        <v>76614.27</v>
      </c>
      <c r="E15" s="1062">
        <v>69992.200000000012</v>
      </c>
      <c r="F15" s="1062">
        <v>124373.19</v>
      </c>
      <c r="G15" s="1062">
        <v>168844.41</v>
      </c>
    </row>
    <row r="16" spans="1:8">
      <c r="A16" s="97" t="s">
        <v>75</v>
      </c>
      <c r="B16" s="98">
        <v>993600.6100000001</v>
      </c>
      <c r="C16" s="1061">
        <v>1198286.6199999996</v>
      </c>
      <c r="D16" s="1062">
        <v>1237799.42</v>
      </c>
      <c r="E16" s="1062">
        <v>1384786.9600000004</v>
      </c>
      <c r="F16" s="1062">
        <v>1881261.92</v>
      </c>
      <c r="G16" s="1062">
        <v>1613406.33</v>
      </c>
    </row>
    <row r="17" spans="1:8">
      <c r="A17" s="97" t="s">
        <v>77</v>
      </c>
      <c r="B17" s="98">
        <v>181178.00999999995</v>
      </c>
      <c r="C17" s="1061">
        <v>568169.97</v>
      </c>
      <c r="D17" s="1062">
        <v>238211.51</v>
      </c>
      <c r="E17" s="1062">
        <v>338735.82</v>
      </c>
      <c r="F17" s="1062">
        <v>372658.97</v>
      </c>
      <c r="G17" s="1062">
        <v>516299.79</v>
      </c>
      <c r="H17" s="174"/>
    </row>
    <row r="18" spans="1:8">
      <c r="A18" s="97" t="s">
        <v>79</v>
      </c>
      <c r="B18" s="98">
        <v>342363.61</v>
      </c>
      <c r="C18" s="1061">
        <v>142705.30999999997</v>
      </c>
      <c r="D18" s="1062">
        <v>211318.05</v>
      </c>
      <c r="E18" s="1062">
        <v>221787.02999999997</v>
      </c>
      <c r="F18" s="1064">
        <v>185409.94</v>
      </c>
      <c r="G18" s="1064">
        <v>206391.39</v>
      </c>
      <c r="H18" s="177"/>
    </row>
    <row r="19" spans="1:8">
      <c r="A19" s="97" t="s">
        <v>81</v>
      </c>
      <c r="B19" s="98">
        <v>193135.81000000003</v>
      </c>
      <c r="C19" s="1061">
        <v>276950.32000000007</v>
      </c>
      <c r="D19" s="1062">
        <v>262685.05</v>
      </c>
      <c r="E19" s="1062">
        <v>360367.95999999996</v>
      </c>
      <c r="F19" s="1062">
        <v>433154.52</v>
      </c>
      <c r="G19" s="1062">
        <v>449447.81</v>
      </c>
    </row>
    <row r="20" spans="1:8" ht="24" customHeight="1">
      <c r="A20" s="97" t="s">
        <v>83</v>
      </c>
      <c r="B20" s="98">
        <v>1115839.1399999997</v>
      </c>
      <c r="C20" s="1061">
        <v>1075193.4499999997</v>
      </c>
      <c r="D20" s="1062">
        <v>1193786.6399999999</v>
      </c>
      <c r="E20" s="1062">
        <v>1599313.3999999992</v>
      </c>
      <c r="F20" s="1062">
        <v>2290163.75</v>
      </c>
      <c r="G20" s="1062">
        <v>2227666.79</v>
      </c>
    </row>
    <row r="21" spans="1:8">
      <c r="A21" s="97" t="s">
        <v>85</v>
      </c>
      <c r="B21" s="98">
        <v>894974.04000000015</v>
      </c>
      <c r="C21" s="1061">
        <v>1002241.3700000002</v>
      </c>
      <c r="D21" s="1062">
        <v>1027898.34</v>
      </c>
      <c r="E21" s="1062">
        <v>1286025.810000001</v>
      </c>
      <c r="F21" s="1062">
        <v>1975227.45</v>
      </c>
      <c r="G21" s="1062">
        <v>2320586.44</v>
      </c>
    </row>
    <row r="22" spans="1:8">
      <c r="A22" s="97" t="s">
        <v>87</v>
      </c>
      <c r="B22" s="98">
        <v>406986.58000000007</v>
      </c>
      <c r="C22" s="1061">
        <v>513755.00999999983</v>
      </c>
      <c r="D22" s="1062">
        <v>504441.19</v>
      </c>
      <c r="E22" s="1062">
        <v>563956.03999999992</v>
      </c>
      <c r="F22" s="1062">
        <v>830616.78</v>
      </c>
      <c r="G22" s="1062">
        <v>906639.28</v>
      </c>
    </row>
    <row r="23" spans="1:8">
      <c r="A23" s="97" t="s">
        <v>89</v>
      </c>
      <c r="B23" s="98">
        <v>131366.42000000001</v>
      </c>
      <c r="C23" s="1061">
        <v>173996.02</v>
      </c>
      <c r="D23" s="1062">
        <v>178512.76</v>
      </c>
      <c r="E23" s="1062">
        <v>225086.27</v>
      </c>
      <c r="F23" s="1062">
        <v>320140.81</v>
      </c>
      <c r="G23" s="1062">
        <v>304983.31</v>
      </c>
    </row>
    <row r="24" spans="1:8">
      <c r="A24" s="97" t="s">
        <v>91</v>
      </c>
      <c r="B24" s="98">
        <v>138211.43</v>
      </c>
      <c r="C24" s="1061">
        <v>174388.63</v>
      </c>
      <c r="D24" s="1062">
        <v>180717.68</v>
      </c>
      <c r="E24" s="1062">
        <v>222549.5</v>
      </c>
      <c r="F24" s="1062">
        <v>308541.71000000002</v>
      </c>
      <c r="G24" s="1062">
        <v>296035</v>
      </c>
    </row>
    <row r="25" spans="1:8" ht="24" customHeight="1">
      <c r="A25" s="97" t="s">
        <v>93</v>
      </c>
      <c r="B25" s="98">
        <v>15255284.43</v>
      </c>
      <c r="C25" s="1061">
        <v>17478977.450000003</v>
      </c>
      <c r="D25" s="1062">
        <v>18302320.93</v>
      </c>
      <c r="E25" s="1062">
        <v>21225125.040000003</v>
      </c>
      <c r="F25" s="1062">
        <v>30462586.079999998</v>
      </c>
      <c r="G25" s="1062">
        <v>29420781.420000002</v>
      </c>
    </row>
    <row r="26" spans="1:8">
      <c r="A26" s="97" t="s">
        <v>95</v>
      </c>
      <c r="B26" s="98">
        <v>779400.52999999991</v>
      </c>
      <c r="C26" s="1061">
        <v>679722.70999999973</v>
      </c>
      <c r="D26" s="1062">
        <v>757346.96</v>
      </c>
      <c r="E26" s="1062">
        <v>882197.54999999993</v>
      </c>
      <c r="F26" s="1062">
        <v>1503083.69</v>
      </c>
      <c r="G26" s="1062">
        <v>1419606.68</v>
      </c>
    </row>
    <row r="27" spans="1:8">
      <c r="A27" s="97" t="s">
        <v>97</v>
      </c>
      <c r="B27" s="98">
        <v>96579.410000000018</v>
      </c>
      <c r="C27" s="1061">
        <v>105853.02</v>
      </c>
      <c r="D27" s="1062">
        <v>117564.11</v>
      </c>
      <c r="E27" s="1062">
        <v>99354.15</v>
      </c>
      <c r="F27" s="1062">
        <v>169734.01</v>
      </c>
      <c r="G27" s="1062">
        <v>145657.82999999999</v>
      </c>
    </row>
    <row r="28" spans="1:8">
      <c r="A28" s="97" t="s">
        <v>99</v>
      </c>
      <c r="B28" s="98">
        <v>2014069.2299999995</v>
      </c>
      <c r="C28" s="1061">
        <v>2101620.0999999996</v>
      </c>
      <c r="D28" s="1062">
        <v>2219808.7000000002</v>
      </c>
      <c r="E28" s="1062">
        <v>2676410.46</v>
      </c>
      <c r="F28" s="1062">
        <v>3948394.85</v>
      </c>
      <c r="G28" s="1062">
        <v>3563539.67</v>
      </c>
    </row>
    <row r="29" spans="1:8">
      <c r="A29" s="97" t="s">
        <v>101</v>
      </c>
      <c r="B29" s="98">
        <v>186153.71000000002</v>
      </c>
      <c r="C29" s="1061">
        <v>186255.38999999998</v>
      </c>
      <c r="D29" s="1062">
        <v>229777.33</v>
      </c>
      <c r="E29" s="1062">
        <v>302178.89</v>
      </c>
      <c r="F29" s="1062">
        <v>311021.46000000002</v>
      </c>
      <c r="G29" s="1062">
        <v>361067.55</v>
      </c>
    </row>
    <row r="30" spans="1:8" ht="24" customHeight="1">
      <c r="A30" s="97" t="s">
        <v>103</v>
      </c>
      <c r="B30" s="98">
        <v>411986.24</v>
      </c>
      <c r="C30" s="1061">
        <v>188804.97</v>
      </c>
      <c r="D30" s="1062">
        <v>76371.22</v>
      </c>
      <c r="E30" s="1062">
        <v>562230.54</v>
      </c>
      <c r="F30" s="1062">
        <v>91030.89</v>
      </c>
      <c r="G30" s="1062">
        <v>115745.48</v>
      </c>
    </row>
    <row r="31" spans="1:8">
      <c r="A31" s="97" t="s">
        <v>105</v>
      </c>
      <c r="B31" s="98">
        <v>497116.1</v>
      </c>
      <c r="C31" s="1061">
        <v>592965.0199999999</v>
      </c>
      <c r="D31" s="1062">
        <v>736016.09</v>
      </c>
      <c r="E31" s="1062">
        <v>907140.01999999979</v>
      </c>
      <c r="F31" s="1062">
        <v>1040011.46</v>
      </c>
      <c r="G31" s="1062">
        <v>1077572.31</v>
      </c>
    </row>
    <row r="32" spans="1:8">
      <c r="A32" s="97" t="s">
        <v>107</v>
      </c>
      <c r="B32" s="98">
        <v>257344.80000000005</v>
      </c>
      <c r="C32" s="1061">
        <v>269412.54000000004</v>
      </c>
      <c r="D32" s="1062">
        <v>360528.14</v>
      </c>
      <c r="E32" s="1062">
        <v>345444.18</v>
      </c>
      <c r="F32" s="1062">
        <v>551733.09</v>
      </c>
      <c r="G32" s="1062">
        <v>558883.96</v>
      </c>
    </row>
    <row r="33" spans="1:7">
      <c r="A33" s="97" t="s">
        <v>109</v>
      </c>
      <c r="B33" s="98">
        <v>82816460.370000005</v>
      </c>
      <c r="C33" s="1061">
        <v>85641787.530000046</v>
      </c>
      <c r="D33" s="1062">
        <v>82100501.609999999</v>
      </c>
      <c r="E33" s="1062">
        <v>106314702.31000006</v>
      </c>
      <c r="F33" s="1062">
        <v>145339962.56999999</v>
      </c>
      <c r="G33" s="1062">
        <v>125697445.23999999</v>
      </c>
    </row>
    <row r="34" spans="1:7">
      <c r="A34" s="97" t="s">
        <v>111</v>
      </c>
      <c r="B34" s="98">
        <v>4480666.07</v>
      </c>
      <c r="C34" s="1061">
        <v>4763659.9399999995</v>
      </c>
      <c r="D34" s="1062">
        <v>4622955.63</v>
      </c>
      <c r="E34" s="1062">
        <v>6240755.6200000048</v>
      </c>
      <c r="F34" s="1062">
        <v>9271174.6300000008</v>
      </c>
      <c r="G34" s="1062">
        <v>7890420.7599999998</v>
      </c>
    </row>
    <row r="35" spans="1:7" ht="24" customHeight="1">
      <c r="A35" s="97" t="s">
        <v>113</v>
      </c>
      <c r="B35" s="175">
        <v>291708.7699999999</v>
      </c>
      <c r="C35" s="1060">
        <v>300158.71000000002</v>
      </c>
      <c r="D35" s="1060">
        <v>350741.73</v>
      </c>
      <c r="E35" s="1060">
        <v>391111.7300000001</v>
      </c>
      <c r="F35" s="1060">
        <v>576547.26</v>
      </c>
      <c r="G35" s="1060">
        <v>547015.21</v>
      </c>
    </row>
    <row r="36" spans="1:7">
      <c r="A36" s="97" t="s">
        <v>115</v>
      </c>
      <c r="B36" s="173">
        <v>792201.35000000009</v>
      </c>
      <c r="C36" s="1062">
        <v>971906.0899999995</v>
      </c>
      <c r="D36" s="1062">
        <v>851679.42</v>
      </c>
      <c r="E36" s="1062">
        <v>1166850.2100000002</v>
      </c>
      <c r="F36" s="1062">
        <v>1855746.5</v>
      </c>
      <c r="G36" s="1062">
        <v>1649271.52</v>
      </c>
    </row>
    <row r="37" spans="1:7">
      <c r="A37" s="97" t="s">
        <v>24</v>
      </c>
      <c r="B37" s="173">
        <v>1583804.9000000004</v>
      </c>
      <c r="C37" s="1062">
        <v>1805767.9500000007</v>
      </c>
      <c r="D37" s="1062">
        <v>1802646.31</v>
      </c>
      <c r="E37" s="1062">
        <v>2343146.6399999992</v>
      </c>
      <c r="F37" s="1062">
        <v>3891049.54</v>
      </c>
      <c r="G37" s="1062">
        <v>3570115.63</v>
      </c>
    </row>
    <row r="38" spans="1:7">
      <c r="A38" s="97" t="s">
        <v>118</v>
      </c>
      <c r="B38" s="173">
        <v>3882647.4300000011</v>
      </c>
      <c r="C38" s="1062">
        <v>4827371.0199999986</v>
      </c>
      <c r="D38" s="1062">
        <v>4966022.1500000004</v>
      </c>
      <c r="E38" s="1062">
        <v>5458785.2600000007</v>
      </c>
      <c r="F38" s="1062">
        <v>7978901.7599999998</v>
      </c>
      <c r="G38" s="1062">
        <v>7939076.4500000002</v>
      </c>
    </row>
    <row r="39" spans="1:7">
      <c r="A39" s="97" t="s">
        <v>120</v>
      </c>
      <c r="B39" s="173">
        <v>225468.76000000004</v>
      </c>
      <c r="C39" s="1062">
        <v>260573.52000000002</v>
      </c>
      <c r="D39" s="1062">
        <v>255777.01</v>
      </c>
      <c r="E39" s="1062">
        <v>297823.99999999988</v>
      </c>
      <c r="F39" s="1062">
        <v>433026.16</v>
      </c>
      <c r="G39" s="1062">
        <v>430979.35</v>
      </c>
    </row>
    <row r="40" spans="1:7" ht="18">
      <c r="A40" s="1945" t="s">
        <v>600</v>
      </c>
      <c r="B40" s="1945"/>
      <c r="C40" s="1945"/>
      <c r="D40" s="1945"/>
    </row>
    <row r="41" spans="1:7" ht="15.5">
      <c r="A41" s="417" t="str">
        <f>A2</f>
        <v xml:space="preserve">Recordation Tax and Deeds of Conveyance Revenue Collections by Locality </v>
      </c>
      <c r="B41" s="417"/>
      <c r="C41" s="417"/>
      <c r="D41" s="417"/>
      <c r="E41" s="429"/>
      <c r="F41" s="430"/>
      <c r="G41" s="430"/>
    </row>
    <row r="42" spans="1:7" ht="6" customHeight="1" thickBot="1">
      <c r="A42" s="380"/>
      <c r="B42" s="380"/>
      <c r="C42" s="380"/>
      <c r="D42" s="380"/>
    </row>
    <row r="43" spans="1:7" ht="26.5" thickTop="1">
      <c r="A43" s="630" t="s">
        <v>21</v>
      </c>
      <c r="B43" s="631" t="str">
        <f t="shared" ref="B43" si="0">B4</f>
        <v>Fiscal Year 
2016</v>
      </c>
      <c r="C43" s="1198" t="s">
        <v>931</v>
      </c>
      <c r="D43" s="1198" t="s">
        <v>932</v>
      </c>
      <c r="E43" s="1198" t="s">
        <v>933</v>
      </c>
      <c r="F43" s="1198" t="s">
        <v>964</v>
      </c>
      <c r="G43" s="1198" t="s">
        <v>1069</v>
      </c>
    </row>
    <row r="44" spans="1:7" ht="24" customHeight="1">
      <c r="A44" s="97" t="s">
        <v>442</v>
      </c>
      <c r="B44" s="173">
        <v>1296975.0400000003</v>
      </c>
      <c r="C44" s="1062">
        <v>1442470.3499999996</v>
      </c>
      <c r="D44" s="1062">
        <v>1295330.24</v>
      </c>
      <c r="E44" s="1062">
        <v>1641573.1400000008</v>
      </c>
      <c r="F44" s="1062">
        <v>2376065.5</v>
      </c>
      <c r="G44" s="1062">
        <v>2361135.9700000002</v>
      </c>
    </row>
    <row r="45" spans="1:7">
      <c r="A45" s="97" t="s">
        <v>444</v>
      </c>
      <c r="B45" s="173">
        <v>1333510.4199999997</v>
      </c>
      <c r="C45" s="1062">
        <v>1473017.6400000001</v>
      </c>
      <c r="D45" s="1062">
        <v>1721265.8</v>
      </c>
      <c r="E45" s="1062">
        <v>2498348.4599999995</v>
      </c>
      <c r="F45" s="1062">
        <v>2927588.87</v>
      </c>
      <c r="G45" s="1062">
        <v>3219196.09</v>
      </c>
    </row>
    <row r="46" spans="1:7">
      <c r="A46" s="97" t="s">
        <v>446</v>
      </c>
      <c r="B46" s="173">
        <v>266107.12999999995</v>
      </c>
      <c r="C46" s="1062">
        <v>309879.81</v>
      </c>
      <c r="D46" s="1062">
        <v>319890.40000000002</v>
      </c>
      <c r="E46" s="1062">
        <v>363379.93999999994</v>
      </c>
      <c r="F46" s="1062">
        <v>467611.27</v>
      </c>
      <c r="G46" s="1062">
        <v>567726.01</v>
      </c>
    </row>
    <row r="47" spans="1:7">
      <c r="A47" s="97" t="s">
        <v>61</v>
      </c>
      <c r="B47" s="173">
        <v>638654.9299999997</v>
      </c>
      <c r="C47" s="1062">
        <v>665860.2100000002</v>
      </c>
      <c r="D47" s="1062">
        <v>815346.86</v>
      </c>
      <c r="E47" s="1062">
        <v>919761.93999999971</v>
      </c>
      <c r="F47" s="1062">
        <v>1325887.18</v>
      </c>
      <c r="G47" s="1062">
        <v>1302309.82</v>
      </c>
    </row>
    <row r="48" spans="1:7">
      <c r="A48" s="97" t="s">
        <v>452</v>
      </c>
      <c r="B48" s="173">
        <v>113649.53000000001</v>
      </c>
      <c r="C48" s="1062">
        <v>168236.08000000005</v>
      </c>
      <c r="D48" s="1062">
        <v>95004.58</v>
      </c>
      <c r="E48" s="1062">
        <v>101834.98000000004</v>
      </c>
      <c r="F48" s="1062">
        <v>171728.01</v>
      </c>
      <c r="G48" s="1062">
        <v>272672.63</v>
      </c>
    </row>
    <row r="49" spans="1:7" s="381" customFormat="1" ht="24" customHeight="1">
      <c r="A49" s="377" t="s">
        <v>601</v>
      </c>
      <c r="B49" s="173">
        <v>430010.4599999999</v>
      </c>
      <c r="C49" s="1062">
        <v>513838.62999999983</v>
      </c>
      <c r="D49" s="1062">
        <v>420193.85</v>
      </c>
      <c r="E49" s="1062">
        <v>554097.90999999992</v>
      </c>
      <c r="F49" s="1062">
        <v>719066.97</v>
      </c>
      <c r="G49" s="1062">
        <v>792493.91</v>
      </c>
    </row>
    <row r="50" spans="1:7" s="381" customFormat="1">
      <c r="A50" s="97" t="s">
        <v>67</v>
      </c>
      <c r="B50" s="173">
        <v>5149754.4699999988</v>
      </c>
      <c r="C50" s="1062">
        <v>5228012.49</v>
      </c>
      <c r="D50" s="1062">
        <v>5400252.2999999998</v>
      </c>
      <c r="E50" s="1062">
        <v>6739040.0000000075</v>
      </c>
      <c r="F50" s="1062">
        <v>9856129.4600000009</v>
      </c>
      <c r="G50" s="1062">
        <v>9503388.1099999994</v>
      </c>
    </row>
    <row r="51" spans="1:7" s="381" customFormat="1">
      <c r="A51" s="97" t="s">
        <v>69</v>
      </c>
      <c r="B51" s="173">
        <v>14617093.960000001</v>
      </c>
      <c r="C51" s="1062">
        <v>15008362.109999999</v>
      </c>
      <c r="D51" s="1062">
        <v>15947561.550000001</v>
      </c>
      <c r="E51" s="1062">
        <v>19671754.030000005</v>
      </c>
      <c r="F51" s="1062">
        <v>24630987.210000001</v>
      </c>
      <c r="G51" s="1062">
        <v>26278413.440000001</v>
      </c>
    </row>
    <row r="52" spans="1:7" s="381" customFormat="1">
      <c r="A52" s="97" t="s">
        <v>71</v>
      </c>
      <c r="B52" s="173">
        <v>534408.71</v>
      </c>
      <c r="C52" s="1062">
        <v>574025.39999999991</v>
      </c>
      <c r="D52" s="1062">
        <v>484790.07</v>
      </c>
      <c r="E52" s="1062">
        <v>574127.3200000003</v>
      </c>
      <c r="F52" s="1062">
        <v>960304.22</v>
      </c>
      <c r="G52" s="1062">
        <v>1112657.02</v>
      </c>
    </row>
    <row r="53" spans="1:7" s="381" customFormat="1">
      <c r="A53" s="97" t="s">
        <v>72</v>
      </c>
      <c r="B53" s="173">
        <v>63930.060000000005</v>
      </c>
      <c r="C53" s="1062">
        <v>79329.909999999989</v>
      </c>
      <c r="D53" s="1062">
        <v>49289.98</v>
      </c>
      <c r="E53" s="1062">
        <v>89084.74000000002</v>
      </c>
      <c r="F53" s="1062">
        <v>145278.51999999999</v>
      </c>
      <c r="G53" s="1062">
        <v>129505.19</v>
      </c>
    </row>
    <row r="54" spans="1:7" ht="24" customHeight="1">
      <c r="A54" s="97" t="s">
        <v>74</v>
      </c>
      <c r="B54" s="173">
        <v>1470451.02</v>
      </c>
      <c r="C54" s="1062">
        <v>1600880.67</v>
      </c>
      <c r="D54" s="1062">
        <v>1547333.72</v>
      </c>
      <c r="E54" s="1062">
        <v>1959225.4899999998</v>
      </c>
      <c r="F54" s="1062">
        <v>3098198.98</v>
      </c>
      <c r="G54" s="1062">
        <v>2879705.89</v>
      </c>
    </row>
    <row r="55" spans="1:7">
      <c r="A55" s="97" t="s">
        <v>76</v>
      </c>
      <c r="B55" s="173">
        <v>4664288.51</v>
      </c>
      <c r="C55" s="1062">
        <v>4654519.1800000006</v>
      </c>
      <c r="D55" s="1062">
        <v>3995299.62</v>
      </c>
      <c r="E55" s="1062">
        <v>5282264.5499999989</v>
      </c>
      <c r="F55" s="1062">
        <v>8005280.0300000003</v>
      </c>
      <c r="G55" s="1062">
        <v>7428674.1500000004</v>
      </c>
    </row>
    <row r="56" spans="1:7">
      <c r="A56" s="97" t="s">
        <v>78</v>
      </c>
      <c r="B56" s="173">
        <v>127849.94999999997</v>
      </c>
      <c r="C56" s="1062">
        <v>174800.37000000002</v>
      </c>
      <c r="D56" s="1062">
        <v>147799.13</v>
      </c>
      <c r="E56" s="1062">
        <v>177906.49000000005</v>
      </c>
      <c r="F56" s="1062">
        <v>251196.65</v>
      </c>
      <c r="G56" s="1062">
        <v>268071.81</v>
      </c>
    </row>
    <row r="57" spans="1:7">
      <c r="A57" s="97" t="s">
        <v>80</v>
      </c>
      <c r="B57" s="173">
        <v>968808.80999999982</v>
      </c>
      <c r="C57" s="1062">
        <v>1080523.8700000001</v>
      </c>
      <c r="D57" s="1062">
        <v>1015847.1</v>
      </c>
      <c r="E57" s="1062">
        <v>1538333.5499999996</v>
      </c>
      <c r="F57" s="1062">
        <v>2252647.92</v>
      </c>
      <c r="G57" s="1062">
        <v>2239870.3199999998</v>
      </c>
    </row>
    <row r="58" spans="1:7">
      <c r="A58" s="97" t="s">
        <v>82</v>
      </c>
      <c r="B58" s="173">
        <v>542136.30000000005</v>
      </c>
      <c r="C58" s="1062">
        <v>633898.45000000007</v>
      </c>
      <c r="D58" s="1062">
        <v>622618</v>
      </c>
      <c r="E58" s="1062">
        <v>796261.98999999964</v>
      </c>
      <c r="F58" s="1062">
        <v>1048178.42</v>
      </c>
      <c r="G58" s="1062">
        <v>1185230.58</v>
      </c>
    </row>
    <row r="59" spans="1:7" ht="24" customHeight="1">
      <c r="A59" s="97" t="s">
        <v>84</v>
      </c>
      <c r="B59" s="173">
        <v>543120.79999999981</v>
      </c>
      <c r="C59" s="1062">
        <v>638175.47000000009</v>
      </c>
      <c r="D59" s="1062">
        <v>554427.6</v>
      </c>
      <c r="E59" s="1062">
        <v>806809.46</v>
      </c>
      <c r="F59" s="1062">
        <v>1362347.36</v>
      </c>
      <c r="G59" s="1062">
        <v>1148480.8799999999</v>
      </c>
    </row>
    <row r="60" spans="1:7">
      <c r="A60" s="97" t="s">
        <v>86</v>
      </c>
      <c r="B60" s="173">
        <v>232486.41</v>
      </c>
      <c r="C60" s="1062">
        <v>182463.91999999998</v>
      </c>
      <c r="D60" s="1062">
        <v>178436.21</v>
      </c>
      <c r="E60" s="1062">
        <v>178872.96000000002</v>
      </c>
      <c r="F60" s="1062">
        <v>290550.92</v>
      </c>
      <c r="G60" s="1062">
        <v>315031.52</v>
      </c>
    </row>
    <row r="61" spans="1:7">
      <c r="A61" s="97" t="s">
        <v>88</v>
      </c>
      <c r="B61" s="173">
        <v>37107835.989999987</v>
      </c>
      <c r="C61" s="1062">
        <v>40425704.25999999</v>
      </c>
      <c r="D61" s="1062">
        <v>39688170.950000003</v>
      </c>
      <c r="E61" s="1062">
        <v>53157736.380000003</v>
      </c>
      <c r="F61" s="1062">
        <v>77452544.010000005</v>
      </c>
      <c r="G61" s="1062">
        <v>68964866.620000005</v>
      </c>
    </row>
    <row r="62" spans="1:7">
      <c r="A62" s="97" t="s">
        <v>90</v>
      </c>
      <c r="B62" s="173">
        <v>1497422.6499999994</v>
      </c>
      <c r="C62" s="1062">
        <v>1673683.27</v>
      </c>
      <c r="D62" s="1062">
        <v>1757392.81</v>
      </c>
      <c r="E62" s="1062">
        <v>2198231.9300000006</v>
      </c>
      <c r="F62" s="1062">
        <v>3488527.53</v>
      </c>
      <c r="G62" s="1062">
        <v>3490787.71</v>
      </c>
    </row>
    <row r="63" spans="1:7">
      <c r="A63" s="97" t="s">
        <v>92</v>
      </c>
      <c r="B63" s="173">
        <v>139677.99</v>
      </c>
      <c r="C63" s="1062">
        <v>221794.17</v>
      </c>
      <c r="D63" s="1062">
        <v>148868.70000000001</v>
      </c>
      <c r="E63" s="1062">
        <v>190064.47000000003</v>
      </c>
      <c r="F63" s="1062">
        <v>221420.32</v>
      </c>
      <c r="G63" s="1062">
        <v>239459.88</v>
      </c>
    </row>
    <row r="64" spans="1:7" ht="24" customHeight="1">
      <c r="A64" s="97" t="s">
        <v>94</v>
      </c>
      <c r="B64" s="173">
        <v>391009.63000000006</v>
      </c>
      <c r="C64" s="1062">
        <v>342163.18000000011</v>
      </c>
      <c r="D64" s="1062">
        <v>405910.12</v>
      </c>
      <c r="E64" s="1062">
        <v>460587.42999999993</v>
      </c>
      <c r="F64" s="1062">
        <v>817720.99</v>
      </c>
      <c r="G64" s="1062">
        <v>744153.3</v>
      </c>
    </row>
    <row r="65" spans="1:7">
      <c r="A65" s="97" t="s">
        <v>96</v>
      </c>
      <c r="B65" s="173">
        <v>326165.97999999992</v>
      </c>
      <c r="C65" s="1062">
        <v>357288.45999999996</v>
      </c>
      <c r="D65" s="1062">
        <v>312730.06</v>
      </c>
      <c r="E65" s="1062">
        <v>388892.24999999988</v>
      </c>
      <c r="F65" s="1062">
        <v>728834.36</v>
      </c>
      <c r="G65" s="1062">
        <v>722974.04</v>
      </c>
    </row>
    <row r="66" spans="1:7">
      <c r="A66" s="97" t="s">
        <v>98</v>
      </c>
      <c r="B66" s="173">
        <v>654070.38</v>
      </c>
      <c r="C66" s="1062">
        <v>782256.71000000008</v>
      </c>
      <c r="D66" s="1062">
        <v>913997.9</v>
      </c>
      <c r="E66" s="1062">
        <v>910756.09</v>
      </c>
      <c r="F66" s="1062">
        <v>1581306.9</v>
      </c>
      <c r="G66" s="1062">
        <v>1397308.98</v>
      </c>
    </row>
    <row r="67" spans="1:7">
      <c r="A67" s="97" t="s">
        <v>100</v>
      </c>
      <c r="B67" s="173">
        <v>423012.15</v>
      </c>
      <c r="C67" s="1062">
        <v>762686.58</v>
      </c>
      <c r="D67" s="1062">
        <v>384709.92</v>
      </c>
      <c r="E67" s="1062">
        <v>592423.35</v>
      </c>
      <c r="F67" s="1062">
        <v>941776.47</v>
      </c>
      <c r="G67" s="1062">
        <v>825371.66</v>
      </c>
    </row>
    <row r="68" spans="1:7">
      <c r="A68" s="97" t="s">
        <v>102</v>
      </c>
      <c r="B68" s="173">
        <v>3048034.2999999984</v>
      </c>
      <c r="C68" s="1062">
        <v>3455784.0199999977</v>
      </c>
      <c r="D68" s="1062">
        <v>3078167.35</v>
      </c>
      <c r="E68" s="1062">
        <v>4494921.7700000033</v>
      </c>
      <c r="F68" s="1062">
        <v>5220241.55</v>
      </c>
      <c r="G68" s="1062">
        <v>5006185.6900000004</v>
      </c>
    </row>
    <row r="69" spans="1:7" ht="24" customHeight="1">
      <c r="A69" s="97" t="s">
        <v>104</v>
      </c>
      <c r="B69" s="175">
        <v>557731.34000000008</v>
      </c>
      <c r="C69" s="1060">
        <v>623465.81000000029</v>
      </c>
      <c r="D69" s="1060">
        <v>629995.38</v>
      </c>
      <c r="E69" s="1060">
        <v>729977.74999999977</v>
      </c>
      <c r="F69" s="1060">
        <v>1451600.96</v>
      </c>
      <c r="G69" s="1060">
        <v>1426099.21</v>
      </c>
    </row>
    <row r="70" spans="1:7">
      <c r="A70" s="97" t="s">
        <v>106</v>
      </c>
      <c r="B70" s="173">
        <v>991204.51000000013</v>
      </c>
      <c r="C70" s="1062">
        <v>1302926.9500000004</v>
      </c>
      <c r="D70" s="1062">
        <v>1189610.2</v>
      </c>
      <c r="E70" s="1062">
        <v>1467213.74</v>
      </c>
      <c r="F70" s="1062">
        <v>2237700.41</v>
      </c>
      <c r="G70" s="1062">
        <v>2285095.4700000002</v>
      </c>
    </row>
    <row r="71" spans="1:7">
      <c r="A71" s="97" t="s">
        <v>108</v>
      </c>
      <c r="B71" s="173">
        <v>423631.69000000012</v>
      </c>
      <c r="C71" s="1062">
        <v>453247.04999999993</v>
      </c>
      <c r="D71" s="1062">
        <v>496579.51</v>
      </c>
      <c r="E71" s="1062">
        <v>583901.90000000014</v>
      </c>
      <c r="F71" s="1062">
        <v>1240419.83</v>
      </c>
      <c r="G71" s="1062">
        <v>1071061.58</v>
      </c>
    </row>
    <row r="72" spans="1:7">
      <c r="A72" s="97" t="s">
        <v>110</v>
      </c>
      <c r="B72" s="173">
        <v>547312.44000000006</v>
      </c>
      <c r="C72" s="1062">
        <v>574087.36</v>
      </c>
      <c r="D72" s="1062">
        <v>555922.09</v>
      </c>
      <c r="E72" s="1062">
        <v>755409.69000000006</v>
      </c>
      <c r="F72" s="1062">
        <v>1412853.03</v>
      </c>
      <c r="G72" s="1062">
        <v>1161335.1299999999</v>
      </c>
    </row>
    <row r="73" spans="1:7">
      <c r="A73" s="97" t="s">
        <v>112</v>
      </c>
      <c r="B73" s="173">
        <v>172141.67000000004</v>
      </c>
      <c r="C73" s="1062">
        <v>247151.14999999997</v>
      </c>
      <c r="D73" s="1062">
        <v>280242.59000000003</v>
      </c>
      <c r="E73" s="1062">
        <v>219470.27</v>
      </c>
      <c r="F73" s="1062">
        <v>304820.94</v>
      </c>
      <c r="G73" s="1062">
        <v>432431.43</v>
      </c>
    </row>
    <row r="74" spans="1:7" ht="24" customHeight="1">
      <c r="A74" s="97" t="s">
        <v>114</v>
      </c>
      <c r="B74" s="173">
        <v>1171454.6300000001</v>
      </c>
      <c r="C74" s="1062">
        <v>1429921.0199999993</v>
      </c>
      <c r="D74" s="1062">
        <v>1441701.75</v>
      </c>
      <c r="E74" s="1062">
        <v>1823120.6799999995</v>
      </c>
      <c r="F74" s="1062">
        <v>2801675.59</v>
      </c>
      <c r="G74" s="1062">
        <v>3000361.77</v>
      </c>
    </row>
    <row r="75" spans="1:7">
      <c r="A75" s="97" t="s">
        <v>116</v>
      </c>
      <c r="B75" s="173">
        <v>404234.31</v>
      </c>
      <c r="C75" s="1062">
        <v>496463.16000000015</v>
      </c>
      <c r="D75" s="1062">
        <v>457027.59</v>
      </c>
      <c r="E75" s="1062">
        <v>585266.57000000018</v>
      </c>
      <c r="F75" s="1062">
        <v>879482.51</v>
      </c>
      <c r="G75" s="1062">
        <v>967729.73</v>
      </c>
    </row>
    <row r="76" spans="1:7">
      <c r="A76" s="97" t="s">
        <v>117</v>
      </c>
      <c r="B76" s="173">
        <v>186952.84000000003</v>
      </c>
      <c r="C76" s="1062">
        <v>274494.39000000007</v>
      </c>
      <c r="D76" s="1062">
        <v>241251.87</v>
      </c>
      <c r="E76" s="1062">
        <v>387569.0799999999</v>
      </c>
      <c r="F76" s="1062">
        <v>478785.61</v>
      </c>
      <c r="G76" s="1062">
        <v>471696.05</v>
      </c>
    </row>
    <row r="77" spans="1:7">
      <c r="A77" s="97" t="s">
        <v>119</v>
      </c>
      <c r="B77" s="173">
        <v>785785.43999999983</v>
      </c>
      <c r="C77" s="1062">
        <v>779736.89</v>
      </c>
      <c r="D77" s="1062">
        <v>892836.42</v>
      </c>
      <c r="E77" s="1062">
        <v>1075072.7400000002</v>
      </c>
      <c r="F77" s="1062">
        <v>1326805.08</v>
      </c>
      <c r="G77" s="1062">
        <v>1419187.81</v>
      </c>
    </row>
    <row r="78" spans="1:7">
      <c r="A78" s="97" t="s">
        <v>121</v>
      </c>
      <c r="B78" s="173">
        <v>1213743.8500000001</v>
      </c>
      <c r="C78" s="1062">
        <v>1362940.0500000005</v>
      </c>
      <c r="D78" s="1062">
        <v>1487227.55</v>
      </c>
      <c r="E78" s="1062">
        <v>1972535.7900000005</v>
      </c>
      <c r="F78" s="1062">
        <v>2455836.9700000002</v>
      </c>
      <c r="G78" s="1062">
        <v>2620953.88</v>
      </c>
    </row>
    <row r="79" spans="1:7" ht="18">
      <c r="A79" s="1945" t="s">
        <v>600</v>
      </c>
      <c r="B79" s="1945"/>
      <c r="C79" s="1945"/>
      <c r="D79" s="1945"/>
      <c r="E79" s="382"/>
    </row>
    <row r="80" spans="1:7" ht="15.5">
      <c r="A80" s="417" t="str">
        <f>A41</f>
        <v xml:space="preserve">Recordation Tax and Deeds of Conveyance Revenue Collections by Locality </v>
      </c>
      <c r="B80" s="417"/>
      <c r="C80" s="417"/>
      <c r="D80" s="417"/>
      <c r="E80" s="429"/>
      <c r="F80" s="430"/>
      <c r="G80" s="430"/>
    </row>
    <row r="81" spans="1:7" ht="6" customHeight="1" thickBot="1">
      <c r="A81" s="380"/>
      <c r="B81" s="380"/>
      <c r="C81" s="1199"/>
      <c r="D81" s="1199"/>
      <c r="E81" s="1200"/>
      <c r="F81" s="1201"/>
      <c r="G81" s="1201"/>
    </row>
    <row r="82" spans="1:7" ht="26.5" thickTop="1">
      <c r="A82" s="630" t="s">
        <v>21</v>
      </c>
      <c r="B82" s="631" t="str">
        <f t="shared" ref="B82" si="1">B43</f>
        <v>Fiscal Year 
2016</v>
      </c>
      <c r="C82" s="1198" t="s">
        <v>931</v>
      </c>
      <c r="D82" s="1198" t="s">
        <v>932</v>
      </c>
      <c r="E82" s="1198" t="s">
        <v>933</v>
      </c>
      <c r="F82" s="1198" t="s">
        <v>964</v>
      </c>
      <c r="G82" s="1198" t="s">
        <v>1069</v>
      </c>
    </row>
    <row r="83" spans="1:7" ht="24" customHeight="1">
      <c r="A83" s="97" t="s">
        <v>122</v>
      </c>
      <c r="B83" s="173">
        <v>387064</v>
      </c>
      <c r="C83" s="1062">
        <v>569395.88000000012</v>
      </c>
      <c r="D83" s="1062">
        <v>402026.12</v>
      </c>
      <c r="E83" s="1062">
        <v>453222.7199999998</v>
      </c>
      <c r="F83" s="1062">
        <v>672030.62</v>
      </c>
      <c r="G83" s="1062">
        <v>841084.94</v>
      </c>
    </row>
    <row r="84" spans="1:7">
      <c r="A84" s="97" t="s">
        <v>124</v>
      </c>
      <c r="B84" s="173">
        <v>1132218.4300000004</v>
      </c>
      <c r="C84" s="1062">
        <v>959713.30999999994</v>
      </c>
      <c r="D84" s="1062">
        <v>1006178.59</v>
      </c>
      <c r="E84" s="1062">
        <v>1184889.1199999996</v>
      </c>
      <c r="F84" s="1062">
        <v>1510833.5</v>
      </c>
      <c r="G84" s="1062">
        <v>1856565.04</v>
      </c>
    </row>
    <row r="85" spans="1:7">
      <c r="A85" s="97" t="s">
        <v>126</v>
      </c>
      <c r="B85" s="173">
        <v>28726098.039999984</v>
      </c>
      <c r="C85" s="1062">
        <v>26344210.129999977</v>
      </c>
      <c r="D85" s="1062">
        <v>26801684.57</v>
      </c>
      <c r="E85" s="1062">
        <v>35560843.670000002</v>
      </c>
      <c r="F85" s="1062">
        <v>57077748.280000001</v>
      </c>
      <c r="G85" s="1062">
        <v>47850203.479999997</v>
      </c>
    </row>
    <row r="86" spans="1:7">
      <c r="A86" s="97" t="s">
        <v>128</v>
      </c>
      <c r="B86" s="173">
        <v>583382.78</v>
      </c>
      <c r="C86" s="1062">
        <v>818605.03000000026</v>
      </c>
      <c r="D86" s="1062">
        <v>679119.52</v>
      </c>
      <c r="E86" s="1062">
        <v>861117.0499999997</v>
      </c>
      <c r="F86" s="1062">
        <v>1209774.8</v>
      </c>
      <c r="G86" s="1062">
        <v>1204760.31</v>
      </c>
    </row>
    <row r="87" spans="1:7">
      <c r="A87" s="97" t="s">
        <v>130</v>
      </c>
      <c r="B87" s="173">
        <v>307336.31</v>
      </c>
      <c r="C87" s="1062">
        <v>381832.67000000004</v>
      </c>
      <c r="D87" s="1062">
        <v>363968.27</v>
      </c>
      <c r="E87" s="1062">
        <v>436841.67000000004</v>
      </c>
      <c r="F87" s="1062">
        <v>792558.93</v>
      </c>
      <c r="G87" s="1062">
        <v>936800.21</v>
      </c>
    </row>
    <row r="88" spans="1:7" ht="24" customHeight="1">
      <c r="A88" s="97" t="s">
        <v>132</v>
      </c>
      <c r="B88" s="173">
        <v>152344.04</v>
      </c>
      <c r="C88" s="1062">
        <v>176704.23999999996</v>
      </c>
      <c r="D88" s="1062">
        <v>205167.83</v>
      </c>
      <c r="E88" s="1062">
        <v>226953.80000000008</v>
      </c>
      <c r="F88" s="1062">
        <v>309660.08</v>
      </c>
      <c r="G88" s="1062">
        <v>254910.79</v>
      </c>
    </row>
    <row r="89" spans="1:7">
      <c r="A89" s="97" t="s">
        <v>25</v>
      </c>
      <c r="B89" s="173">
        <v>3033546.4199999976</v>
      </c>
      <c r="C89" s="1062">
        <v>3169185.4299999997</v>
      </c>
      <c r="D89" s="1062">
        <v>3502787.52</v>
      </c>
      <c r="E89" s="1062">
        <v>3746993.8600000017</v>
      </c>
      <c r="F89" s="1062">
        <v>5377044.7000000002</v>
      </c>
      <c r="G89" s="1062">
        <v>4904476.17</v>
      </c>
    </row>
    <row r="90" spans="1:7">
      <c r="A90" s="97" t="s">
        <v>134</v>
      </c>
      <c r="B90" s="173">
        <v>514087.84000000014</v>
      </c>
      <c r="C90" s="1062">
        <v>615899.92000000004</v>
      </c>
      <c r="D90" s="1062">
        <v>546408.62</v>
      </c>
      <c r="E90" s="1062">
        <v>770962.09000000008</v>
      </c>
      <c r="F90" s="1062">
        <v>1083678.8799999999</v>
      </c>
      <c r="G90" s="1062">
        <v>1151022.3400000001</v>
      </c>
    </row>
    <row r="91" spans="1:7">
      <c r="A91" s="97" t="s">
        <v>135</v>
      </c>
      <c r="B91" s="173">
        <v>2518274.3400000008</v>
      </c>
      <c r="C91" s="1062">
        <v>2948389.1300000008</v>
      </c>
      <c r="D91" s="1062">
        <v>2677530.62</v>
      </c>
      <c r="E91" s="1062">
        <v>3308695.16</v>
      </c>
      <c r="F91" s="1062">
        <v>4754630.32</v>
      </c>
      <c r="G91" s="1062">
        <v>4540865.68</v>
      </c>
    </row>
    <row r="92" spans="1:7">
      <c r="A92" s="97" t="s">
        <v>137</v>
      </c>
      <c r="B92" s="173">
        <v>263643.44000000006</v>
      </c>
      <c r="C92" s="1062">
        <v>368312.44000000012</v>
      </c>
      <c r="D92" s="1062">
        <v>260062.76</v>
      </c>
      <c r="E92" s="1062">
        <v>338693.87999999995</v>
      </c>
      <c r="F92" s="1062">
        <v>379173.09</v>
      </c>
      <c r="G92" s="1062">
        <v>375293.53</v>
      </c>
    </row>
    <row r="93" spans="1:7" ht="24" customHeight="1">
      <c r="A93" s="377" t="s">
        <v>139</v>
      </c>
      <c r="B93" s="173">
        <v>243299.32000000012</v>
      </c>
      <c r="C93" s="1062">
        <v>273738.98</v>
      </c>
      <c r="D93" s="1062">
        <v>218240.83</v>
      </c>
      <c r="E93" s="1062">
        <v>278006.08</v>
      </c>
      <c r="F93" s="1062">
        <v>319019.11</v>
      </c>
      <c r="G93" s="1062">
        <v>442924.61</v>
      </c>
    </row>
    <row r="94" spans="1:7">
      <c r="A94" s="97" t="s">
        <v>141</v>
      </c>
      <c r="B94" s="173">
        <v>1200151.7099999997</v>
      </c>
      <c r="C94" s="1062">
        <v>1278803.43</v>
      </c>
      <c r="D94" s="1062">
        <v>1402357.87</v>
      </c>
      <c r="E94" s="1062">
        <v>1589540.57</v>
      </c>
      <c r="F94" s="1062">
        <v>2281469.62</v>
      </c>
      <c r="G94" s="1062">
        <v>2386505.7999999998</v>
      </c>
    </row>
    <row r="95" spans="1:7">
      <c r="A95" s="97" t="s">
        <v>143</v>
      </c>
      <c r="B95" s="173">
        <v>375898.57</v>
      </c>
      <c r="C95" s="1062">
        <v>389767.91000000009</v>
      </c>
      <c r="D95" s="1062">
        <v>371161.79</v>
      </c>
      <c r="E95" s="1062">
        <v>439458.13999999996</v>
      </c>
      <c r="F95" s="1062">
        <v>491456.93</v>
      </c>
      <c r="G95" s="1062">
        <v>587659.72</v>
      </c>
    </row>
    <row r="96" spans="1:7">
      <c r="A96" s="97" t="s">
        <v>145</v>
      </c>
      <c r="B96" s="173">
        <v>477102.99</v>
      </c>
      <c r="C96" s="1062">
        <v>416032.10999999987</v>
      </c>
      <c r="D96" s="1062">
        <v>323211.2</v>
      </c>
      <c r="E96" s="1062">
        <v>412789.25999999989</v>
      </c>
      <c r="F96" s="1062">
        <v>541911.36</v>
      </c>
      <c r="G96" s="1062">
        <v>645800.04</v>
      </c>
    </row>
    <row r="97" spans="1:7">
      <c r="A97" s="97" t="s">
        <v>147</v>
      </c>
      <c r="B97" s="173">
        <v>5918116.2300000004</v>
      </c>
      <c r="C97" s="1062">
        <v>7300265.8299999991</v>
      </c>
      <c r="D97" s="1062">
        <v>6988282.0599999996</v>
      </c>
      <c r="E97" s="1062">
        <v>9502487.5299999993</v>
      </c>
      <c r="F97" s="1062">
        <v>14511881.59</v>
      </c>
      <c r="G97" s="1062">
        <v>13677307.140000001</v>
      </c>
    </row>
    <row r="98" spans="1:7" ht="24" customHeight="1">
      <c r="A98" s="97" t="s">
        <v>149</v>
      </c>
      <c r="B98" s="173">
        <v>8421939.7299999986</v>
      </c>
      <c r="C98" s="1062">
        <v>9275204.3100000005</v>
      </c>
      <c r="D98" s="1062">
        <v>9093558.5</v>
      </c>
      <c r="E98" s="1062">
        <v>12880841.900000004</v>
      </c>
      <c r="F98" s="1062">
        <v>19935747.370000001</v>
      </c>
      <c r="G98" s="1062">
        <v>16931728.18</v>
      </c>
    </row>
    <row r="99" spans="1:7">
      <c r="A99" s="97" t="s">
        <v>151</v>
      </c>
      <c r="B99" s="173">
        <v>170806.46</v>
      </c>
      <c r="C99" s="1062">
        <v>220285.65999999997</v>
      </c>
      <c r="D99" s="1062">
        <v>240997.16</v>
      </c>
      <c r="E99" s="1062">
        <v>213988.37</v>
      </c>
      <c r="F99" s="1062">
        <v>258408.48</v>
      </c>
      <c r="G99" s="1062">
        <v>313146.25</v>
      </c>
    </row>
    <row r="100" spans="1:7">
      <c r="A100" s="97" t="s">
        <v>153</v>
      </c>
      <c r="B100" s="173">
        <v>210424.08000000002</v>
      </c>
      <c r="C100" s="1062">
        <v>157686.45000000001</v>
      </c>
      <c r="D100" s="1062">
        <v>169532.11</v>
      </c>
      <c r="E100" s="1062">
        <v>219052.22999999998</v>
      </c>
      <c r="F100" s="1062">
        <v>284327.19</v>
      </c>
      <c r="G100" s="1062">
        <v>394364</v>
      </c>
    </row>
    <row r="101" spans="1:7">
      <c r="A101" s="97" t="s">
        <v>155</v>
      </c>
      <c r="B101" s="173">
        <v>517188.72000000003</v>
      </c>
      <c r="C101" s="1062">
        <v>529412.86999999988</v>
      </c>
      <c r="D101" s="1062">
        <v>551970.11</v>
      </c>
      <c r="E101" s="1062">
        <v>619201.65000000014</v>
      </c>
      <c r="F101" s="1062">
        <v>785964.35</v>
      </c>
      <c r="G101" s="1062">
        <v>779113.96</v>
      </c>
    </row>
    <row r="102" spans="1:7">
      <c r="A102" s="97" t="s">
        <v>157</v>
      </c>
      <c r="B102" s="173">
        <v>1540856.8999999994</v>
      </c>
      <c r="C102" s="1062">
        <v>1642991.7599999995</v>
      </c>
      <c r="D102" s="1062">
        <v>1584618.26</v>
      </c>
      <c r="E102" s="1062">
        <v>2053348.3400000003</v>
      </c>
      <c r="F102" s="1062">
        <v>3248221.89</v>
      </c>
      <c r="G102" s="1062">
        <v>3248965.47</v>
      </c>
    </row>
    <row r="103" spans="1:7" ht="24" customHeight="1">
      <c r="A103" s="97" t="s">
        <v>159</v>
      </c>
      <c r="B103" s="175">
        <v>1255123.2300000004</v>
      </c>
      <c r="C103" s="1060">
        <v>1202234.8900000001</v>
      </c>
      <c r="D103" s="1060">
        <v>1231828.01</v>
      </c>
      <c r="E103" s="1060">
        <v>1529182.9100000001</v>
      </c>
      <c r="F103" s="1060">
        <v>1979827.95</v>
      </c>
      <c r="G103" s="1060">
        <v>2110386.25</v>
      </c>
    </row>
    <row r="104" spans="1:7">
      <c r="A104" s="97" t="s">
        <v>161</v>
      </c>
      <c r="B104" s="173">
        <v>593517.92000000016</v>
      </c>
      <c r="C104" s="1062">
        <v>687189.10000000033</v>
      </c>
      <c r="D104" s="1062">
        <v>748660.67</v>
      </c>
      <c r="E104" s="1062">
        <v>823366.21999999974</v>
      </c>
      <c r="F104" s="1062">
        <v>1470104.13</v>
      </c>
      <c r="G104" s="1062">
        <v>1436592.26</v>
      </c>
    </row>
    <row r="105" spans="1:7">
      <c r="A105" s="97" t="s">
        <v>163</v>
      </c>
      <c r="B105" s="173">
        <v>556866.30000000016</v>
      </c>
      <c r="C105" s="1062">
        <v>313486.45999999996</v>
      </c>
      <c r="D105" s="1062">
        <v>292391.27</v>
      </c>
      <c r="E105" s="1062">
        <v>446724.17999999993</v>
      </c>
      <c r="F105" s="1062">
        <v>418524.9</v>
      </c>
      <c r="G105" s="1062">
        <v>572201.34</v>
      </c>
    </row>
    <row r="106" spans="1:7">
      <c r="A106" s="97" t="s">
        <v>165</v>
      </c>
      <c r="B106" s="173">
        <v>497427.80999999976</v>
      </c>
      <c r="C106" s="1062">
        <v>594264.69999999995</v>
      </c>
      <c r="D106" s="1062">
        <v>510930.62</v>
      </c>
      <c r="E106" s="1062">
        <v>789534.61</v>
      </c>
      <c r="F106" s="1062">
        <v>804919.76</v>
      </c>
      <c r="G106" s="1062">
        <v>1010772.84</v>
      </c>
    </row>
    <row r="107" spans="1:7">
      <c r="A107" s="97" t="s">
        <v>167</v>
      </c>
      <c r="B107" s="173">
        <v>3140242.6599999988</v>
      </c>
      <c r="C107" s="1062">
        <v>3912805.1600000006</v>
      </c>
      <c r="D107" s="1062">
        <v>3426230.59</v>
      </c>
      <c r="E107" s="1062">
        <v>4207435.660000002</v>
      </c>
      <c r="F107" s="1062">
        <v>6062372.7599999998</v>
      </c>
      <c r="G107" s="1062">
        <v>5661666.9199999999</v>
      </c>
    </row>
    <row r="108" spans="1:7" s="376" customFormat="1" ht="10.75" customHeight="1">
      <c r="A108" s="383"/>
      <c r="B108" s="383"/>
      <c r="C108" s="383"/>
      <c r="D108" s="383"/>
      <c r="E108" s="375"/>
      <c r="F108" s="375"/>
      <c r="G108" s="375"/>
    </row>
    <row r="109" spans="1:7" ht="13">
      <c r="A109" s="384" t="s">
        <v>22</v>
      </c>
      <c r="B109" s="385">
        <f t="shared" ref="B109" si="2">SUM(B5:B34,B35:B68,B69:B102,B103:B107)</f>
        <v>298077573.12</v>
      </c>
      <c r="C109" s="385">
        <f>SUM(C5:C39,C44:C78,C83:C107)</f>
        <v>317011492.09000015</v>
      </c>
      <c r="D109" s="385">
        <f>SUM(D5:D39,D44:D78,D83:D107)</f>
        <v>309985515.51999992</v>
      </c>
      <c r="E109" s="385">
        <f>SUM(E5:E39,E44:E78,E83:E107)</f>
        <v>394179563.19000024</v>
      </c>
      <c r="F109" s="385">
        <f>SUM(F5:F39,F44:F78,F83:F107)</f>
        <v>563241430.41999996</v>
      </c>
      <c r="G109" s="385">
        <f>SUM(G5:G39,G44:G78,G83:G107)</f>
        <v>526165162.75999999</v>
      </c>
    </row>
    <row r="110" spans="1:7" ht="17.5" customHeight="1">
      <c r="A110" s="1048" t="s">
        <v>600</v>
      </c>
      <c r="B110" s="1048"/>
      <c r="C110" s="1048"/>
      <c r="D110" s="1048"/>
    </row>
    <row r="111" spans="1:7" ht="15.5" customHeight="1">
      <c r="A111" s="417" t="str">
        <f>A80</f>
        <v xml:space="preserve">Recordation Tax and Deeds of Conveyance Revenue Collections by Locality </v>
      </c>
      <c r="B111" s="417"/>
      <c r="C111" s="417"/>
      <c r="D111" s="417"/>
      <c r="E111" s="429"/>
      <c r="F111" s="430"/>
      <c r="G111" s="430"/>
    </row>
    <row r="112" spans="1:7" ht="6" customHeight="1" thickBot="1">
      <c r="A112" s="380"/>
      <c r="B112" s="380"/>
      <c r="C112" s="380"/>
      <c r="D112" s="380"/>
    </row>
    <row r="113" spans="1:8" ht="26.5" customHeight="1" thickTop="1">
      <c r="A113" s="630" t="s">
        <v>23</v>
      </c>
      <c r="B113" s="631" t="str">
        <f t="shared" ref="B113" si="3">B82</f>
        <v>Fiscal Year 
2016</v>
      </c>
      <c r="C113" s="1198" t="s">
        <v>931</v>
      </c>
      <c r="D113" s="1198" t="s">
        <v>932</v>
      </c>
      <c r="E113" s="1198" t="s">
        <v>933</v>
      </c>
      <c r="F113" s="1198" t="s">
        <v>964</v>
      </c>
      <c r="G113" s="1198" t="s">
        <v>1069</v>
      </c>
    </row>
    <row r="114" spans="1:8" ht="20" customHeight="1">
      <c r="A114" s="632" t="s">
        <v>172</v>
      </c>
      <c r="B114" s="378">
        <v>14059919.710000003</v>
      </c>
      <c r="C114" s="1060">
        <v>19189001.520000003</v>
      </c>
      <c r="D114" s="1060">
        <v>15829535.57</v>
      </c>
      <c r="E114" s="1060">
        <v>19647871.479999997</v>
      </c>
      <c r="F114" s="1060">
        <v>24486952.300000001</v>
      </c>
      <c r="G114" s="1060">
        <v>23162078.210000001</v>
      </c>
      <c r="H114" s="174"/>
    </row>
    <row r="115" spans="1:8" ht="12" customHeight="1">
      <c r="A115" s="633" t="s">
        <v>174</v>
      </c>
      <c r="B115" s="98">
        <v>464720.13999999984</v>
      </c>
      <c r="C115" s="1062">
        <v>671445.66000000015</v>
      </c>
      <c r="D115" s="1062">
        <v>436365.84</v>
      </c>
      <c r="E115" s="1062">
        <v>402796.44000000006</v>
      </c>
      <c r="F115" s="1062">
        <v>537783</v>
      </c>
      <c r="G115" s="1062">
        <v>957747.95</v>
      </c>
    </row>
    <row r="116" spans="1:8" ht="12" customHeight="1">
      <c r="A116" s="633" t="s">
        <v>176</v>
      </c>
      <c r="B116" s="98">
        <v>66233.669999999984</v>
      </c>
      <c r="C116" s="1062">
        <v>86014.900000000009</v>
      </c>
      <c r="D116" s="1062">
        <v>103927</v>
      </c>
      <c r="E116" s="1062">
        <v>99939.260000000009</v>
      </c>
      <c r="F116" s="1062">
        <v>196730.71</v>
      </c>
      <c r="G116" s="1062">
        <v>188967.9</v>
      </c>
    </row>
    <row r="117" spans="1:8" ht="12" customHeight="1">
      <c r="A117" s="633" t="s">
        <v>178</v>
      </c>
      <c r="B117" s="98">
        <v>2037681.0300000007</v>
      </c>
      <c r="C117" s="1062">
        <v>2044431.6400000008</v>
      </c>
      <c r="D117" s="1062">
        <v>2448300.54</v>
      </c>
      <c r="E117" s="1062">
        <v>2810244.3499999992</v>
      </c>
      <c r="F117" s="1062">
        <v>2912301.01</v>
      </c>
      <c r="G117" s="1062">
        <v>3662574.31</v>
      </c>
    </row>
    <row r="118" spans="1:8" ht="20" customHeight="1">
      <c r="A118" s="633" t="s">
        <v>123</v>
      </c>
      <c r="B118" s="98">
        <v>11339348.560000004</v>
      </c>
      <c r="C118" s="1062">
        <v>11431326.029999994</v>
      </c>
      <c r="D118" s="1062">
        <v>11711127.99</v>
      </c>
      <c r="E118" s="1062">
        <v>14401491.530000003</v>
      </c>
      <c r="F118" s="1062">
        <v>21603249.43</v>
      </c>
      <c r="G118" s="1062">
        <v>20379848.98</v>
      </c>
    </row>
    <row r="119" spans="1:8" ht="12" customHeight="1">
      <c r="A119" s="633" t="s">
        <v>125</v>
      </c>
      <c r="B119" s="98">
        <v>479930.34999999992</v>
      </c>
      <c r="C119" s="1062">
        <v>542972.94999999984</v>
      </c>
      <c r="D119" s="1062">
        <v>504463.35999999999</v>
      </c>
      <c r="E119" s="1062">
        <v>577847.50999999989</v>
      </c>
      <c r="F119" s="1062">
        <v>826821.67</v>
      </c>
      <c r="G119" s="1062">
        <v>1113415.6599999999</v>
      </c>
      <c r="H119" s="174"/>
    </row>
    <row r="120" spans="1:8" ht="12" customHeight="1">
      <c r="A120" s="633" t="s">
        <v>422</v>
      </c>
      <c r="B120" s="98">
        <v>77056.239999999991</v>
      </c>
      <c r="C120" s="1062">
        <v>76409.13</v>
      </c>
      <c r="D120" s="1062">
        <v>88998.17</v>
      </c>
      <c r="E120" s="1062">
        <v>52182.38</v>
      </c>
      <c r="F120" s="1062">
        <v>53116.639999999999</v>
      </c>
      <c r="G120" s="1062">
        <v>109577.24</v>
      </c>
      <c r="H120" s="174"/>
    </row>
    <row r="121" spans="1:8" ht="12" customHeight="1">
      <c r="A121" s="633" t="s">
        <v>129</v>
      </c>
      <c r="B121" s="98">
        <v>589601.94999999984</v>
      </c>
      <c r="C121" s="1062">
        <v>673805.5</v>
      </c>
      <c r="D121" s="1062">
        <v>510855.9</v>
      </c>
      <c r="E121" s="1062">
        <v>876366.90999999992</v>
      </c>
      <c r="F121" s="1062">
        <v>1418132.05</v>
      </c>
      <c r="G121" s="1062">
        <v>1265371.1399999999</v>
      </c>
    </row>
    <row r="122" spans="1:8" ht="12" customHeight="1">
      <c r="A122" s="633" t="s">
        <v>428</v>
      </c>
      <c r="B122" s="98">
        <v>53779.479999999996</v>
      </c>
      <c r="C122" s="1062">
        <v>59787.79</v>
      </c>
      <c r="D122" s="1062">
        <v>159810.54</v>
      </c>
      <c r="E122" s="1062">
        <v>155399.96000000002</v>
      </c>
      <c r="F122" s="1063">
        <v>83820.53</v>
      </c>
      <c r="G122" s="1063">
        <v>124845.06</v>
      </c>
      <c r="H122" s="174"/>
    </row>
    <row r="123" spans="1:8" ht="20" customHeight="1">
      <c r="A123" s="633" t="s">
        <v>423</v>
      </c>
      <c r="B123" s="98">
        <v>1799310.87</v>
      </c>
      <c r="C123" s="1062">
        <v>1544945.29</v>
      </c>
      <c r="D123" s="1062">
        <v>1652558.97</v>
      </c>
      <c r="E123" s="1062">
        <v>1761827.9100000001</v>
      </c>
      <c r="F123" s="1062">
        <v>3270225.01</v>
      </c>
      <c r="G123" s="1062">
        <v>2892330.48</v>
      </c>
      <c r="H123" s="174"/>
    </row>
    <row r="124" spans="1:8" ht="12" customHeight="1">
      <c r="A124" s="633" t="s">
        <v>433</v>
      </c>
      <c r="B124" s="98">
        <v>1105968.2099999997</v>
      </c>
      <c r="C124" s="1062">
        <v>1342992</v>
      </c>
      <c r="D124" s="1062">
        <v>1369851.41</v>
      </c>
      <c r="E124" s="1062">
        <v>1304917.4099999999</v>
      </c>
      <c r="F124" s="1062">
        <v>2180925.83</v>
      </c>
      <c r="G124" s="1062">
        <v>1953884.13</v>
      </c>
    </row>
    <row r="125" spans="1:8" ht="12" customHeight="1">
      <c r="A125" s="633" t="s">
        <v>434</v>
      </c>
      <c r="B125" s="98">
        <v>127209.13</v>
      </c>
      <c r="C125" s="1062">
        <v>142075.51</v>
      </c>
      <c r="D125" s="1062">
        <v>158255.09</v>
      </c>
      <c r="E125" s="1062">
        <v>243652.99</v>
      </c>
      <c r="F125" s="1062">
        <v>241542.23</v>
      </c>
      <c r="G125" s="1062">
        <v>315630.93</v>
      </c>
    </row>
    <row r="126" spans="1:8" ht="12" customHeight="1">
      <c r="A126" s="633" t="s">
        <v>136</v>
      </c>
      <c r="B126" s="98">
        <v>1803523.3899999994</v>
      </c>
      <c r="C126" s="1062">
        <v>1230423.9700000002</v>
      </c>
      <c r="D126" s="1062">
        <v>1696546.03</v>
      </c>
      <c r="E126" s="1062">
        <v>1626979.4599999997</v>
      </c>
      <c r="F126" s="1062">
        <v>2786419.69</v>
      </c>
      <c r="G126" s="1062">
        <v>2986181.56</v>
      </c>
    </row>
    <row r="127" spans="1:8" ht="12" customHeight="1">
      <c r="A127" s="633" t="s">
        <v>441</v>
      </c>
      <c r="B127" s="98">
        <v>127588.16999999998</v>
      </c>
      <c r="C127" s="1062">
        <v>88562.189999999988</v>
      </c>
      <c r="D127" s="1062">
        <v>99133.22</v>
      </c>
      <c r="E127" s="1062">
        <v>111115.28</v>
      </c>
      <c r="F127" s="1062">
        <v>151962.9</v>
      </c>
      <c r="G127" s="1062">
        <v>219606.13</v>
      </c>
      <c r="H127" s="174"/>
    </row>
    <row r="128" spans="1:8" ht="20" customHeight="1">
      <c r="A128" s="633" t="s">
        <v>140</v>
      </c>
      <c r="B128" s="98">
        <v>4344687.589999998</v>
      </c>
      <c r="C128" s="1062">
        <v>3898628.370000002</v>
      </c>
      <c r="D128" s="1062">
        <v>4137072.97</v>
      </c>
      <c r="E128" s="1062">
        <v>4541384.6399999997</v>
      </c>
      <c r="F128" s="1062">
        <v>7433561.79</v>
      </c>
      <c r="G128" s="1062">
        <v>8715383.8699999992</v>
      </c>
    </row>
    <row r="129" spans="1:8" ht="12" customHeight="1">
      <c r="A129" s="633" t="s">
        <v>445</v>
      </c>
      <c r="B129" s="98">
        <v>1111425.02</v>
      </c>
      <c r="C129" s="1062">
        <v>1208332.93</v>
      </c>
      <c r="D129" s="1062">
        <v>1442392.46</v>
      </c>
      <c r="E129" s="1062">
        <v>1355427.92</v>
      </c>
      <c r="F129" s="1062">
        <v>1565376.98</v>
      </c>
      <c r="G129" s="1062">
        <v>2184193.65</v>
      </c>
    </row>
    <row r="130" spans="1:8" ht="12" customHeight="1">
      <c r="A130" s="633" t="s">
        <v>144</v>
      </c>
      <c r="B130" s="98">
        <v>476495.4</v>
      </c>
      <c r="C130" s="1062">
        <v>491436.28</v>
      </c>
      <c r="D130" s="1062">
        <v>630403.68000000005</v>
      </c>
      <c r="E130" s="1062">
        <v>509234.80000000005</v>
      </c>
      <c r="F130" s="1062">
        <v>765449.01</v>
      </c>
      <c r="G130" s="1062">
        <v>844344.73</v>
      </c>
    </row>
    <row r="131" spans="1:8" ht="12" customHeight="1">
      <c r="A131" s="633" t="s">
        <v>451</v>
      </c>
      <c r="B131" s="98">
        <v>143325.99</v>
      </c>
      <c r="C131" s="1062">
        <v>147325.86000000002</v>
      </c>
      <c r="D131" s="1062">
        <v>132509.29</v>
      </c>
      <c r="E131" s="1062">
        <v>211225.4</v>
      </c>
      <c r="F131" s="1062">
        <v>264106.92</v>
      </c>
      <c r="G131" s="1062">
        <v>354845.96</v>
      </c>
    </row>
    <row r="132" spans="1:8" ht="12" customHeight="1">
      <c r="A132" s="632" t="s">
        <v>148</v>
      </c>
      <c r="B132" s="98">
        <v>1929334.2999999989</v>
      </c>
      <c r="C132" s="1062">
        <v>2192495.17</v>
      </c>
      <c r="D132" s="1062">
        <v>2123538.7200000002</v>
      </c>
      <c r="E132" s="1062">
        <v>2428911.4400000013</v>
      </c>
      <c r="F132" s="1062">
        <v>3357043.08</v>
      </c>
      <c r="G132" s="1062">
        <v>3943640.4</v>
      </c>
    </row>
    <row r="133" spans="1:8" ht="20" customHeight="1">
      <c r="A133" s="633" t="s">
        <v>330</v>
      </c>
      <c r="B133" s="175">
        <v>1799521.29</v>
      </c>
      <c r="C133" s="1060">
        <v>2688583.11</v>
      </c>
      <c r="D133" s="1060">
        <v>2586803.04</v>
      </c>
      <c r="E133" s="1060">
        <v>2758790.26</v>
      </c>
      <c r="F133" s="1060">
        <v>2147458.87</v>
      </c>
      <c r="G133" s="1060">
        <v>2644967.39</v>
      </c>
      <c r="H133" s="176"/>
    </row>
    <row r="134" spans="1:8" ht="12" customHeight="1">
      <c r="A134" s="633" t="s">
        <v>334</v>
      </c>
      <c r="B134" s="173">
        <v>547439.52</v>
      </c>
      <c r="C134" s="1062">
        <v>1102933.04</v>
      </c>
      <c r="D134" s="1062">
        <v>764771.03</v>
      </c>
      <c r="E134" s="1062">
        <v>894547.54999999993</v>
      </c>
      <c r="F134" s="1062">
        <v>876560.21</v>
      </c>
      <c r="G134" s="1062">
        <v>1397666.44</v>
      </c>
    </row>
    <row r="135" spans="1:8" ht="12" customHeight="1">
      <c r="A135" s="633" t="s">
        <v>154</v>
      </c>
      <c r="B135" s="173">
        <v>171840.43999999997</v>
      </c>
      <c r="C135" s="1062">
        <v>126146.64000000001</v>
      </c>
      <c r="D135" s="1062">
        <v>171912.79</v>
      </c>
      <c r="E135" s="1062">
        <v>353097.32</v>
      </c>
      <c r="F135" s="1062">
        <v>399930.35</v>
      </c>
      <c r="G135" s="1062">
        <v>343631.08</v>
      </c>
      <c r="H135" s="177"/>
    </row>
    <row r="136" spans="1:8" ht="12" customHeight="1">
      <c r="A136" s="633" t="s">
        <v>156</v>
      </c>
      <c r="B136" s="173">
        <v>4930330.8899999987</v>
      </c>
      <c r="C136" s="1062">
        <v>4697436.2300000014</v>
      </c>
      <c r="D136" s="1062">
        <v>4623860.3499999996</v>
      </c>
      <c r="E136" s="1062">
        <v>6204195.7899999991</v>
      </c>
      <c r="F136" s="1062">
        <v>8174002.79</v>
      </c>
      <c r="G136" s="1062">
        <v>9714162.6999999993</v>
      </c>
    </row>
    <row r="137" spans="1:8" ht="12" customHeight="1">
      <c r="A137" s="633" t="s">
        <v>158</v>
      </c>
      <c r="B137" s="173">
        <v>8256361.2999999989</v>
      </c>
      <c r="C137" s="1062">
        <v>8101583.7900000028</v>
      </c>
      <c r="D137" s="1062">
        <v>8958525.0299999993</v>
      </c>
      <c r="E137" s="1062">
        <v>10219944.739999998</v>
      </c>
      <c r="F137" s="1062">
        <v>12853020.970000001</v>
      </c>
      <c r="G137" s="1062">
        <v>16027711.1</v>
      </c>
    </row>
    <row r="138" spans="1:8" ht="20" customHeight="1">
      <c r="A138" s="633" t="s">
        <v>350</v>
      </c>
      <c r="B138" s="173">
        <v>84398.76</v>
      </c>
      <c r="C138" s="1062">
        <v>47697.149999999994</v>
      </c>
      <c r="D138" s="1062">
        <v>33539.14</v>
      </c>
      <c r="E138" s="1062">
        <v>34126.039999999994</v>
      </c>
      <c r="F138" s="1062">
        <v>76756.63</v>
      </c>
      <c r="G138" s="1062">
        <v>59418.39</v>
      </c>
      <c r="H138" s="174"/>
    </row>
    <row r="139" spans="1:8" ht="12" customHeight="1">
      <c r="A139" s="633" t="s">
        <v>162</v>
      </c>
      <c r="B139" s="173">
        <v>456021.7</v>
      </c>
      <c r="C139" s="1062">
        <v>724052.32999999973</v>
      </c>
      <c r="D139" s="1062">
        <v>689506.03</v>
      </c>
      <c r="E139" s="1062">
        <v>994761.70999999973</v>
      </c>
      <c r="F139" s="1062">
        <v>1014291.33</v>
      </c>
      <c r="G139" s="1062">
        <v>1773222.3</v>
      </c>
    </row>
    <row r="140" spans="1:8" ht="12" customHeight="1">
      <c r="A140" s="633" t="s">
        <v>358</v>
      </c>
      <c r="B140" s="173">
        <v>479095.51999999996</v>
      </c>
      <c r="C140" s="1062">
        <v>517639.78999999992</v>
      </c>
      <c r="D140" s="1062">
        <v>481022.93</v>
      </c>
      <c r="E140" s="1062">
        <v>656793.40999999992</v>
      </c>
      <c r="F140" s="1062">
        <v>1173413.32</v>
      </c>
      <c r="G140" s="1062">
        <v>978126.41</v>
      </c>
    </row>
    <row r="141" spans="1:8" ht="12" customHeight="1">
      <c r="A141" s="633" t="s">
        <v>166</v>
      </c>
      <c r="B141" s="173">
        <v>2381920.1800000002</v>
      </c>
      <c r="C141" s="1062">
        <v>2768361.3500000006</v>
      </c>
      <c r="D141" s="1062">
        <v>2715464.43</v>
      </c>
      <c r="E141" s="1062">
        <v>3434800.6300000004</v>
      </c>
      <c r="F141" s="1062">
        <v>4940637.78</v>
      </c>
      <c r="G141" s="1062">
        <v>6108286.46</v>
      </c>
    </row>
    <row r="142" spans="1:8" ht="12" customHeight="1">
      <c r="A142" s="633" t="s">
        <v>168</v>
      </c>
      <c r="B142" s="173">
        <v>251801.69999999998</v>
      </c>
      <c r="C142" s="1062">
        <v>393001.90000000008</v>
      </c>
      <c r="D142" s="1062">
        <v>208553.1</v>
      </c>
      <c r="E142" s="1062">
        <v>508418.05000000016</v>
      </c>
      <c r="F142" s="1062">
        <v>576192.88</v>
      </c>
      <c r="G142" s="1062">
        <v>433478.25</v>
      </c>
    </row>
    <row r="143" spans="1:8" ht="20" customHeight="1">
      <c r="A143" s="633" t="s">
        <v>132</v>
      </c>
      <c r="B143" s="173">
        <v>9425440.1099999957</v>
      </c>
      <c r="C143" s="1062">
        <v>10745574.750000004</v>
      </c>
      <c r="D143" s="1062">
        <v>11089877.02</v>
      </c>
      <c r="E143" s="1062">
        <v>13287241.229999999</v>
      </c>
      <c r="F143" s="1062">
        <v>16775543.460000001</v>
      </c>
      <c r="G143" s="1062">
        <v>17729445.77</v>
      </c>
    </row>
    <row r="144" spans="1:8" ht="12" customHeight="1">
      <c r="A144" s="633" t="s">
        <v>25</v>
      </c>
      <c r="B144" s="173">
        <v>2596749.5999999992</v>
      </c>
      <c r="C144" s="1062">
        <v>2728056.2100000004</v>
      </c>
      <c r="D144" s="1062">
        <v>2734246.68</v>
      </c>
      <c r="E144" s="1062">
        <v>3350488.7399999993</v>
      </c>
      <c r="F144" s="1062">
        <v>3969025.86</v>
      </c>
      <c r="G144" s="1062">
        <v>4679861.6100000003</v>
      </c>
    </row>
    <row r="145" spans="1:7" ht="12" customHeight="1">
      <c r="A145" s="633" t="s">
        <v>169</v>
      </c>
      <c r="B145" s="173">
        <v>710953.95000000007</v>
      </c>
      <c r="C145" s="1062">
        <v>877400.71000000008</v>
      </c>
      <c r="D145" s="1062">
        <v>714536.46</v>
      </c>
      <c r="E145" s="1062">
        <v>807080.85</v>
      </c>
      <c r="F145" s="1062">
        <v>1205161.92</v>
      </c>
      <c r="G145" s="1062">
        <v>1524768.67</v>
      </c>
    </row>
    <row r="146" spans="1:7" ht="12" customHeight="1">
      <c r="A146" s="633" t="s">
        <v>170</v>
      </c>
      <c r="B146" s="173">
        <v>560474.21000000008</v>
      </c>
      <c r="C146" s="1062">
        <v>789628.69999999984</v>
      </c>
      <c r="D146" s="1062">
        <v>753257.27</v>
      </c>
      <c r="E146" s="1062">
        <v>787650.24</v>
      </c>
      <c r="F146" s="1062">
        <v>1078578.3500000001</v>
      </c>
      <c r="G146" s="1062">
        <v>1527006.73</v>
      </c>
    </row>
    <row r="147" spans="1:7" ht="12" customHeight="1">
      <c r="A147" s="633" t="s">
        <v>171</v>
      </c>
      <c r="B147" s="173">
        <v>3676014.4200000004</v>
      </c>
      <c r="C147" s="1062">
        <v>4846509.4899999993</v>
      </c>
      <c r="D147" s="1062">
        <v>4677408.2300000004</v>
      </c>
      <c r="E147" s="1062">
        <v>6133052.1700000018</v>
      </c>
      <c r="F147" s="1062">
        <v>9032188.6099999994</v>
      </c>
      <c r="G147" s="1062">
        <v>9571458.4900000002</v>
      </c>
    </row>
    <row r="148" spans="1:7" ht="20" customHeight="1">
      <c r="A148" s="633" t="s">
        <v>602</v>
      </c>
      <c r="B148" s="173">
        <v>19903921.919999994</v>
      </c>
      <c r="C148" s="1062">
        <v>20224602.759999998</v>
      </c>
      <c r="D148" s="1062">
        <v>20763271</v>
      </c>
      <c r="E148" s="1062">
        <v>26215390.72000001</v>
      </c>
      <c r="F148" s="1062">
        <v>35842657.399999999</v>
      </c>
      <c r="G148" s="1062">
        <v>35431250.700000003</v>
      </c>
    </row>
    <row r="149" spans="1:7" ht="12" customHeight="1">
      <c r="A149" s="97" t="s">
        <v>173</v>
      </c>
      <c r="B149" s="173">
        <v>537978.95999999973</v>
      </c>
      <c r="C149" s="1062">
        <v>633189.14</v>
      </c>
      <c r="D149" s="1062">
        <v>619963.27</v>
      </c>
      <c r="E149" s="1062">
        <v>881698.49999999988</v>
      </c>
      <c r="F149" s="1062">
        <v>983061.16</v>
      </c>
      <c r="G149" s="1062">
        <v>1258878.74</v>
      </c>
    </row>
    <row r="150" spans="1:7" ht="12" customHeight="1">
      <c r="A150" s="97" t="s">
        <v>394</v>
      </c>
      <c r="B150" s="173">
        <v>543353.5299999998</v>
      </c>
      <c r="C150" s="1062">
        <v>1118442.399999999</v>
      </c>
      <c r="D150" s="1062">
        <v>583808.59</v>
      </c>
      <c r="E150" s="1062">
        <v>857764.64000000013</v>
      </c>
      <c r="F150" s="1062">
        <v>751302.76</v>
      </c>
      <c r="G150" s="1062">
        <v>1192043.54</v>
      </c>
    </row>
    <row r="151" spans="1:7" ht="12" customHeight="1">
      <c r="A151" s="97" t="s">
        <v>177</v>
      </c>
      <c r="B151" s="173">
        <v>969940.35999999987</v>
      </c>
      <c r="C151" s="1062">
        <v>990755.91</v>
      </c>
      <c r="D151" s="1062">
        <v>1054096.8500000001</v>
      </c>
      <c r="E151" s="1062">
        <v>1168017.3999999997</v>
      </c>
      <c r="F151" s="1062">
        <v>1462397.79</v>
      </c>
      <c r="G151" s="1062">
        <v>1846951.45</v>
      </c>
    </row>
    <row r="152" spans="1:7" s="376" customFormat="1" ht="5" customHeight="1">
      <c r="A152" s="383"/>
      <c r="B152" s="383"/>
      <c r="E152" s="375"/>
      <c r="F152" s="375"/>
      <c r="G152" s="375"/>
    </row>
    <row r="153" spans="1:7" ht="13">
      <c r="A153" s="384" t="s">
        <v>27</v>
      </c>
      <c r="B153" s="385">
        <f t="shared" ref="B153" si="4">SUM(B114:B132,B133:B151)</f>
        <v>100420697.55999997</v>
      </c>
      <c r="C153" s="385">
        <f>SUM(C114:C151)</f>
        <v>111184008.08999999</v>
      </c>
      <c r="D153" s="385">
        <f t="shared" ref="D153:G153" si="5">SUM(D114:D151)</f>
        <v>109460069.98999999</v>
      </c>
      <c r="E153" s="385">
        <f t="shared" si="5"/>
        <v>132666677.06</v>
      </c>
      <c r="F153" s="385">
        <f t="shared" si="5"/>
        <v>177467703.21999994</v>
      </c>
      <c r="G153" s="385">
        <f t="shared" si="5"/>
        <v>189616804.50999996</v>
      </c>
    </row>
    <row r="154" spans="1:7" ht="13">
      <c r="A154" s="384" t="s">
        <v>22</v>
      </c>
      <c r="B154" s="385">
        <f t="shared" ref="B154" si="6">SUM(B5:B34,B35:B68,B69:B102,B103:B107)</f>
        <v>298077573.12</v>
      </c>
      <c r="C154" s="385">
        <f>C109</f>
        <v>317011492.09000015</v>
      </c>
      <c r="D154" s="385">
        <f t="shared" ref="D154:G154" si="7">D109</f>
        <v>309985515.51999992</v>
      </c>
      <c r="E154" s="385">
        <f t="shared" si="7"/>
        <v>394179563.19000024</v>
      </c>
      <c r="F154" s="385">
        <f t="shared" si="7"/>
        <v>563241430.41999996</v>
      </c>
      <c r="G154" s="385">
        <f t="shared" si="7"/>
        <v>526165162.75999999</v>
      </c>
    </row>
    <row r="155" spans="1:7" ht="5" customHeight="1">
      <c r="B155" s="386"/>
      <c r="C155" s="387"/>
      <c r="D155" s="387"/>
      <c r="E155" s="388"/>
      <c r="F155" s="388"/>
      <c r="G155" s="388"/>
    </row>
    <row r="156" spans="1:7" ht="13">
      <c r="A156" s="384" t="s">
        <v>28</v>
      </c>
      <c r="B156" s="385">
        <f t="shared" ref="B156:G156" si="8">SUM(B153:B154)</f>
        <v>398498270.67999995</v>
      </c>
      <c r="C156" s="385">
        <f t="shared" si="8"/>
        <v>428195500.18000013</v>
      </c>
      <c r="D156" s="385">
        <f t="shared" si="8"/>
        <v>419445585.50999993</v>
      </c>
      <c r="E156" s="385">
        <f t="shared" si="8"/>
        <v>526846240.25000024</v>
      </c>
      <c r="F156" s="385">
        <f t="shared" si="8"/>
        <v>740709133.63999987</v>
      </c>
      <c r="G156" s="385">
        <f t="shared" si="8"/>
        <v>715781967.26999998</v>
      </c>
    </row>
    <row r="157" spans="1:7" s="628" customFormat="1" ht="5" customHeight="1">
      <c r="A157" s="626"/>
      <c r="B157" s="627"/>
      <c r="C157" s="627"/>
      <c r="D157" s="627"/>
      <c r="F157" s="629"/>
      <c r="G157" s="629"/>
    </row>
    <row r="158" spans="1:7" s="1386" customFormat="1" ht="10" hidden="1" customHeight="1">
      <c r="A158" s="1385" t="s">
        <v>1</v>
      </c>
      <c r="F158" s="1387"/>
      <c r="G158" s="1387"/>
    </row>
    <row r="159" spans="1:7" s="1386" customFormat="1" ht="10" hidden="1" customHeight="1">
      <c r="A159" s="1388"/>
      <c r="F159" s="1387"/>
      <c r="G159" s="1387"/>
    </row>
    <row r="160" spans="1:7" s="1197" customFormat="1" ht="10" customHeight="1">
      <c r="A160" s="1184" t="s">
        <v>989</v>
      </c>
      <c r="B160" s="1195"/>
      <c r="C160" s="1195"/>
      <c r="D160" s="1195"/>
      <c r="E160" s="1196"/>
    </row>
    <row r="171" spans="1:7" s="1497" customFormat="1" ht="11.5">
      <c r="F171" s="1479"/>
      <c r="G171" s="1479"/>
    </row>
    <row r="172" spans="1:7" s="1497" customFormat="1" ht="10" customHeight="1">
      <c r="A172" s="1471"/>
      <c r="F172" s="1479"/>
      <c r="G172" s="1479"/>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2">
    <mergeCell ref="A40:D40"/>
    <mergeCell ref="A79:D79"/>
  </mergeCells>
  <hyperlinks>
    <hyperlink ref="H1" location="TOC!A1" display="Back"/>
  </hyperlinks>
  <pageMargins left="0.75" right="0.25" top="0.3" bottom="0.2" header="0.25" footer="0.2"/>
  <pageSetup scale="87" orientation="landscape" r:id="rId2"/>
  <headerFooter scaleWithDoc="0">
    <oddHeader>&amp;R&amp;P</oddHeader>
  </headerFooter>
  <rowBreaks count="3" manualBreakCount="3">
    <brk id="39" max="16383" man="1"/>
    <brk id="78" max="16383" man="1"/>
    <brk id="10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112"/>
  <sheetViews>
    <sheetView zoomScaleNormal="100" zoomScaleSheetLayoutView="80" workbookViewId="0">
      <pane ySplit="2760" topLeftCell="A80"/>
      <selection pane="bottomLeft" activeCell="A111" sqref="A111:XFD112"/>
    </sheetView>
  </sheetViews>
  <sheetFormatPr defaultColWidth="9.1796875" defaultRowHeight="12.5"/>
  <cols>
    <col min="1" max="1" width="18.81640625" style="346" customWidth="1"/>
    <col min="2" max="2" width="18.81640625" style="346" hidden="1" customWidth="1"/>
    <col min="3" max="3" width="12.7265625" style="346" bestFit="1" customWidth="1"/>
    <col min="4" max="4" width="8.7265625" style="346" customWidth="1"/>
    <col min="5" max="5" width="18.7265625" style="346" customWidth="1"/>
    <col min="6" max="6" width="18.7265625" style="346" hidden="1" customWidth="1"/>
    <col min="7" max="7" width="13" style="346" bestFit="1" customWidth="1"/>
    <col min="8" max="8" width="8.7265625" style="181" customWidth="1"/>
    <col min="9" max="9" width="18.7265625" style="346" customWidth="1"/>
    <col min="10" max="10" width="18.7265625" style="346" hidden="1" customWidth="1"/>
    <col min="11" max="11" width="13" style="346" bestFit="1" customWidth="1"/>
    <col min="12" max="12" width="8.7265625" style="346" customWidth="1"/>
    <col min="13" max="13" width="18.7265625" style="346" customWidth="1"/>
    <col min="14" max="14" width="18.7265625" style="346" hidden="1" customWidth="1"/>
    <col min="15" max="15" width="13" style="346" bestFit="1" customWidth="1"/>
    <col min="16" max="16" width="2.453125" style="346" customWidth="1"/>
    <col min="17" max="17" width="2.7265625" style="346" customWidth="1"/>
    <col min="18" max="18" width="10.54296875" style="346" customWidth="1"/>
    <col min="19" max="16384" width="9.1796875" style="346"/>
  </cols>
  <sheetData>
    <row r="1" spans="1:18" ht="18">
      <c r="A1" s="344" t="s">
        <v>325</v>
      </c>
      <c r="B1" s="344"/>
      <c r="C1" s="345"/>
      <c r="R1" s="939" t="s">
        <v>1018</v>
      </c>
    </row>
    <row r="2" spans="1:18" ht="15.5">
      <c r="A2" s="347" t="s">
        <v>1303</v>
      </c>
      <c r="B2" s="347"/>
      <c r="C2" s="345"/>
    </row>
    <row r="3" spans="1:18" ht="9" customHeight="1" thickBot="1">
      <c r="A3" s="348"/>
      <c r="B3" s="348"/>
      <c r="C3" s="345"/>
    </row>
    <row r="4" spans="1:18" ht="13" customHeight="1">
      <c r="A4" s="1035" t="s">
        <v>21</v>
      </c>
      <c r="B4" s="1036" t="s">
        <v>963</v>
      </c>
      <c r="C4" s="1037" t="s">
        <v>326</v>
      </c>
      <c r="D4" s="1034"/>
      <c r="E4" s="1035" t="s">
        <v>21</v>
      </c>
      <c r="F4" s="1036" t="s">
        <v>963</v>
      </c>
      <c r="G4" s="1037" t="s">
        <v>326</v>
      </c>
      <c r="H4" s="1034"/>
      <c r="I4" s="1035" t="s">
        <v>23</v>
      </c>
      <c r="J4" s="1036" t="s">
        <v>963</v>
      </c>
      <c r="K4" s="1037" t="s">
        <v>326</v>
      </c>
    </row>
    <row r="5" spans="1:18" ht="20.149999999999999" customHeight="1">
      <c r="A5" s="181" t="s">
        <v>327</v>
      </c>
      <c r="B5" s="181"/>
      <c r="C5" s="349">
        <v>735231.23</v>
      </c>
      <c r="D5" s="182"/>
      <c r="E5" s="181" t="s">
        <v>368</v>
      </c>
      <c r="F5" s="181"/>
      <c r="G5" s="182">
        <v>236860.37</v>
      </c>
      <c r="H5" s="182"/>
      <c r="I5" s="181" t="s">
        <v>402</v>
      </c>
      <c r="J5" s="181"/>
      <c r="K5" s="349">
        <v>7728853.6799999997</v>
      </c>
      <c r="L5" s="182"/>
      <c r="P5" s="182"/>
      <c r="Q5" s="350"/>
    </row>
    <row r="6" spans="1:18" ht="12.65" customHeight="1">
      <c r="A6" s="181" t="s">
        <v>331</v>
      </c>
      <c r="B6" s="181"/>
      <c r="C6" s="182">
        <v>3311885.83</v>
      </c>
      <c r="D6" s="182"/>
      <c r="E6" s="181" t="s">
        <v>372</v>
      </c>
      <c r="F6" s="181"/>
      <c r="G6" s="182">
        <v>301038.09999999998</v>
      </c>
      <c r="H6" s="182"/>
      <c r="I6" s="181" t="s">
        <v>407</v>
      </c>
      <c r="J6" s="181"/>
      <c r="K6" s="182">
        <v>433546.81</v>
      </c>
      <c r="L6" s="182"/>
      <c r="P6" s="182"/>
      <c r="Q6" s="350"/>
    </row>
    <row r="7" spans="1:18" ht="12.65" customHeight="1">
      <c r="A7" s="181" t="s">
        <v>335</v>
      </c>
      <c r="B7" s="181"/>
      <c r="C7" s="182">
        <v>296157.7</v>
      </c>
      <c r="D7" s="182"/>
      <c r="E7" s="181" t="s">
        <v>376</v>
      </c>
      <c r="F7" s="181"/>
      <c r="G7" s="182">
        <v>8317383.9299999997</v>
      </c>
      <c r="H7" s="182"/>
      <c r="I7" s="181" t="s">
        <v>410</v>
      </c>
      <c r="J7" s="181"/>
      <c r="K7" s="182">
        <v>225406.05</v>
      </c>
      <c r="L7" s="182"/>
      <c r="P7" s="182"/>
      <c r="Q7" s="350"/>
    </row>
    <row r="8" spans="1:18" ht="12.65" customHeight="1">
      <c r="A8" s="181" t="s">
        <v>339</v>
      </c>
      <c r="B8" s="181"/>
      <c r="C8" s="182">
        <v>181581.55</v>
      </c>
      <c r="D8" s="182"/>
      <c r="E8" s="181" t="s">
        <v>380</v>
      </c>
      <c r="F8" s="181"/>
      <c r="G8" s="182">
        <v>248586.96</v>
      </c>
      <c r="H8" s="182"/>
      <c r="I8" s="181" t="s">
        <v>413</v>
      </c>
      <c r="J8" s="181"/>
      <c r="K8" s="182">
        <v>2289913.4500000002</v>
      </c>
      <c r="L8" s="182"/>
      <c r="P8" s="182"/>
      <c r="Q8" s="350"/>
    </row>
    <row r="9" spans="1:18" ht="12.65" customHeight="1">
      <c r="A9" s="181" t="s">
        <v>343</v>
      </c>
      <c r="B9" s="181"/>
      <c r="C9" s="182">
        <v>905163.96</v>
      </c>
      <c r="D9" s="182"/>
      <c r="E9" s="181" t="s">
        <v>384</v>
      </c>
      <c r="F9" s="181"/>
      <c r="G9" s="182">
        <v>147574.69</v>
      </c>
      <c r="H9" s="182"/>
      <c r="I9" s="181" t="s">
        <v>416</v>
      </c>
      <c r="J9" s="181"/>
      <c r="K9" s="182">
        <v>8505051.7400000002</v>
      </c>
      <c r="L9" s="182"/>
      <c r="P9" s="182"/>
      <c r="Q9" s="350"/>
    </row>
    <row r="10" spans="1:18" ht="20.149999999999999" customHeight="1">
      <c r="A10" s="181" t="s">
        <v>347</v>
      </c>
      <c r="B10" s="181"/>
      <c r="C10" s="182">
        <v>402876.3</v>
      </c>
      <c r="D10" s="182"/>
      <c r="E10" s="181" t="s">
        <v>388</v>
      </c>
      <c r="F10" s="181"/>
      <c r="G10" s="182">
        <v>415365.91</v>
      </c>
      <c r="H10" s="182"/>
      <c r="I10" s="181" t="s">
        <v>419</v>
      </c>
      <c r="J10" s="181"/>
      <c r="K10" s="182">
        <v>497637.74</v>
      </c>
      <c r="L10" s="182"/>
      <c r="P10" s="182"/>
      <c r="Q10" s="350"/>
    </row>
    <row r="11" spans="1:18" ht="12.65" customHeight="1">
      <c r="A11" s="181" t="s">
        <v>351</v>
      </c>
      <c r="B11" s="181"/>
      <c r="C11" s="182">
        <v>5374310.6100000003</v>
      </c>
      <c r="D11" s="182"/>
      <c r="E11" s="181" t="s">
        <v>390</v>
      </c>
      <c r="F11" s="181"/>
      <c r="G11" s="182">
        <v>320753.99</v>
      </c>
      <c r="H11" s="182"/>
      <c r="I11" s="181" t="s">
        <v>422</v>
      </c>
      <c r="J11" s="181"/>
      <c r="K11" s="182">
        <v>222057.73</v>
      </c>
      <c r="L11" s="182"/>
      <c r="P11" s="182"/>
      <c r="Q11" s="350"/>
    </row>
    <row r="12" spans="1:18" ht="12.65" customHeight="1">
      <c r="A12" s="181" t="s">
        <v>355</v>
      </c>
      <c r="B12" s="181"/>
      <c r="C12" s="182">
        <v>1787586.85</v>
      </c>
      <c r="D12" s="182"/>
      <c r="E12" s="181" t="s">
        <v>393</v>
      </c>
      <c r="F12" s="181"/>
      <c r="G12" s="182">
        <v>412505.34</v>
      </c>
      <c r="H12" s="182"/>
      <c r="I12" s="181" t="s">
        <v>425</v>
      </c>
      <c r="J12" s="181"/>
      <c r="K12" s="182">
        <v>2302337.2599999998</v>
      </c>
      <c r="L12" s="182"/>
      <c r="P12" s="182"/>
      <c r="Q12" s="350"/>
    </row>
    <row r="13" spans="1:18" ht="12.65" customHeight="1">
      <c r="A13" s="181" t="s">
        <v>359</v>
      </c>
      <c r="B13" s="181"/>
      <c r="C13" s="182">
        <v>82544.14</v>
      </c>
      <c r="D13" s="182"/>
      <c r="E13" s="181" t="s">
        <v>396</v>
      </c>
      <c r="F13" s="181"/>
      <c r="G13" s="182">
        <v>313961.65999999997</v>
      </c>
      <c r="H13" s="182"/>
      <c r="I13" s="181" t="s">
        <v>428</v>
      </c>
      <c r="J13" s="181"/>
      <c r="K13" s="182">
        <v>190839.55</v>
      </c>
      <c r="L13" s="182"/>
      <c r="P13" s="182"/>
      <c r="Q13" s="350"/>
    </row>
    <row r="14" spans="1:18" ht="12.65" customHeight="1">
      <c r="A14" s="351" t="s">
        <v>747</v>
      </c>
      <c r="B14" s="351"/>
      <c r="C14" s="182">
        <v>1369507.01</v>
      </c>
      <c r="D14" s="182"/>
      <c r="E14" s="181" t="s">
        <v>399</v>
      </c>
      <c r="F14" s="181"/>
      <c r="G14" s="182">
        <v>728238.33</v>
      </c>
      <c r="H14" s="182"/>
      <c r="I14" s="181" t="s">
        <v>179</v>
      </c>
      <c r="J14" s="181"/>
      <c r="K14" s="182">
        <v>1625377.08</v>
      </c>
      <c r="L14" s="182"/>
      <c r="P14" s="182"/>
      <c r="Q14" s="350"/>
    </row>
    <row r="15" spans="1:18" ht="20.149999999999999" customHeight="1">
      <c r="A15" s="181" t="s">
        <v>367</v>
      </c>
      <c r="B15" s="181"/>
      <c r="C15" s="182">
        <v>74731.37</v>
      </c>
      <c r="D15" s="182"/>
      <c r="E15" s="181" t="s">
        <v>401</v>
      </c>
      <c r="F15" s="181"/>
      <c r="G15" s="182">
        <v>338806.22</v>
      </c>
      <c r="H15" s="182"/>
      <c r="I15" s="181" t="s">
        <v>433</v>
      </c>
      <c r="J15" s="181"/>
      <c r="K15" s="182">
        <v>614865.03</v>
      </c>
      <c r="L15" s="182"/>
      <c r="P15" s="182"/>
      <c r="Q15" s="350"/>
    </row>
    <row r="16" spans="1:18" ht="12.65" customHeight="1">
      <c r="A16" s="181" t="s">
        <v>371</v>
      </c>
      <c r="B16" s="181"/>
      <c r="C16" s="182">
        <v>511623.54</v>
      </c>
      <c r="D16" s="182"/>
      <c r="E16" s="181" t="s">
        <v>404</v>
      </c>
      <c r="F16" s="181"/>
      <c r="G16" s="182">
        <v>426326.48</v>
      </c>
      <c r="H16" s="182"/>
      <c r="I16" s="181" t="s">
        <v>716</v>
      </c>
      <c r="J16" s="181"/>
      <c r="K16" s="182">
        <v>397241.87</v>
      </c>
      <c r="L16" s="182"/>
      <c r="P16" s="182"/>
      <c r="Q16" s="350"/>
    </row>
    <row r="17" spans="1:17" ht="12.65" customHeight="1">
      <c r="A17" s="181" t="s">
        <v>375</v>
      </c>
      <c r="B17" s="181"/>
      <c r="C17" s="182">
        <v>299416.3</v>
      </c>
      <c r="D17" s="182"/>
      <c r="E17" s="181" t="s">
        <v>406</v>
      </c>
      <c r="F17" s="181"/>
      <c r="G17" s="182">
        <v>363208.07</v>
      </c>
      <c r="H17" s="182"/>
      <c r="I17" s="181" t="s">
        <v>438</v>
      </c>
      <c r="J17" s="181"/>
      <c r="K17" s="182">
        <v>1272824.46</v>
      </c>
      <c r="L17" s="182"/>
      <c r="P17" s="182"/>
      <c r="Q17" s="350"/>
    </row>
    <row r="18" spans="1:17" ht="12.65" customHeight="1">
      <c r="A18" s="181" t="s">
        <v>379</v>
      </c>
      <c r="B18" s="181"/>
      <c r="C18" s="182">
        <v>603880.51</v>
      </c>
      <c r="D18" s="182"/>
      <c r="E18" s="181" t="s">
        <v>409</v>
      </c>
      <c r="F18" s="181"/>
      <c r="G18" s="182">
        <v>273461.53999999998</v>
      </c>
      <c r="H18" s="182"/>
      <c r="I18" s="181" t="s">
        <v>441</v>
      </c>
      <c r="J18" s="181"/>
      <c r="K18" s="182">
        <v>167063.19</v>
      </c>
      <c r="L18" s="182"/>
      <c r="P18" s="182"/>
      <c r="Q18" s="350"/>
    </row>
    <row r="19" spans="1:17" ht="12.65" customHeight="1">
      <c r="A19" s="181" t="s">
        <v>383</v>
      </c>
      <c r="B19" s="181"/>
      <c r="C19" s="182">
        <v>302818.49</v>
      </c>
      <c r="D19" s="182"/>
      <c r="E19" s="181" t="s">
        <v>412</v>
      </c>
      <c r="F19" s="181"/>
      <c r="G19" s="182">
        <v>248386.49</v>
      </c>
      <c r="H19" s="182"/>
      <c r="I19" s="181" t="s">
        <v>443</v>
      </c>
      <c r="J19" s="181"/>
      <c r="K19" s="182">
        <v>6542577</v>
      </c>
      <c r="L19" s="182"/>
      <c r="P19" s="182"/>
      <c r="Q19" s="350"/>
    </row>
    <row r="20" spans="1:17" ht="20.149999999999999" customHeight="1">
      <c r="A20" s="181" t="s">
        <v>387</v>
      </c>
      <c r="B20" s="181"/>
      <c r="C20" s="182">
        <v>995712.36</v>
      </c>
      <c r="D20" s="182"/>
      <c r="E20" s="181" t="s">
        <v>415</v>
      </c>
      <c r="F20" s="181"/>
      <c r="G20" s="182">
        <v>1023809.59</v>
      </c>
      <c r="H20" s="182"/>
      <c r="I20" s="181" t="s">
        <v>445</v>
      </c>
      <c r="J20" s="181"/>
      <c r="K20" s="182">
        <v>1157126.2</v>
      </c>
      <c r="P20" s="182"/>
      <c r="Q20" s="350"/>
    </row>
    <row r="21" spans="1:17" ht="12.65" customHeight="1">
      <c r="A21" s="181" t="s">
        <v>389</v>
      </c>
      <c r="B21" s="181"/>
      <c r="C21" s="182">
        <v>561088.38</v>
      </c>
      <c r="D21" s="182"/>
      <c r="E21" s="181" t="s">
        <v>418</v>
      </c>
      <c r="F21" s="181"/>
      <c r="G21" s="182">
        <v>349994.25</v>
      </c>
      <c r="H21" s="182"/>
      <c r="I21" s="181" t="s">
        <v>448</v>
      </c>
      <c r="J21" s="181"/>
      <c r="K21" s="182">
        <v>603126.44999999995</v>
      </c>
      <c r="P21" s="182"/>
      <c r="Q21" s="350"/>
    </row>
    <row r="22" spans="1:17" ht="12.65" customHeight="1">
      <c r="A22" s="181" t="s">
        <v>392</v>
      </c>
      <c r="B22" s="181"/>
      <c r="C22" s="182">
        <v>723313.11</v>
      </c>
      <c r="D22" s="182"/>
      <c r="E22" s="181" t="s">
        <v>421</v>
      </c>
      <c r="F22" s="181"/>
      <c r="G22" s="182">
        <v>349455.64</v>
      </c>
      <c r="H22" s="182"/>
      <c r="I22" s="181" t="s">
        <v>451</v>
      </c>
      <c r="J22" s="181"/>
      <c r="K22" s="182">
        <v>229906.37</v>
      </c>
      <c r="P22" s="182"/>
      <c r="Q22" s="350"/>
    </row>
    <row r="23" spans="1:17" ht="12.65" customHeight="1">
      <c r="A23" s="181" t="s">
        <v>395</v>
      </c>
      <c r="B23" s="181"/>
      <c r="C23" s="182">
        <v>110599.5</v>
      </c>
      <c r="D23" s="182"/>
      <c r="E23" s="181" t="s">
        <v>424</v>
      </c>
      <c r="F23" s="181"/>
      <c r="G23" s="182">
        <v>1623815.14</v>
      </c>
      <c r="H23" s="182"/>
      <c r="I23" s="181" t="s">
        <v>454</v>
      </c>
      <c r="J23" s="181"/>
      <c r="K23" s="182">
        <v>2426144.54</v>
      </c>
      <c r="P23" s="182"/>
      <c r="Q23" s="350"/>
    </row>
    <row r="24" spans="1:17" ht="12.65" customHeight="1">
      <c r="A24" s="181" t="s">
        <v>398</v>
      </c>
      <c r="B24" s="181"/>
      <c r="C24" s="182">
        <v>91867.99</v>
      </c>
      <c r="D24" s="182"/>
      <c r="E24" s="181" t="s">
        <v>427</v>
      </c>
      <c r="F24" s="181"/>
      <c r="G24" s="182">
        <v>615816.59</v>
      </c>
      <c r="H24" s="182"/>
      <c r="I24" s="181" t="s">
        <v>330</v>
      </c>
      <c r="J24" s="181"/>
      <c r="K24" s="182">
        <v>2064288.97</v>
      </c>
      <c r="Q24" s="350"/>
    </row>
    <row r="25" spans="1:17" ht="20.149999999999999" customHeight="1">
      <c r="A25" s="181" t="s">
        <v>400</v>
      </c>
      <c r="B25" s="181"/>
      <c r="C25" s="182">
        <v>10411718.109999999</v>
      </c>
      <c r="D25" s="182"/>
      <c r="E25" s="181" t="s">
        <v>430</v>
      </c>
      <c r="F25" s="181"/>
      <c r="G25" s="182">
        <v>222638.2</v>
      </c>
      <c r="H25" s="182"/>
      <c r="I25" s="181" t="s">
        <v>334</v>
      </c>
      <c r="J25" s="181"/>
      <c r="K25" s="349">
        <v>522985.07</v>
      </c>
      <c r="L25" s="182"/>
      <c r="Q25" s="350"/>
    </row>
    <row r="26" spans="1:17" ht="12.65" customHeight="1">
      <c r="A26" s="181" t="s">
        <v>403</v>
      </c>
      <c r="B26" s="181"/>
      <c r="C26" s="182">
        <v>307088.40000000002</v>
      </c>
      <c r="D26" s="182"/>
      <c r="E26" s="181" t="s">
        <v>432</v>
      </c>
      <c r="F26" s="181"/>
      <c r="G26" s="182">
        <v>911351.94</v>
      </c>
      <c r="H26" s="182"/>
      <c r="I26" s="181" t="s">
        <v>338</v>
      </c>
      <c r="J26" s="181"/>
      <c r="K26" s="182">
        <v>650041.96</v>
      </c>
      <c r="L26" s="182"/>
      <c r="Q26" s="350"/>
    </row>
    <row r="27" spans="1:17" ht="12.65" customHeight="1">
      <c r="A27" s="181" t="s">
        <v>405</v>
      </c>
      <c r="B27" s="181"/>
      <c r="C27" s="182">
        <v>82544.13</v>
      </c>
      <c r="D27" s="182"/>
      <c r="E27" s="181" t="s">
        <v>435</v>
      </c>
      <c r="F27" s="181"/>
      <c r="G27" s="182">
        <v>13853410.640000001</v>
      </c>
      <c r="H27" s="182"/>
      <c r="I27" s="181" t="s">
        <v>342</v>
      </c>
      <c r="J27" s="181"/>
      <c r="K27" s="182">
        <v>8330573.7599999998</v>
      </c>
      <c r="L27" s="182"/>
      <c r="Q27" s="350"/>
    </row>
    <row r="28" spans="1:17" ht="12.65" customHeight="1">
      <c r="A28" s="181" t="s">
        <v>408</v>
      </c>
      <c r="B28" s="181"/>
      <c r="C28" s="182">
        <v>1454986.53</v>
      </c>
      <c r="D28" s="182"/>
      <c r="E28" s="181" t="s">
        <v>437</v>
      </c>
      <c r="F28" s="181"/>
      <c r="G28" s="182">
        <v>589080.88</v>
      </c>
      <c r="H28" s="182"/>
      <c r="I28" s="181" t="s">
        <v>346</v>
      </c>
      <c r="J28" s="181"/>
      <c r="K28" s="182">
        <v>15658735.49</v>
      </c>
      <c r="L28" s="182"/>
      <c r="Q28" s="350"/>
    </row>
    <row r="29" spans="1:17" ht="12.65" customHeight="1">
      <c r="A29" s="181" t="s">
        <v>411</v>
      </c>
      <c r="B29" s="181"/>
      <c r="C29" s="182">
        <v>273650.02</v>
      </c>
      <c r="D29" s="182"/>
      <c r="E29" s="181" t="s">
        <v>440</v>
      </c>
      <c r="F29" s="181"/>
      <c r="G29" s="182">
        <v>248045.38</v>
      </c>
      <c r="H29" s="182"/>
      <c r="I29" s="181" t="s">
        <v>350</v>
      </c>
      <c r="J29" s="181"/>
      <c r="K29" s="182">
        <v>150964.91</v>
      </c>
      <c r="L29" s="182"/>
      <c r="Q29" s="350"/>
    </row>
    <row r="30" spans="1:17" ht="20.149999999999999" customHeight="1">
      <c r="A30" s="181" t="s">
        <v>414</v>
      </c>
      <c r="B30" s="181"/>
      <c r="C30" s="182">
        <v>352854.86</v>
      </c>
      <c r="D30" s="182"/>
      <c r="E30" s="181" t="s">
        <v>752</v>
      </c>
      <c r="F30" s="181"/>
      <c r="G30" s="182">
        <v>219897.29</v>
      </c>
      <c r="H30" s="182"/>
      <c r="I30" s="181" t="s">
        <v>354</v>
      </c>
      <c r="J30" s="181"/>
      <c r="K30" s="182">
        <v>1314994.21</v>
      </c>
      <c r="L30" s="182"/>
      <c r="Q30" s="350"/>
    </row>
    <row r="31" spans="1:17" ht="12.65" customHeight="1">
      <c r="A31" s="181" t="s">
        <v>417</v>
      </c>
      <c r="B31" s="181"/>
      <c r="C31" s="182">
        <v>659332.89</v>
      </c>
      <c r="D31" s="182"/>
      <c r="E31" s="181" t="s">
        <v>753</v>
      </c>
      <c r="F31" s="181"/>
      <c r="G31" s="182">
        <v>2817781.94</v>
      </c>
      <c r="H31" s="182"/>
      <c r="I31" s="181" t="s">
        <v>358</v>
      </c>
      <c r="J31" s="181"/>
      <c r="K31" s="182">
        <v>294895.01</v>
      </c>
      <c r="L31" s="182"/>
      <c r="Q31" s="350"/>
    </row>
    <row r="32" spans="1:17" ht="12.65" customHeight="1">
      <c r="A32" s="181" t="s">
        <v>420</v>
      </c>
      <c r="B32" s="181"/>
      <c r="C32" s="182">
        <v>251812.6</v>
      </c>
      <c r="D32" s="182"/>
      <c r="E32" s="181" t="s">
        <v>447</v>
      </c>
      <c r="F32" s="181"/>
      <c r="G32" s="182">
        <v>666924.18000000005</v>
      </c>
      <c r="H32" s="182"/>
      <c r="I32" s="181" t="s">
        <v>362</v>
      </c>
      <c r="J32" s="181"/>
      <c r="K32" s="182">
        <v>5936769.46</v>
      </c>
      <c r="L32" s="182"/>
      <c r="Q32" s="350"/>
    </row>
    <row r="33" spans="1:17" ht="12.65" customHeight="1">
      <c r="A33" s="181" t="s">
        <v>748</v>
      </c>
      <c r="B33" s="181"/>
      <c r="C33" s="182">
        <v>56536743.82</v>
      </c>
      <c r="D33" s="182"/>
      <c r="E33" s="181" t="s">
        <v>450</v>
      </c>
      <c r="F33" s="181"/>
      <c r="G33" s="182">
        <v>1139277.44</v>
      </c>
      <c r="H33" s="182"/>
      <c r="I33" s="181" t="s">
        <v>366</v>
      </c>
      <c r="J33" s="181"/>
      <c r="K33" s="182">
        <v>533592.61</v>
      </c>
      <c r="L33" s="182"/>
      <c r="Q33" s="350"/>
    </row>
    <row r="34" spans="1:17" ht="12.65" customHeight="1">
      <c r="A34" s="181" t="s">
        <v>426</v>
      </c>
      <c r="B34" s="181"/>
      <c r="C34" s="182">
        <v>2070279.46</v>
      </c>
      <c r="D34" s="182"/>
      <c r="E34" s="181" t="s">
        <v>453</v>
      </c>
      <c r="F34" s="181"/>
      <c r="G34" s="182">
        <v>615702.84</v>
      </c>
      <c r="H34" s="182"/>
      <c r="I34" s="181" t="s">
        <v>717</v>
      </c>
      <c r="J34" s="181"/>
      <c r="K34" s="182">
        <v>14668591.720000001</v>
      </c>
      <c r="L34" s="182"/>
      <c r="Q34" s="350"/>
    </row>
    <row r="35" spans="1:17" ht="20.149999999999999" customHeight="1">
      <c r="A35" s="181" t="s">
        <v>429</v>
      </c>
      <c r="B35" s="181"/>
      <c r="C35" s="182">
        <v>443600.74</v>
      </c>
      <c r="D35" s="182"/>
      <c r="E35" s="181" t="s">
        <v>329</v>
      </c>
      <c r="F35" s="181"/>
      <c r="G35" s="349">
        <v>554436.62</v>
      </c>
      <c r="H35" s="182"/>
      <c r="I35" s="181" t="s">
        <v>718</v>
      </c>
      <c r="J35" s="181"/>
      <c r="K35" s="182">
        <v>4972230.32</v>
      </c>
      <c r="L35" s="182"/>
      <c r="Q35" s="350"/>
    </row>
    <row r="36" spans="1:17" ht="12.65" customHeight="1">
      <c r="A36" s="181" t="s">
        <v>431</v>
      </c>
      <c r="B36" s="181"/>
      <c r="C36" s="182">
        <v>599167.73</v>
      </c>
      <c r="D36" s="182"/>
      <c r="E36" s="181" t="s">
        <v>333</v>
      </c>
      <c r="F36" s="181"/>
      <c r="G36" s="182">
        <v>853024.06</v>
      </c>
      <c r="H36" s="182"/>
      <c r="I36" s="181" t="s">
        <v>378</v>
      </c>
      <c r="J36" s="181"/>
      <c r="K36" s="182">
        <v>764211.12</v>
      </c>
      <c r="L36" s="182"/>
      <c r="Q36" s="350"/>
    </row>
    <row r="37" spans="1:17" ht="12.65" customHeight="1">
      <c r="A37" s="181" t="s">
        <v>749</v>
      </c>
      <c r="B37" s="181"/>
      <c r="C37" s="182">
        <v>1587552.13</v>
      </c>
      <c r="D37" s="182"/>
      <c r="E37" s="181" t="s">
        <v>337</v>
      </c>
      <c r="F37" s="181"/>
      <c r="G37" s="182">
        <v>420907.54</v>
      </c>
      <c r="H37" s="182"/>
      <c r="I37" s="181" t="s">
        <v>382</v>
      </c>
      <c r="J37" s="181"/>
      <c r="K37" s="182">
        <v>999874.61</v>
      </c>
      <c r="L37" s="182"/>
      <c r="Q37" s="350"/>
    </row>
    <row r="38" spans="1:17" ht="12.65" customHeight="1">
      <c r="A38" s="181" t="s">
        <v>436</v>
      </c>
      <c r="B38" s="181"/>
      <c r="C38" s="182">
        <v>965607.36</v>
      </c>
      <c r="D38" s="182"/>
      <c r="E38" s="181" t="s">
        <v>341</v>
      </c>
      <c r="F38" s="181"/>
      <c r="G38" s="182">
        <v>398459.69</v>
      </c>
      <c r="H38" s="182"/>
      <c r="I38" s="181" t="s">
        <v>386</v>
      </c>
      <c r="J38" s="181"/>
      <c r="K38" s="182">
        <v>2504894.5299999998</v>
      </c>
      <c r="L38" s="182"/>
      <c r="Q38" s="350"/>
    </row>
    <row r="39" spans="1:17" ht="12.65" customHeight="1">
      <c r="A39" s="181" t="s">
        <v>439</v>
      </c>
      <c r="B39" s="181"/>
      <c r="C39" s="182">
        <v>180944.22</v>
      </c>
      <c r="D39" s="182"/>
      <c r="E39" s="181" t="s">
        <v>345</v>
      </c>
      <c r="F39" s="181"/>
      <c r="G39" s="182">
        <v>3370138.87</v>
      </c>
      <c r="H39" s="182"/>
      <c r="I39" s="181" t="s">
        <v>26</v>
      </c>
      <c r="J39" s="181"/>
      <c r="K39" s="182">
        <v>18677850.82</v>
      </c>
      <c r="L39" s="182"/>
      <c r="Q39" s="350"/>
    </row>
    <row r="40" spans="1:17" ht="20.149999999999999" customHeight="1">
      <c r="A40" s="181" t="s">
        <v>442</v>
      </c>
      <c r="B40" s="181"/>
      <c r="C40" s="182">
        <v>1092921.52</v>
      </c>
      <c r="D40" s="182"/>
      <c r="E40" s="181" t="s">
        <v>349</v>
      </c>
      <c r="F40" s="181"/>
      <c r="G40" s="182">
        <v>4143688.83</v>
      </c>
      <c r="H40" s="182"/>
      <c r="I40" s="181" t="s">
        <v>391</v>
      </c>
      <c r="J40" s="181"/>
      <c r="K40" s="182">
        <v>927938</v>
      </c>
      <c r="L40" s="182"/>
      <c r="Q40" s="350"/>
    </row>
    <row r="41" spans="1:17" ht="12.65" customHeight="1">
      <c r="A41" s="181" t="s">
        <v>444</v>
      </c>
      <c r="B41" s="181"/>
      <c r="C41" s="182">
        <v>611519.71</v>
      </c>
      <c r="D41" s="182"/>
      <c r="E41" s="181" t="s">
        <v>353</v>
      </c>
      <c r="F41" s="181"/>
      <c r="G41" s="182">
        <v>36747.800000000003</v>
      </c>
      <c r="H41" s="182"/>
      <c r="I41" s="181" t="s">
        <v>394</v>
      </c>
      <c r="J41" s="181"/>
      <c r="K41" s="182">
        <v>514023.32</v>
      </c>
      <c r="L41" s="182"/>
      <c r="Q41" s="350"/>
    </row>
    <row r="42" spans="1:17" ht="12.65" customHeight="1">
      <c r="A42" s="181" t="s">
        <v>446</v>
      </c>
      <c r="B42" s="181"/>
      <c r="C42" s="182">
        <v>272210.77</v>
      </c>
      <c r="D42" s="182"/>
      <c r="E42" s="181" t="s">
        <v>357</v>
      </c>
      <c r="F42" s="181"/>
      <c r="G42" s="182">
        <v>125345.23</v>
      </c>
      <c r="H42" s="182"/>
      <c r="I42" s="181" t="s">
        <v>397</v>
      </c>
      <c r="J42" s="181"/>
      <c r="K42" s="182">
        <v>1528066.15</v>
      </c>
      <c r="L42" s="182"/>
      <c r="Q42" s="350"/>
    </row>
    <row r="43" spans="1:17" ht="12.65" customHeight="1">
      <c r="A43" s="181" t="s">
        <v>449</v>
      </c>
      <c r="B43" s="181"/>
      <c r="C43" s="182">
        <v>352325.25</v>
      </c>
      <c r="D43" s="182"/>
      <c r="E43" s="181" t="s">
        <v>361</v>
      </c>
      <c r="F43" s="181"/>
      <c r="G43" s="182">
        <v>430342.18</v>
      </c>
      <c r="H43" s="182"/>
      <c r="I43" s="181"/>
      <c r="J43" s="181"/>
      <c r="K43" s="182"/>
      <c r="L43" s="182"/>
      <c r="Q43" s="350"/>
    </row>
    <row r="44" spans="1:17" ht="13">
      <c r="A44" s="181" t="s">
        <v>452</v>
      </c>
      <c r="B44" s="181"/>
      <c r="C44" s="182">
        <v>126739.64</v>
      </c>
      <c r="D44" s="182"/>
      <c r="E44" s="181" t="s">
        <v>365</v>
      </c>
      <c r="F44" s="181"/>
      <c r="G44" s="182">
        <v>636923.91</v>
      </c>
      <c r="H44" s="182"/>
      <c r="I44" s="352" t="s">
        <v>27</v>
      </c>
      <c r="J44" s="352"/>
      <c r="K44" s="353">
        <f>SUM(K5:K43)</f>
        <v>118447418.24000001</v>
      </c>
      <c r="L44" s="182"/>
      <c r="Q44" s="350"/>
    </row>
    <row r="45" spans="1:17" ht="20.149999999999999" customHeight="1">
      <c r="A45" s="181" t="s">
        <v>328</v>
      </c>
      <c r="B45" s="181"/>
      <c r="C45" s="349">
        <v>830944.25</v>
      </c>
      <c r="D45" s="182"/>
      <c r="E45" s="181" t="s">
        <v>369</v>
      </c>
      <c r="F45" s="181"/>
      <c r="G45" s="182">
        <v>1155863.44</v>
      </c>
      <c r="H45" s="182"/>
      <c r="I45" s="181"/>
      <c r="J45" s="181"/>
      <c r="K45" s="182"/>
      <c r="L45" s="182"/>
      <c r="Q45" s="350"/>
    </row>
    <row r="46" spans="1:17" ht="12.65" customHeight="1">
      <c r="A46" s="181" t="s">
        <v>332</v>
      </c>
      <c r="B46" s="181"/>
      <c r="C46" s="182">
        <v>3560394.99</v>
      </c>
      <c r="D46" s="182"/>
      <c r="E46" s="181" t="s">
        <v>373</v>
      </c>
      <c r="F46" s="181"/>
      <c r="G46" s="182">
        <v>455099.96</v>
      </c>
      <c r="H46" s="182"/>
      <c r="I46" s="181"/>
      <c r="J46" s="181"/>
      <c r="K46" s="182"/>
      <c r="L46" s="182"/>
      <c r="Q46" s="350"/>
    </row>
    <row r="47" spans="1:17" ht="12.65" customHeight="1">
      <c r="A47" s="181" t="s">
        <v>336</v>
      </c>
      <c r="B47" s="181"/>
      <c r="C47" s="182">
        <v>9402974.4499999993</v>
      </c>
      <c r="D47" s="182"/>
      <c r="E47" s="181" t="s">
        <v>377</v>
      </c>
      <c r="F47" s="181"/>
      <c r="G47" s="182">
        <v>718043.76</v>
      </c>
      <c r="H47" s="182"/>
      <c r="I47" s="181"/>
      <c r="J47" s="181"/>
      <c r="K47" s="182"/>
      <c r="L47" s="182"/>
      <c r="Q47" s="350"/>
    </row>
    <row r="48" spans="1:17" ht="12.65" customHeight="1">
      <c r="A48" s="181" t="s">
        <v>340</v>
      </c>
      <c r="B48" s="181"/>
      <c r="C48" s="182">
        <v>1660476.15</v>
      </c>
      <c r="D48" s="182"/>
      <c r="E48" s="181" t="s">
        <v>381</v>
      </c>
      <c r="F48" s="181"/>
      <c r="G48" s="182">
        <v>545355.15</v>
      </c>
      <c r="H48" s="182"/>
      <c r="I48" s="181"/>
      <c r="J48" s="181"/>
      <c r="K48" s="182"/>
      <c r="L48" s="182"/>
      <c r="Q48" s="350"/>
    </row>
    <row r="49" spans="1:18" ht="12.65" customHeight="1">
      <c r="A49" s="181" t="s">
        <v>344</v>
      </c>
      <c r="B49" s="181"/>
      <c r="C49" s="182">
        <v>53968.18</v>
      </c>
      <c r="D49" s="182"/>
      <c r="E49" s="181" t="s">
        <v>385</v>
      </c>
      <c r="F49" s="181"/>
      <c r="G49" s="182">
        <v>940439.56</v>
      </c>
      <c r="H49" s="182"/>
      <c r="I49" s="181"/>
      <c r="J49" s="181"/>
      <c r="K49" s="182"/>
      <c r="L49" s="182"/>
      <c r="Q49" s="350"/>
    </row>
    <row r="50" spans="1:18" ht="20.149999999999999" customHeight="1">
      <c r="A50" s="181" t="s">
        <v>750</v>
      </c>
      <c r="B50" s="181"/>
      <c r="C50" s="182">
        <v>952791.55</v>
      </c>
      <c r="D50" s="182"/>
      <c r="H50" s="182"/>
      <c r="I50" s="181"/>
      <c r="J50" s="181"/>
      <c r="K50" s="182"/>
      <c r="L50" s="182"/>
      <c r="Q50" s="350"/>
    </row>
    <row r="51" spans="1:18" ht="13">
      <c r="A51" s="181" t="s">
        <v>352</v>
      </c>
      <c r="B51" s="181"/>
      <c r="C51" s="182">
        <v>1219056.78</v>
      </c>
      <c r="D51" s="182"/>
      <c r="E51" s="352" t="s">
        <v>22</v>
      </c>
      <c r="F51" s="352"/>
      <c r="G51" s="353">
        <f>SUM(C5:C54,G5:G49)</f>
        <v>168818988.36999997</v>
      </c>
      <c r="H51" s="182"/>
      <c r="I51" s="181"/>
      <c r="J51" s="181"/>
      <c r="K51" s="182"/>
      <c r="L51" s="182"/>
      <c r="Q51" s="350"/>
    </row>
    <row r="52" spans="1:18" ht="12.65" customHeight="1">
      <c r="A52" s="181" t="s">
        <v>751</v>
      </c>
      <c r="B52" s="181"/>
      <c r="C52" s="182">
        <v>125578.69</v>
      </c>
      <c r="D52" s="182"/>
      <c r="E52" s="181"/>
      <c r="F52" s="181"/>
      <c r="G52" s="182"/>
      <c r="H52" s="182"/>
      <c r="I52" s="181"/>
      <c r="J52" s="181"/>
      <c r="K52" s="182"/>
      <c r="L52" s="182"/>
      <c r="Q52" s="350"/>
    </row>
    <row r="53" spans="1:18" ht="12.65" customHeight="1">
      <c r="A53" s="181" t="s">
        <v>360</v>
      </c>
      <c r="B53" s="181"/>
      <c r="C53" s="182">
        <v>276708.12</v>
      </c>
      <c r="D53" s="182"/>
      <c r="E53" s="181"/>
      <c r="F53" s="181"/>
      <c r="G53" s="182"/>
      <c r="H53" s="182"/>
      <c r="I53" s="181"/>
      <c r="J53" s="181"/>
      <c r="K53" s="182"/>
      <c r="L53" s="182"/>
      <c r="Q53" s="350"/>
    </row>
    <row r="54" spans="1:18" ht="12.65" customHeight="1">
      <c r="A54" s="181" t="s">
        <v>364</v>
      </c>
      <c r="B54" s="181"/>
      <c r="C54" s="182">
        <v>256321.97</v>
      </c>
      <c r="D54" s="182"/>
      <c r="E54" s="181"/>
      <c r="F54" s="181"/>
      <c r="G54" s="182"/>
      <c r="H54" s="182"/>
      <c r="I54" s="181"/>
      <c r="J54" s="181"/>
      <c r="K54" s="182"/>
      <c r="L54" s="182"/>
      <c r="Q54" s="350"/>
    </row>
    <row r="55" spans="1:18" ht="18">
      <c r="A55" s="344" t="s">
        <v>455</v>
      </c>
      <c r="B55" s="344"/>
      <c r="C55" s="345"/>
    </row>
    <row r="56" spans="1:18" ht="15.5">
      <c r="A56" s="347" t="str">
        <f>A2</f>
        <v>Communications Sales Tax Distributions, Fiscal Year 2022</v>
      </c>
      <c r="B56" s="347"/>
      <c r="C56" s="345"/>
      <c r="E56" s="181"/>
      <c r="F56" s="181"/>
      <c r="G56" s="355"/>
    </row>
    <row r="57" spans="1:18" ht="9" customHeight="1" thickBot="1">
      <c r="E57" s="181"/>
      <c r="F57" s="181"/>
      <c r="G57" s="355"/>
    </row>
    <row r="58" spans="1:18" ht="13" customHeight="1">
      <c r="A58" s="1035" t="s">
        <v>456</v>
      </c>
      <c r="B58" s="1036" t="s">
        <v>963</v>
      </c>
      <c r="C58" s="1037" t="s">
        <v>326</v>
      </c>
      <c r="D58" s="1034"/>
      <c r="E58" s="1035" t="s">
        <v>456</v>
      </c>
      <c r="F58" s="1036" t="s">
        <v>963</v>
      </c>
      <c r="G58" s="1037" t="s">
        <v>326</v>
      </c>
      <c r="H58" s="1034"/>
      <c r="I58" s="1035" t="s">
        <v>456</v>
      </c>
      <c r="J58" s="1036" t="s">
        <v>963</v>
      </c>
      <c r="K58" s="1037" t="s">
        <v>326</v>
      </c>
      <c r="L58" s="623"/>
      <c r="M58" s="1035" t="s">
        <v>456</v>
      </c>
      <c r="N58" s="1036" t="s">
        <v>963</v>
      </c>
      <c r="O58" s="1037" t="s">
        <v>326</v>
      </c>
    </row>
    <row r="59" spans="1:18">
      <c r="A59" s="356" t="s">
        <v>457</v>
      </c>
      <c r="B59" s="181"/>
      <c r="C59" s="349">
        <v>86625.56</v>
      </c>
      <c r="D59" s="182"/>
      <c r="E59" s="181" t="s">
        <v>593</v>
      </c>
      <c r="F59" s="181"/>
      <c r="G59" s="349">
        <v>4251.97</v>
      </c>
      <c r="H59" s="182"/>
      <c r="I59" s="181" t="s">
        <v>594</v>
      </c>
      <c r="J59" s="181"/>
      <c r="K59" s="349">
        <v>8740.39</v>
      </c>
      <c r="L59" s="182"/>
      <c r="M59" s="181" t="s">
        <v>595</v>
      </c>
      <c r="N59" s="181"/>
      <c r="O59" s="349">
        <v>9991.1</v>
      </c>
      <c r="P59" s="182"/>
      <c r="Q59" s="350"/>
      <c r="R59" s="350"/>
    </row>
    <row r="60" spans="1:18" ht="20.149999999999999" customHeight="1">
      <c r="A60" s="181" t="s">
        <v>460</v>
      </c>
      <c r="B60" s="181"/>
      <c r="C60" s="182">
        <v>3845.04</v>
      </c>
      <c r="D60" s="182"/>
      <c r="E60" s="181" t="s">
        <v>596</v>
      </c>
      <c r="F60" s="181"/>
      <c r="G60" s="182">
        <v>30323.439999999999</v>
      </c>
      <c r="H60" s="182"/>
      <c r="I60" s="181" t="s">
        <v>597</v>
      </c>
      <c r="J60" s="181"/>
      <c r="K60" s="182">
        <v>37026.06</v>
      </c>
      <c r="L60" s="182"/>
      <c r="M60" s="181" t="s">
        <v>598</v>
      </c>
      <c r="N60" s="181"/>
      <c r="O60" s="182">
        <v>28537.06</v>
      </c>
      <c r="P60" s="182"/>
      <c r="Q60" s="350"/>
      <c r="R60" s="350"/>
    </row>
    <row r="61" spans="1:18">
      <c r="A61" s="181" t="s">
        <v>464</v>
      </c>
      <c r="B61" s="181"/>
      <c r="C61" s="182">
        <v>8716.42</v>
      </c>
      <c r="D61" s="182"/>
      <c r="E61" s="181" t="s">
        <v>408</v>
      </c>
      <c r="F61" s="181"/>
      <c r="G61" s="182">
        <v>87831.44</v>
      </c>
      <c r="H61" s="182"/>
      <c r="I61" s="181" t="s">
        <v>458</v>
      </c>
      <c r="J61" s="181"/>
      <c r="K61" s="182">
        <v>57911.97</v>
      </c>
      <c r="L61" s="182"/>
      <c r="M61" s="181" t="s">
        <v>459</v>
      </c>
      <c r="N61" s="181"/>
      <c r="O61" s="182">
        <v>999.44</v>
      </c>
      <c r="P61" s="182"/>
      <c r="Q61" s="350"/>
      <c r="R61" s="350"/>
    </row>
    <row r="62" spans="1:18">
      <c r="A62" s="181" t="s">
        <v>467</v>
      </c>
      <c r="B62" s="181"/>
      <c r="C62" s="182">
        <v>29063.69</v>
      </c>
      <c r="D62" s="182"/>
      <c r="E62" s="181" t="s">
        <v>461</v>
      </c>
      <c r="F62" s="181"/>
      <c r="G62" s="182">
        <v>17773.95</v>
      </c>
      <c r="H62" s="182"/>
      <c r="I62" s="181" t="s">
        <v>462</v>
      </c>
      <c r="J62" s="181"/>
      <c r="K62" s="182">
        <v>1547135.77</v>
      </c>
      <c r="L62" s="182"/>
      <c r="M62" s="181" t="s">
        <v>463</v>
      </c>
      <c r="N62" s="181"/>
      <c r="O62" s="182">
        <v>17241.349999999999</v>
      </c>
      <c r="P62" s="182"/>
      <c r="Q62" s="350"/>
      <c r="R62" s="350"/>
    </row>
    <row r="63" spans="1:18">
      <c r="A63" s="181" t="s">
        <v>343</v>
      </c>
      <c r="B63" s="181"/>
      <c r="C63" s="182">
        <v>73142.509999999995</v>
      </c>
      <c r="D63" s="182"/>
      <c r="E63" s="181" t="s">
        <v>465</v>
      </c>
      <c r="F63" s="181"/>
      <c r="G63" s="182">
        <v>18231.78</v>
      </c>
      <c r="H63" s="182"/>
      <c r="I63" s="181" t="s">
        <v>380</v>
      </c>
      <c r="J63" s="181"/>
      <c r="K63" s="182">
        <v>5125.7</v>
      </c>
      <c r="L63" s="182"/>
      <c r="M63" s="181" t="s">
        <v>466</v>
      </c>
      <c r="N63" s="181"/>
      <c r="O63" s="182">
        <v>34425.82</v>
      </c>
      <c r="P63" s="182"/>
      <c r="Q63" s="350"/>
      <c r="R63" s="350"/>
    </row>
    <row r="64" spans="1:18">
      <c r="A64" s="181" t="s">
        <v>473</v>
      </c>
      <c r="B64" s="181"/>
      <c r="C64" s="182">
        <v>28312.63</v>
      </c>
      <c r="D64" s="182"/>
      <c r="E64" s="181" t="s">
        <v>468</v>
      </c>
      <c r="F64" s="181"/>
      <c r="G64" s="182">
        <v>2788.82</v>
      </c>
      <c r="H64" s="182"/>
      <c r="I64" s="181" t="s">
        <v>469</v>
      </c>
      <c r="J64" s="181"/>
      <c r="K64" s="182">
        <v>9548.26</v>
      </c>
      <c r="L64" s="182"/>
      <c r="M64" s="181" t="s">
        <v>470</v>
      </c>
      <c r="N64" s="181"/>
      <c r="O64" s="182">
        <v>12651.25</v>
      </c>
      <c r="P64" s="182"/>
      <c r="Q64" s="350"/>
      <c r="R64" s="350"/>
    </row>
    <row r="65" spans="1:18" ht="23.15" customHeight="1">
      <c r="A65" s="181" t="s">
        <v>347</v>
      </c>
      <c r="B65" s="181"/>
      <c r="C65" s="182">
        <v>4521.3100000000004</v>
      </c>
      <c r="D65" s="182"/>
      <c r="E65" s="181" t="s">
        <v>471</v>
      </c>
      <c r="F65" s="181"/>
      <c r="G65" s="182">
        <v>1011.36</v>
      </c>
      <c r="H65" s="182"/>
      <c r="I65" s="181" t="s">
        <v>472</v>
      </c>
      <c r="J65" s="181"/>
      <c r="K65" s="182">
        <v>55248.89</v>
      </c>
      <c r="L65" s="182"/>
      <c r="M65" s="181" t="s">
        <v>333</v>
      </c>
      <c r="N65" s="181"/>
      <c r="O65" s="182">
        <v>19919.39</v>
      </c>
      <c r="P65" s="182"/>
      <c r="Q65" s="350"/>
      <c r="R65" s="350"/>
    </row>
    <row r="66" spans="1:18">
      <c r="A66" s="181" t="s">
        <v>480</v>
      </c>
      <c r="B66" s="181"/>
      <c r="C66" s="182">
        <v>195265.11</v>
      </c>
      <c r="D66" s="182"/>
      <c r="E66" s="181" t="s">
        <v>474</v>
      </c>
      <c r="F66" s="181"/>
      <c r="G66" s="182">
        <v>66371.039999999994</v>
      </c>
      <c r="H66" s="182"/>
      <c r="I66" s="181" t="s">
        <v>475</v>
      </c>
      <c r="J66" s="181"/>
      <c r="K66" s="182">
        <v>93178.63</v>
      </c>
      <c r="L66" s="182"/>
      <c r="M66" s="181" t="s">
        <v>476</v>
      </c>
      <c r="N66" s="181"/>
      <c r="O66" s="182">
        <v>169280.45</v>
      </c>
      <c r="P66" s="182"/>
      <c r="Q66" s="350"/>
      <c r="R66" s="350"/>
    </row>
    <row r="67" spans="1:18">
      <c r="A67" s="351" t="s">
        <v>363</v>
      </c>
      <c r="B67" s="351"/>
      <c r="C67" s="182">
        <v>100799.85</v>
      </c>
      <c r="D67" s="182"/>
      <c r="E67" s="181" t="s">
        <v>477</v>
      </c>
      <c r="F67" s="181"/>
      <c r="G67" s="182">
        <v>133834.28</v>
      </c>
      <c r="H67" s="182"/>
      <c r="I67" s="181" t="s">
        <v>478</v>
      </c>
      <c r="J67" s="181"/>
      <c r="K67" s="182">
        <v>6514.1</v>
      </c>
      <c r="L67" s="182"/>
      <c r="M67" s="181" t="s">
        <v>479</v>
      </c>
      <c r="N67" s="181"/>
      <c r="O67" s="182">
        <v>559233.17000000004</v>
      </c>
      <c r="P67" s="182"/>
      <c r="Q67" s="350"/>
      <c r="R67" s="350"/>
    </row>
    <row r="68" spans="1:18">
      <c r="A68" s="181" t="s">
        <v>484</v>
      </c>
      <c r="B68" s="181"/>
      <c r="C68" s="182">
        <v>66783.990000000005</v>
      </c>
      <c r="D68" s="182"/>
      <c r="E68" s="181" t="s">
        <v>481</v>
      </c>
      <c r="F68" s="181"/>
      <c r="G68" s="182">
        <v>7007.84</v>
      </c>
      <c r="H68" s="182"/>
      <c r="I68" s="181" t="s">
        <v>482</v>
      </c>
      <c r="J68" s="181"/>
      <c r="K68" s="182">
        <v>2935.38</v>
      </c>
      <c r="L68" s="182"/>
      <c r="M68" s="181" t="s">
        <v>483</v>
      </c>
      <c r="N68" s="181"/>
      <c r="O68" s="182">
        <v>126877.29</v>
      </c>
      <c r="P68" s="182"/>
      <c r="Q68" s="350"/>
      <c r="R68" s="350"/>
    </row>
    <row r="69" spans="1:18">
      <c r="A69" s="181" t="s">
        <v>488</v>
      </c>
      <c r="B69" s="181"/>
      <c r="C69" s="182">
        <v>136745.74</v>
      </c>
      <c r="D69" s="182"/>
      <c r="E69" s="181" t="s">
        <v>485</v>
      </c>
      <c r="F69" s="181"/>
      <c r="G69" s="182">
        <v>37690.36</v>
      </c>
      <c r="H69" s="182"/>
      <c r="I69" s="181" t="s">
        <v>486</v>
      </c>
      <c r="J69" s="181"/>
      <c r="K69" s="182">
        <v>32412.01</v>
      </c>
      <c r="L69" s="182"/>
      <c r="M69" s="181" t="s">
        <v>487</v>
      </c>
      <c r="N69" s="181"/>
      <c r="O69" s="182">
        <v>2684.05</v>
      </c>
      <c r="P69" s="182"/>
      <c r="Q69" s="350"/>
      <c r="R69" s="350"/>
    </row>
    <row r="70" spans="1:18" ht="23.15" customHeight="1">
      <c r="A70" s="181" t="s">
        <v>492</v>
      </c>
      <c r="B70" s="181"/>
      <c r="C70" s="182">
        <v>883365.43</v>
      </c>
      <c r="D70" s="182"/>
      <c r="E70" s="181" t="s">
        <v>489</v>
      </c>
      <c r="F70" s="181"/>
      <c r="G70" s="182">
        <v>373743.73</v>
      </c>
      <c r="H70" s="182"/>
      <c r="I70" s="181" t="s">
        <v>490</v>
      </c>
      <c r="J70" s="181"/>
      <c r="K70" s="182">
        <v>10254.459999999999</v>
      </c>
      <c r="L70" s="182"/>
      <c r="M70" s="181" t="s">
        <v>491</v>
      </c>
      <c r="N70" s="181"/>
      <c r="O70" s="182">
        <v>11888.2</v>
      </c>
      <c r="P70" s="182"/>
      <c r="Q70" s="350"/>
      <c r="R70" s="350"/>
    </row>
    <row r="71" spans="1:18">
      <c r="A71" s="181" t="s">
        <v>495</v>
      </c>
      <c r="B71" s="181"/>
      <c r="C71" s="182">
        <v>12743.96</v>
      </c>
      <c r="D71" s="182"/>
      <c r="E71" s="181" t="s">
        <v>493</v>
      </c>
      <c r="F71" s="181"/>
      <c r="G71" s="182">
        <v>2028.76</v>
      </c>
      <c r="H71" s="182"/>
      <c r="I71" s="181" t="s">
        <v>494</v>
      </c>
      <c r="J71" s="181"/>
      <c r="K71" s="182">
        <v>1286.68</v>
      </c>
      <c r="L71" s="182"/>
      <c r="M71" s="181" t="s">
        <v>721</v>
      </c>
      <c r="N71" s="181"/>
      <c r="O71" s="182">
        <v>19539.36</v>
      </c>
      <c r="P71" s="182"/>
      <c r="Q71" s="350"/>
      <c r="R71" s="350"/>
    </row>
    <row r="72" spans="1:18">
      <c r="A72" s="351" t="s">
        <v>719</v>
      </c>
      <c r="B72" s="351"/>
      <c r="C72" s="182">
        <v>3824.12</v>
      </c>
      <c r="D72" s="182"/>
      <c r="E72" s="181" t="s">
        <v>429</v>
      </c>
      <c r="F72" s="181"/>
      <c r="G72" s="182">
        <v>332.1</v>
      </c>
      <c r="H72" s="182"/>
      <c r="I72" s="181" t="s">
        <v>496</v>
      </c>
      <c r="J72" s="181"/>
      <c r="K72" s="182">
        <v>4925.24</v>
      </c>
      <c r="L72" s="182"/>
      <c r="M72" s="181" t="s">
        <v>497</v>
      </c>
      <c r="N72" s="181"/>
      <c r="O72" s="182">
        <v>59578.65</v>
      </c>
      <c r="P72" s="182"/>
      <c r="Q72" s="350"/>
      <c r="R72" s="350"/>
    </row>
    <row r="73" spans="1:18">
      <c r="A73" s="181" t="s">
        <v>498</v>
      </c>
      <c r="B73" s="181"/>
      <c r="C73" s="182">
        <v>31197.16</v>
      </c>
      <c r="D73" s="182"/>
      <c r="E73" s="181" t="s">
        <v>499</v>
      </c>
      <c r="F73" s="181"/>
      <c r="G73" s="182">
        <v>9135.32</v>
      </c>
      <c r="H73" s="182"/>
      <c r="I73" s="181" t="s">
        <v>500</v>
      </c>
      <c r="J73" s="181"/>
      <c r="K73" s="182">
        <v>9970.17</v>
      </c>
      <c r="L73" s="182"/>
      <c r="M73" s="181" t="s">
        <v>501</v>
      </c>
      <c r="N73" s="181"/>
      <c r="O73" s="182">
        <v>2268.1</v>
      </c>
      <c r="P73" s="182"/>
      <c r="Q73" s="350"/>
      <c r="R73" s="350"/>
    </row>
    <row r="74" spans="1:18">
      <c r="A74" s="181" t="s">
        <v>502</v>
      </c>
      <c r="B74" s="181"/>
      <c r="C74" s="182">
        <v>2393.8200000000002</v>
      </c>
      <c r="D74" s="182"/>
      <c r="E74" s="181" t="s">
        <v>503</v>
      </c>
      <c r="F74" s="181"/>
      <c r="G74" s="182">
        <v>121781.5</v>
      </c>
      <c r="H74" s="182"/>
      <c r="I74" s="181" t="s">
        <v>504</v>
      </c>
      <c r="J74" s="181"/>
      <c r="K74" s="182">
        <v>16035.47</v>
      </c>
      <c r="L74" s="182"/>
      <c r="M74" s="181" t="s">
        <v>505</v>
      </c>
      <c r="N74" s="181"/>
      <c r="O74" s="182">
        <v>45320.57</v>
      </c>
      <c r="P74" s="182"/>
      <c r="Q74" s="350"/>
      <c r="R74" s="350"/>
    </row>
    <row r="75" spans="1:18" ht="23.15" customHeight="1">
      <c r="A75" s="181" t="s">
        <v>506</v>
      </c>
      <c r="B75" s="181"/>
      <c r="C75" s="182">
        <v>29162.47</v>
      </c>
      <c r="D75" s="182"/>
      <c r="E75" s="181" t="s">
        <v>507</v>
      </c>
      <c r="F75" s="181"/>
      <c r="G75" s="182">
        <v>28258.81</v>
      </c>
      <c r="H75" s="182"/>
      <c r="I75" s="181" t="s">
        <v>508</v>
      </c>
      <c r="J75" s="181"/>
      <c r="K75" s="182">
        <v>31783.65</v>
      </c>
      <c r="L75" s="182"/>
      <c r="M75" s="181" t="s">
        <v>361</v>
      </c>
      <c r="N75" s="181"/>
      <c r="O75" s="182">
        <v>19697.96</v>
      </c>
      <c r="P75" s="182"/>
      <c r="Q75" s="350"/>
      <c r="R75" s="350"/>
    </row>
    <row r="76" spans="1:18">
      <c r="A76" s="181" t="s">
        <v>509</v>
      </c>
      <c r="B76" s="181"/>
      <c r="C76" s="182">
        <v>1777.41</v>
      </c>
      <c r="D76" s="182"/>
      <c r="E76" s="181" t="s">
        <v>510</v>
      </c>
      <c r="F76" s="181"/>
      <c r="G76" s="182">
        <v>20775.18</v>
      </c>
      <c r="H76" s="182"/>
      <c r="I76" s="181" t="s">
        <v>511</v>
      </c>
      <c r="J76" s="181"/>
      <c r="K76" s="182">
        <v>1663.67</v>
      </c>
      <c r="L76" s="182"/>
      <c r="M76" s="181" t="s">
        <v>512</v>
      </c>
      <c r="N76" s="181"/>
      <c r="O76" s="182">
        <v>23426.3</v>
      </c>
      <c r="P76" s="182"/>
      <c r="Q76" s="350"/>
      <c r="R76" s="350"/>
    </row>
    <row r="77" spans="1:18">
      <c r="A77" s="181" t="s">
        <v>513</v>
      </c>
      <c r="B77" s="181"/>
      <c r="C77" s="182">
        <v>10730.19</v>
      </c>
      <c r="D77" s="182"/>
      <c r="E77" s="181" t="s">
        <v>514</v>
      </c>
      <c r="F77" s="181"/>
      <c r="G77" s="182">
        <v>14970.24</v>
      </c>
      <c r="H77" s="182"/>
      <c r="I77" s="346" t="s">
        <v>515</v>
      </c>
      <c r="K77" s="357">
        <v>36708.89</v>
      </c>
      <c r="L77" s="182"/>
      <c r="M77" s="181" t="s">
        <v>516</v>
      </c>
      <c r="N77" s="181"/>
      <c r="O77" s="182">
        <v>1591.85</v>
      </c>
      <c r="P77" s="182"/>
      <c r="Q77" s="350"/>
      <c r="R77" s="350"/>
    </row>
    <row r="78" spans="1:18">
      <c r="A78" s="181" t="s">
        <v>517</v>
      </c>
      <c r="B78" s="181"/>
      <c r="C78" s="182">
        <v>2606.27</v>
      </c>
      <c r="D78" s="182"/>
      <c r="E78" s="181" t="s">
        <v>518</v>
      </c>
      <c r="F78" s="181"/>
      <c r="G78" s="182">
        <v>21780.560000000001</v>
      </c>
      <c r="H78" s="182"/>
      <c r="I78" s="181" t="s">
        <v>519</v>
      </c>
      <c r="J78" s="181"/>
      <c r="K78" s="182">
        <v>918.59</v>
      </c>
      <c r="L78" s="182"/>
      <c r="M78" s="181" t="s">
        <v>520</v>
      </c>
      <c r="N78" s="181"/>
      <c r="O78" s="182">
        <v>2591.3000000000002</v>
      </c>
      <c r="P78" s="182"/>
      <c r="Q78" s="350"/>
      <c r="R78" s="350"/>
    </row>
    <row r="79" spans="1:18">
      <c r="A79" s="181" t="s">
        <v>521</v>
      </c>
      <c r="B79" s="181"/>
      <c r="C79" s="182">
        <v>65236.93</v>
      </c>
      <c r="D79" s="182"/>
      <c r="E79" s="181" t="s">
        <v>522</v>
      </c>
      <c r="F79" s="181"/>
      <c r="G79" s="182">
        <v>5409.99</v>
      </c>
      <c r="H79" s="182"/>
      <c r="I79" s="181" t="s">
        <v>523</v>
      </c>
      <c r="J79" s="181"/>
      <c r="K79" s="182">
        <v>1104.1300000000001</v>
      </c>
      <c r="L79" s="182"/>
      <c r="M79" s="181" t="s">
        <v>524</v>
      </c>
      <c r="N79" s="181"/>
      <c r="O79" s="182">
        <v>36670.01</v>
      </c>
      <c r="P79" s="182"/>
      <c r="Q79" s="350"/>
      <c r="R79" s="350"/>
    </row>
    <row r="80" spans="1:18" ht="23.15" customHeight="1">
      <c r="A80" s="181" t="s">
        <v>720</v>
      </c>
      <c r="B80" s="181"/>
      <c r="C80" s="182">
        <v>7420.76</v>
      </c>
      <c r="D80" s="182"/>
      <c r="E80" s="181" t="s">
        <v>526</v>
      </c>
      <c r="F80" s="181"/>
      <c r="G80" s="182">
        <v>18794.32</v>
      </c>
      <c r="H80" s="182"/>
      <c r="I80" s="181" t="s">
        <v>527</v>
      </c>
      <c r="J80" s="181"/>
      <c r="K80" s="182">
        <v>33154.11</v>
      </c>
      <c r="L80" s="182"/>
      <c r="M80" s="181" t="s">
        <v>528</v>
      </c>
      <c r="N80" s="181"/>
      <c r="O80" s="182">
        <v>763487.02</v>
      </c>
      <c r="P80" s="182"/>
      <c r="Q80" s="350"/>
      <c r="R80" s="350"/>
    </row>
    <row r="81" spans="1:19">
      <c r="A81" s="181" t="s">
        <v>525</v>
      </c>
      <c r="B81" s="181"/>
      <c r="C81" s="182">
        <v>34111.65</v>
      </c>
      <c r="D81" s="182"/>
      <c r="E81" s="181" t="s">
        <v>529</v>
      </c>
      <c r="F81" s="181"/>
      <c r="G81" s="182">
        <v>24748.89</v>
      </c>
      <c r="H81" s="182"/>
      <c r="I81" s="181" t="s">
        <v>530</v>
      </c>
      <c r="J81" s="181"/>
      <c r="K81" s="182">
        <v>70207.12</v>
      </c>
      <c r="L81" s="182"/>
      <c r="M81" s="181" t="s">
        <v>531</v>
      </c>
      <c r="N81" s="181"/>
      <c r="O81" s="182">
        <v>243060.29</v>
      </c>
      <c r="P81" s="182"/>
      <c r="Q81" s="350"/>
      <c r="R81" s="350"/>
    </row>
    <row r="82" spans="1:19">
      <c r="A82" s="181" t="s">
        <v>532</v>
      </c>
      <c r="B82" s="181"/>
      <c r="C82" s="182">
        <v>13273.66</v>
      </c>
      <c r="D82" s="182"/>
      <c r="E82" s="181" t="s">
        <v>533</v>
      </c>
      <c r="F82" s="181"/>
      <c r="G82" s="182">
        <v>14162.32</v>
      </c>
      <c r="H82" s="182"/>
      <c r="I82" s="181" t="s">
        <v>534</v>
      </c>
      <c r="J82" s="181"/>
      <c r="K82" s="182">
        <v>2998.22</v>
      </c>
      <c r="L82" s="182"/>
      <c r="M82" s="181" t="s">
        <v>535</v>
      </c>
      <c r="N82" s="181"/>
      <c r="O82" s="182">
        <v>1813.33</v>
      </c>
      <c r="P82" s="182"/>
      <c r="Q82" s="350"/>
      <c r="R82" s="350"/>
    </row>
    <row r="83" spans="1:19">
      <c r="A83" s="181" t="s">
        <v>379</v>
      </c>
      <c r="B83" s="181"/>
      <c r="C83" s="182">
        <v>2049.69</v>
      </c>
      <c r="D83" s="182"/>
      <c r="E83" s="181" t="s">
        <v>328</v>
      </c>
      <c r="F83" s="181"/>
      <c r="G83" s="182">
        <v>73136.490000000005</v>
      </c>
      <c r="H83" s="182"/>
      <c r="I83" s="181" t="s">
        <v>415</v>
      </c>
      <c r="J83" s="181"/>
      <c r="K83" s="182">
        <v>126341.71</v>
      </c>
      <c r="L83" s="182"/>
      <c r="M83" s="181" t="s">
        <v>536</v>
      </c>
      <c r="N83" s="181"/>
      <c r="O83" s="182">
        <v>12693.11</v>
      </c>
      <c r="P83" s="182"/>
      <c r="Q83" s="350"/>
      <c r="R83" s="350"/>
    </row>
    <row r="84" spans="1:19">
      <c r="A84" s="181" t="s">
        <v>537</v>
      </c>
      <c r="B84" s="181"/>
      <c r="C84" s="182">
        <v>1268.72</v>
      </c>
      <c r="D84" s="182"/>
      <c r="E84" s="181" t="s">
        <v>538</v>
      </c>
      <c r="F84" s="181"/>
      <c r="G84" s="182">
        <v>11771.48</v>
      </c>
      <c r="H84" s="182"/>
      <c r="I84" s="181" t="s">
        <v>539</v>
      </c>
      <c r="J84" s="181"/>
      <c r="K84" s="182">
        <v>1744.5</v>
      </c>
      <c r="L84" s="182"/>
      <c r="M84" s="181" t="s">
        <v>540</v>
      </c>
      <c r="N84" s="181"/>
      <c r="O84" s="182">
        <v>385230.97</v>
      </c>
      <c r="P84" s="182"/>
      <c r="Q84" s="350"/>
      <c r="R84" s="350"/>
    </row>
    <row r="85" spans="1:19" ht="23.15" customHeight="1">
      <c r="A85" s="181" t="s">
        <v>541</v>
      </c>
      <c r="B85" s="181"/>
      <c r="C85" s="182">
        <v>33710.660000000003</v>
      </c>
      <c r="D85" s="182"/>
      <c r="E85" s="181" t="s">
        <v>542</v>
      </c>
      <c r="F85" s="181"/>
      <c r="G85" s="182">
        <v>89949.96</v>
      </c>
      <c r="H85" s="182"/>
      <c r="I85" s="181" t="s">
        <v>543</v>
      </c>
      <c r="J85" s="181"/>
      <c r="K85" s="182">
        <v>15386.13</v>
      </c>
      <c r="L85" s="182"/>
      <c r="M85" s="181" t="s">
        <v>544</v>
      </c>
      <c r="N85" s="181"/>
      <c r="O85" s="182">
        <v>33683.730000000003</v>
      </c>
      <c r="P85" s="182"/>
      <c r="Q85" s="350"/>
      <c r="R85" s="350"/>
    </row>
    <row r="86" spans="1:19">
      <c r="A86" s="181" t="s">
        <v>545</v>
      </c>
      <c r="B86" s="181"/>
      <c r="C86" s="182">
        <v>27008.04</v>
      </c>
      <c r="D86" s="182"/>
      <c r="E86" s="181" t="s">
        <v>546</v>
      </c>
      <c r="F86" s="181"/>
      <c r="G86" s="182">
        <v>10601.51</v>
      </c>
      <c r="H86" s="182"/>
      <c r="I86" s="181" t="s">
        <v>547</v>
      </c>
      <c r="J86" s="181"/>
      <c r="K86" s="182">
        <v>17642.32</v>
      </c>
      <c r="L86" s="182"/>
      <c r="M86" s="181" t="s">
        <v>369</v>
      </c>
      <c r="N86" s="181"/>
      <c r="O86" s="182">
        <v>2624.22</v>
      </c>
      <c r="P86" s="182"/>
      <c r="Q86" s="350"/>
      <c r="R86" s="350"/>
    </row>
    <row r="87" spans="1:19">
      <c r="A87" s="181" t="s">
        <v>548</v>
      </c>
      <c r="B87" s="181"/>
      <c r="C87" s="182">
        <v>1792.33</v>
      </c>
      <c r="D87" s="182"/>
      <c r="E87" s="181" t="s">
        <v>549</v>
      </c>
      <c r="F87" s="181"/>
      <c r="G87" s="182">
        <v>1232216.69</v>
      </c>
      <c r="H87" s="182"/>
      <c r="I87" s="181" t="s">
        <v>550</v>
      </c>
      <c r="J87" s="181"/>
      <c r="K87" s="182">
        <v>5577.52</v>
      </c>
      <c r="L87" s="182"/>
      <c r="M87" s="181" t="s">
        <v>551</v>
      </c>
      <c r="N87" s="181"/>
      <c r="O87" s="182">
        <v>22845.81</v>
      </c>
      <c r="P87" s="182"/>
      <c r="Q87" s="350"/>
      <c r="R87" s="350"/>
    </row>
    <row r="88" spans="1:19">
      <c r="A88" s="181" t="s">
        <v>552</v>
      </c>
      <c r="B88" s="181"/>
      <c r="C88" s="182">
        <v>37801.050000000003</v>
      </c>
      <c r="D88" s="182"/>
      <c r="E88" s="181" t="s">
        <v>553</v>
      </c>
      <c r="F88" s="181"/>
      <c r="G88" s="182">
        <v>13159.91</v>
      </c>
      <c r="H88" s="182"/>
      <c r="I88" s="181" t="s">
        <v>554</v>
      </c>
      <c r="J88" s="181"/>
      <c r="K88" s="182">
        <v>33668.769999999997</v>
      </c>
      <c r="L88" s="182"/>
      <c r="M88" s="181" t="s">
        <v>555</v>
      </c>
      <c r="N88" s="181"/>
      <c r="O88" s="182">
        <v>16250.89</v>
      </c>
      <c r="P88" s="182"/>
      <c r="Q88" s="350"/>
      <c r="R88" s="350"/>
    </row>
    <row r="89" spans="1:19">
      <c r="A89" s="181" t="s">
        <v>556</v>
      </c>
      <c r="B89" s="181"/>
      <c r="C89" s="182">
        <v>53199.19</v>
      </c>
      <c r="D89" s="182"/>
      <c r="E89" s="181" t="s">
        <v>557</v>
      </c>
      <c r="F89" s="181"/>
      <c r="G89" s="182">
        <v>11098.25</v>
      </c>
      <c r="H89" s="182"/>
      <c r="I89" s="181" t="s">
        <v>558</v>
      </c>
      <c r="J89" s="181"/>
      <c r="K89" s="182">
        <v>993.41</v>
      </c>
      <c r="L89" s="182"/>
      <c r="M89" s="181" t="s">
        <v>559</v>
      </c>
      <c r="N89" s="181"/>
      <c r="O89" s="182">
        <v>61846.79</v>
      </c>
      <c r="P89" s="182"/>
      <c r="Q89" s="350"/>
      <c r="R89" s="350"/>
    </row>
    <row r="90" spans="1:19" ht="23.15" customHeight="1">
      <c r="A90" s="181" t="s">
        <v>560</v>
      </c>
      <c r="B90" s="181"/>
      <c r="C90" s="182">
        <v>30511.919999999998</v>
      </c>
      <c r="D90" s="182"/>
      <c r="E90" s="181" t="s">
        <v>561</v>
      </c>
      <c r="F90" s="181"/>
      <c r="G90" s="182">
        <v>17001.96</v>
      </c>
      <c r="H90" s="182"/>
      <c r="I90" s="181" t="s">
        <v>562</v>
      </c>
      <c r="J90" s="181"/>
      <c r="K90" s="182">
        <v>12896.55</v>
      </c>
      <c r="L90" s="182"/>
      <c r="M90" s="181" t="s">
        <v>563</v>
      </c>
      <c r="N90" s="181"/>
      <c r="O90" s="182">
        <v>2363.89</v>
      </c>
      <c r="P90" s="182"/>
      <c r="Q90" s="350"/>
      <c r="R90" s="350"/>
    </row>
    <row r="91" spans="1:19">
      <c r="A91" s="181" t="s">
        <v>564</v>
      </c>
      <c r="B91" s="181"/>
      <c r="C91" s="182">
        <v>121670.79</v>
      </c>
      <c r="D91" s="182"/>
      <c r="E91" s="181" t="s">
        <v>565</v>
      </c>
      <c r="F91" s="181"/>
      <c r="G91" s="182">
        <v>24557.35</v>
      </c>
      <c r="H91" s="182"/>
      <c r="I91" s="181" t="s">
        <v>566</v>
      </c>
      <c r="J91" s="181"/>
      <c r="K91" s="182">
        <v>2758.88</v>
      </c>
      <c r="L91" s="182"/>
      <c r="M91" s="181" t="s">
        <v>567</v>
      </c>
      <c r="N91" s="181"/>
      <c r="O91" s="182">
        <v>47735.33</v>
      </c>
      <c r="P91" s="182"/>
      <c r="Q91" s="350"/>
      <c r="R91" s="350"/>
    </row>
    <row r="92" spans="1:19">
      <c r="A92" s="181" t="s">
        <v>568</v>
      </c>
      <c r="B92" s="181"/>
      <c r="C92" s="182">
        <v>634311.66</v>
      </c>
      <c r="D92" s="182"/>
      <c r="E92" s="181" t="s">
        <v>569</v>
      </c>
      <c r="F92" s="181"/>
      <c r="G92" s="182">
        <v>11499.21</v>
      </c>
      <c r="H92" s="182"/>
      <c r="I92" s="181" t="s">
        <v>570</v>
      </c>
      <c r="J92" s="181"/>
      <c r="K92" s="182">
        <v>23471.200000000001</v>
      </c>
      <c r="L92" s="182"/>
      <c r="M92" s="566" t="s">
        <v>377</v>
      </c>
      <c r="N92" s="566"/>
      <c r="O92" s="182">
        <v>77056.38</v>
      </c>
      <c r="P92" s="182"/>
      <c r="Q92" s="350"/>
      <c r="R92" s="350"/>
      <c r="S92" s="623"/>
    </row>
    <row r="93" spans="1:19">
      <c r="A93" s="181" t="s">
        <v>571</v>
      </c>
      <c r="B93" s="181"/>
      <c r="C93" s="182">
        <v>25125.9</v>
      </c>
      <c r="D93" s="182"/>
      <c r="E93" s="181" t="s">
        <v>572</v>
      </c>
      <c r="F93" s="181"/>
      <c r="G93" s="182">
        <v>1771.42</v>
      </c>
      <c r="H93" s="182"/>
      <c r="I93" s="181" t="s">
        <v>437</v>
      </c>
      <c r="J93" s="181"/>
      <c r="K93" s="182">
        <v>324596.09000000003</v>
      </c>
      <c r="L93" s="182"/>
      <c r="M93" s="346" t="s">
        <v>573</v>
      </c>
      <c r="O93" s="182">
        <v>67238.81</v>
      </c>
      <c r="P93" s="182"/>
      <c r="Q93" s="350"/>
      <c r="R93" s="350"/>
    </row>
    <row r="94" spans="1:19">
      <c r="A94" s="181" t="s">
        <v>574</v>
      </c>
      <c r="B94" s="181"/>
      <c r="C94" s="182">
        <v>1199.9100000000001</v>
      </c>
      <c r="D94" s="182"/>
      <c r="E94" s="181" t="s">
        <v>575</v>
      </c>
      <c r="F94" s="181"/>
      <c r="G94" s="182">
        <v>1331.54</v>
      </c>
      <c r="H94" s="182"/>
      <c r="I94" s="181" t="s">
        <v>576</v>
      </c>
      <c r="J94" s="181"/>
      <c r="K94" s="182">
        <v>115168.61</v>
      </c>
      <c r="L94" s="182"/>
      <c r="M94" s="346" t="s">
        <v>715</v>
      </c>
      <c r="O94" s="182">
        <v>305305.02</v>
      </c>
      <c r="Q94" s="350"/>
      <c r="R94" s="350"/>
    </row>
    <row r="95" spans="1:19" ht="23.15" customHeight="1">
      <c r="A95" s="181" t="s">
        <v>577</v>
      </c>
      <c r="B95" s="181"/>
      <c r="C95" s="182">
        <v>4177.16</v>
      </c>
      <c r="D95" s="182"/>
      <c r="E95" s="181" t="s">
        <v>578</v>
      </c>
      <c r="F95" s="181"/>
      <c r="G95" s="182">
        <v>3309.43</v>
      </c>
      <c r="H95" s="182"/>
      <c r="I95" s="181" t="s">
        <v>579</v>
      </c>
      <c r="J95" s="181"/>
      <c r="K95" s="182">
        <v>20275.439999999999</v>
      </c>
      <c r="L95" s="182"/>
      <c r="Q95" s="350"/>
      <c r="R95" s="350"/>
    </row>
    <row r="96" spans="1:19" ht="13">
      <c r="A96" s="181" t="s">
        <v>580</v>
      </c>
      <c r="B96" s="181"/>
      <c r="C96" s="182">
        <v>67199.91</v>
      </c>
      <c r="D96" s="182"/>
      <c r="E96" s="181" t="s">
        <v>581</v>
      </c>
      <c r="F96" s="181"/>
      <c r="G96" s="182">
        <v>14347.87</v>
      </c>
      <c r="H96" s="182"/>
      <c r="I96" s="181" t="s">
        <v>582</v>
      </c>
      <c r="J96" s="181"/>
      <c r="K96" s="182">
        <v>13519</v>
      </c>
      <c r="L96" s="182"/>
      <c r="M96" s="352" t="s">
        <v>583</v>
      </c>
      <c r="N96" s="352"/>
      <c r="O96" s="353">
        <f>SUM(C59:C99,G59:G99,K59:K99,O59:O94)</f>
        <v>11958384.079999994</v>
      </c>
      <c r="Q96" s="350"/>
      <c r="R96" s="350"/>
    </row>
    <row r="97" spans="1:19" ht="13">
      <c r="A97" s="181" t="s">
        <v>584</v>
      </c>
      <c r="B97" s="181"/>
      <c r="C97" s="182">
        <v>52202.76</v>
      </c>
      <c r="D97" s="182"/>
      <c r="E97" s="181" t="s">
        <v>585</v>
      </c>
      <c r="F97" s="181"/>
      <c r="G97" s="182">
        <v>22492.720000000001</v>
      </c>
      <c r="H97" s="182"/>
      <c r="I97" s="181" t="s">
        <v>586</v>
      </c>
      <c r="J97" s="181"/>
      <c r="K97" s="182">
        <v>5601.49</v>
      </c>
      <c r="L97" s="182"/>
      <c r="M97" s="352" t="s">
        <v>22</v>
      </c>
      <c r="N97" s="352"/>
      <c r="O97" s="353">
        <f>G51</f>
        <v>168818988.36999997</v>
      </c>
      <c r="Q97" s="358"/>
      <c r="R97" s="350"/>
    </row>
    <row r="98" spans="1:19" ht="13">
      <c r="A98" s="181" t="s">
        <v>587</v>
      </c>
      <c r="B98" s="181"/>
      <c r="C98" s="182">
        <v>33007.51</v>
      </c>
      <c r="D98" s="182"/>
      <c r="E98" s="181" t="s">
        <v>588</v>
      </c>
      <c r="F98" s="181"/>
      <c r="G98" s="182">
        <v>1693.6</v>
      </c>
      <c r="H98" s="182"/>
      <c r="I98" s="181" t="s">
        <v>589</v>
      </c>
      <c r="J98" s="181"/>
      <c r="K98" s="182">
        <v>13809.23</v>
      </c>
      <c r="L98" s="182"/>
      <c r="M98" s="352" t="s">
        <v>27</v>
      </c>
      <c r="N98" s="352"/>
      <c r="O98" s="353">
        <f>K44</f>
        <v>118447418.24000001</v>
      </c>
      <c r="Q98" s="350"/>
      <c r="R98" s="350"/>
    </row>
    <row r="99" spans="1:19">
      <c r="A99" s="181" t="s">
        <v>590</v>
      </c>
      <c r="B99" s="181"/>
      <c r="C99" s="359">
        <v>145228.74</v>
      </c>
      <c r="D99" s="182"/>
      <c r="E99" s="181" t="s">
        <v>591</v>
      </c>
      <c r="F99" s="181"/>
      <c r="G99" s="182">
        <v>54488.84</v>
      </c>
      <c r="I99" s="181" t="s">
        <v>592</v>
      </c>
      <c r="J99" s="181"/>
      <c r="K99" s="182">
        <v>139899.56</v>
      </c>
      <c r="L99" s="182"/>
      <c r="O99" s="357"/>
      <c r="Q99" s="350"/>
      <c r="R99" s="350"/>
    </row>
    <row r="100" spans="1:19" ht="13">
      <c r="A100" s="181"/>
      <c r="B100" s="181"/>
      <c r="C100" s="182"/>
      <c r="D100" s="182"/>
      <c r="E100" s="181"/>
      <c r="F100" s="181"/>
      <c r="G100" s="182"/>
      <c r="H100" s="182"/>
      <c r="I100" s="181"/>
      <c r="J100" s="181"/>
      <c r="K100" s="182"/>
      <c r="L100" s="182"/>
      <c r="M100" s="352" t="s">
        <v>28</v>
      </c>
      <c r="N100" s="352"/>
      <c r="O100" s="353">
        <f>SUM(O96:O98)</f>
        <v>299224790.68999994</v>
      </c>
      <c r="Q100" s="350"/>
      <c r="R100" s="350"/>
    </row>
    <row r="101" spans="1:19" ht="3" customHeight="1">
      <c r="A101" s="181"/>
      <c r="B101" s="181"/>
      <c r="C101" s="182"/>
      <c r="D101" s="182"/>
      <c r="E101" s="181"/>
      <c r="F101" s="181"/>
      <c r="G101" s="182"/>
      <c r="H101" s="182"/>
      <c r="I101" s="181"/>
      <c r="J101" s="181"/>
      <c r="K101" s="182"/>
      <c r="L101" s="182"/>
      <c r="M101" s="354"/>
      <c r="N101" s="354"/>
      <c r="O101" s="622"/>
      <c r="Q101" s="350"/>
      <c r="R101" s="350"/>
    </row>
    <row r="102" spans="1:19" s="1389" customFormat="1" ht="11.5">
      <c r="A102" s="1392" t="s">
        <v>1</v>
      </c>
      <c r="B102" s="1392"/>
      <c r="C102" s="1394"/>
      <c r="D102" s="1394"/>
      <c r="E102" s="1395"/>
      <c r="F102" s="1395"/>
      <c r="G102" s="1394"/>
      <c r="H102" s="1394"/>
      <c r="I102" s="1395"/>
      <c r="J102" s="1395"/>
      <c r="K102" s="1394"/>
      <c r="L102" s="1396"/>
      <c r="Q102" s="1390"/>
      <c r="R102" s="1390"/>
    </row>
    <row r="103" spans="1:19" s="1389" customFormat="1" ht="27" customHeight="1">
      <c r="A103" s="1947" t="s">
        <v>983</v>
      </c>
      <c r="B103" s="1947"/>
      <c r="C103" s="1947"/>
      <c r="D103" s="1947"/>
      <c r="E103" s="1947"/>
      <c r="F103" s="1947"/>
      <c r="G103" s="1947"/>
      <c r="H103" s="1947"/>
      <c r="I103" s="1947"/>
      <c r="J103" s="1947"/>
      <c r="K103" s="1947"/>
      <c r="L103" s="1947"/>
      <c r="M103" s="1947"/>
      <c r="N103" s="1947"/>
      <c r="O103" s="1947"/>
      <c r="Q103" s="1390"/>
      <c r="R103" s="1390"/>
    </row>
    <row r="104" spans="1:19" s="1389" customFormat="1" ht="27" customHeight="1">
      <c r="A104" s="1946" t="s">
        <v>1353</v>
      </c>
      <c r="B104" s="1946"/>
      <c r="C104" s="1946"/>
      <c r="D104" s="1946"/>
      <c r="E104" s="1946"/>
      <c r="F104" s="1946"/>
      <c r="G104" s="1946"/>
      <c r="H104" s="1946"/>
      <c r="I104" s="1946"/>
      <c r="J104" s="1946"/>
      <c r="K104" s="1946"/>
      <c r="L104" s="1946"/>
      <c r="M104" s="1946"/>
      <c r="N104" s="1946"/>
      <c r="O104" s="1946"/>
      <c r="Q104" s="1390"/>
      <c r="R104" s="1390"/>
    </row>
    <row r="105" spans="1:19" s="1389" customFormat="1" ht="15" customHeight="1">
      <c r="A105" s="1391" t="s">
        <v>1304</v>
      </c>
      <c r="B105" s="1391"/>
      <c r="D105" s="1392"/>
      <c r="Q105" s="1393"/>
    </row>
    <row r="106" spans="1:19" s="624" customFormat="1" ht="13">
      <c r="A106" s="861" t="s">
        <v>988</v>
      </c>
      <c r="B106" s="861"/>
      <c r="D106" s="858"/>
      <c r="Q106" s="625"/>
    </row>
    <row r="107" spans="1:19" s="624" customFormat="1" ht="13">
      <c r="A107" s="346"/>
      <c r="B107" s="346"/>
      <c r="C107" s="346"/>
      <c r="D107" s="346"/>
      <c r="E107" s="346"/>
      <c r="F107" s="346"/>
      <c r="G107" s="346"/>
      <c r="H107" s="181"/>
      <c r="I107" s="346"/>
      <c r="J107" s="346"/>
      <c r="K107" s="346"/>
      <c r="L107" s="346"/>
      <c r="M107" s="346"/>
      <c r="N107" s="346"/>
      <c r="O107" s="346"/>
      <c r="P107" s="346"/>
      <c r="Q107" s="346"/>
      <c r="R107" s="346"/>
      <c r="S107" s="346"/>
    </row>
    <row r="111" spans="1:19" s="1469" customFormat="1" ht="11.5">
      <c r="A111" s="1498"/>
      <c r="B111" s="1498"/>
      <c r="C111" s="1473"/>
      <c r="D111" s="1473"/>
      <c r="E111" s="1498"/>
      <c r="F111" s="1498"/>
      <c r="G111" s="1473"/>
      <c r="H111" s="1473"/>
      <c r="I111" s="1498"/>
      <c r="J111" s="1498"/>
      <c r="K111" s="1473"/>
      <c r="L111" s="1473"/>
      <c r="Q111" s="1470"/>
      <c r="R111" s="1470"/>
    </row>
    <row r="112" spans="1:19" s="1469" customFormat="1" ht="11.5">
      <c r="A112" s="1948"/>
      <c r="B112" s="1948"/>
      <c r="C112" s="1948"/>
      <c r="D112" s="1948"/>
      <c r="E112" s="1948"/>
      <c r="F112" s="1948"/>
      <c r="G112" s="1948"/>
      <c r="H112" s="1948"/>
      <c r="I112" s="1948"/>
      <c r="J112" s="1948"/>
      <c r="K112" s="1948"/>
      <c r="L112" s="1948"/>
      <c r="M112" s="1948"/>
      <c r="N112" s="1948"/>
      <c r="O112" s="1948"/>
      <c r="Q112" s="1470"/>
      <c r="R112" s="1470"/>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3">
    <mergeCell ref="A104:O104"/>
    <mergeCell ref="A103:O103"/>
    <mergeCell ref="A112:O112"/>
  </mergeCells>
  <hyperlinks>
    <hyperlink ref="R1" location="TOC!A1" display="Back"/>
  </hyperlinks>
  <pageMargins left="0.65" right="0.25" top="0.3" bottom="0.25" header="0.25" footer="0.25"/>
  <pageSetup scale="75" fitToHeight="2" orientation="landscape" r:id="rId2"/>
  <headerFooter scaleWithDoc="0">
    <oddHeader>&amp;R&amp;P</oddHeader>
  </headerFooter>
  <rowBreaks count="1" manualBreakCount="1">
    <brk id="54"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sheetViews>
  <sheetFormatPr defaultColWidth="9.1796875" defaultRowHeight="12.5"/>
  <cols>
    <col min="1" max="1" width="23.1796875" style="23" customWidth="1"/>
    <col min="2" max="2" width="10.6328125" style="1534" customWidth="1"/>
    <col min="3" max="3" width="16.6328125" style="1534" customWidth="1"/>
    <col min="4" max="4" width="12.6328125" style="1534" customWidth="1"/>
    <col min="5" max="5" width="10.6328125" style="1534" customWidth="1"/>
    <col min="6" max="6" width="1.7265625" style="1534" customWidth="1"/>
    <col min="7" max="7" width="10.6328125" style="1534" customWidth="1"/>
    <col min="8" max="8" width="16.6328125" style="1534" customWidth="1"/>
    <col min="9" max="9" width="12.6328125" style="1534" customWidth="1"/>
    <col min="10" max="10" width="10.6328125" style="1534" customWidth="1"/>
    <col min="11" max="11" width="2.6328125" style="1534" customWidth="1"/>
    <col min="12" max="16384" width="9.1796875" style="23"/>
  </cols>
  <sheetData>
    <row r="1" spans="1:12" ht="18">
      <c r="A1" s="402" t="s">
        <v>731</v>
      </c>
      <c r="B1" s="1499"/>
      <c r="C1" s="1499"/>
      <c r="D1" s="1499"/>
      <c r="E1" s="1500"/>
      <c r="F1" s="1500"/>
      <c r="L1" s="939" t="s">
        <v>1018</v>
      </c>
    </row>
    <row r="2" spans="1:12" ht="15.5">
      <c r="A2" s="21" t="s">
        <v>1061</v>
      </c>
      <c r="B2" s="1499"/>
      <c r="C2" s="1499"/>
      <c r="D2" s="1499"/>
      <c r="E2" s="1500"/>
      <c r="F2" s="1500"/>
    </row>
    <row r="3" spans="1:12">
      <c r="A3" s="183" t="s">
        <v>1062</v>
      </c>
      <c r="B3" s="1501"/>
      <c r="C3" s="1501"/>
      <c r="D3" s="1501"/>
      <c r="E3" s="1502"/>
      <c r="F3" s="1502"/>
    </row>
    <row r="4" spans="1:12" ht="9" customHeight="1" thickBot="1">
      <c r="A4" s="256"/>
      <c r="B4" s="1501"/>
      <c r="C4" s="1501"/>
      <c r="D4" s="1501"/>
      <c r="E4" s="1502"/>
      <c r="F4" s="1502"/>
    </row>
    <row r="5" spans="1:12" ht="13.9" customHeight="1">
      <c r="A5" s="919"/>
      <c r="B5" s="1606" t="s">
        <v>1063</v>
      </c>
      <c r="C5" s="1606"/>
      <c r="D5" s="1606"/>
      <c r="E5" s="1805"/>
      <c r="F5" s="1611"/>
      <c r="G5" s="1612" t="s">
        <v>1064</v>
      </c>
      <c r="H5" s="1606"/>
      <c r="I5" s="1606"/>
      <c r="J5" s="1806"/>
    </row>
    <row r="6" spans="1:12" ht="6" customHeight="1">
      <c r="A6" s="920"/>
      <c r="B6" s="1607"/>
      <c r="C6" s="1607"/>
      <c r="D6" s="1607"/>
      <c r="E6" s="1807"/>
      <c r="F6" s="1613"/>
      <c r="G6" s="1614"/>
      <c r="H6" s="1607"/>
      <c r="I6" s="1607"/>
      <c r="J6" s="1808"/>
    </row>
    <row r="7" spans="1:12" ht="26">
      <c r="A7" s="1049" t="s">
        <v>1065</v>
      </c>
      <c r="B7" s="1050" t="s">
        <v>237</v>
      </c>
      <c r="C7" s="1051" t="s">
        <v>1066</v>
      </c>
      <c r="D7" s="1051" t="s">
        <v>1067</v>
      </c>
      <c r="E7" s="1615" t="s">
        <v>1068</v>
      </c>
      <c r="F7" s="1617"/>
      <c r="G7" s="1616" t="s">
        <v>237</v>
      </c>
      <c r="H7" s="1051" t="s">
        <v>1066</v>
      </c>
      <c r="I7" s="1051" t="s">
        <v>1067</v>
      </c>
      <c r="J7" s="1052" t="s">
        <v>1068</v>
      </c>
    </row>
    <row r="8" spans="1:12" ht="21" customHeight="1">
      <c r="A8" s="921" t="s">
        <v>732</v>
      </c>
      <c r="B8" s="1524">
        <v>486</v>
      </c>
      <c r="C8" s="1525">
        <v>987094</v>
      </c>
      <c r="D8" s="1525">
        <v>2142294</v>
      </c>
      <c r="E8" s="1809">
        <f t="shared" ref="E8:E15" si="0">D8/$D$18</f>
        <v>3.4210952761283536E-3</v>
      </c>
      <c r="F8" s="1617"/>
      <c r="G8" s="1618">
        <v>2073</v>
      </c>
      <c r="H8" s="1525">
        <v>1252548.6299999999</v>
      </c>
      <c r="I8" s="1525">
        <v>28182.35</v>
      </c>
      <c r="J8" s="1810">
        <f>I8/$I$18</f>
        <v>1.0655029408892138E-3</v>
      </c>
    </row>
    <row r="9" spans="1:12" s="1055" customFormat="1" ht="14" customHeight="1">
      <c r="A9" s="1398" t="s">
        <v>36</v>
      </c>
      <c r="B9" s="1654">
        <v>39</v>
      </c>
      <c r="C9" s="1655">
        <v>1353292</v>
      </c>
      <c r="D9" s="1654">
        <v>30750</v>
      </c>
      <c r="E9" s="1811">
        <f t="shared" si="0"/>
        <v>4.9105622169948135E-5</v>
      </c>
      <c r="F9" s="1656"/>
      <c r="G9" s="1657">
        <v>70</v>
      </c>
      <c r="H9" s="1655">
        <v>2492399.36</v>
      </c>
      <c r="I9" s="1654">
        <v>56078.879999999997</v>
      </c>
      <c r="J9" s="1812">
        <f t="shared" ref="J9:J15" si="1">I9/$I$18</f>
        <v>2.1201997548740015E-3</v>
      </c>
      <c r="K9" s="1813"/>
    </row>
    <row r="10" spans="1:12" s="1055" customFormat="1" ht="14" customHeight="1">
      <c r="A10" s="1398" t="s">
        <v>37</v>
      </c>
      <c r="B10" s="1654">
        <v>41</v>
      </c>
      <c r="C10" s="1655">
        <v>3069754</v>
      </c>
      <c r="D10" s="1654">
        <v>67929</v>
      </c>
      <c r="E10" s="1811">
        <f t="shared" si="0"/>
        <v>1.0847791246772055E-4</v>
      </c>
      <c r="F10" s="1656"/>
      <c r="G10" s="1657">
        <v>44</v>
      </c>
      <c r="H10" s="1655">
        <v>3186128.85</v>
      </c>
      <c r="I10" s="1654">
        <v>71687.63</v>
      </c>
      <c r="J10" s="1812">
        <f t="shared" si="1"/>
        <v>2.7103268744578732E-3</v>
      </c>
      <c r="K10" s="1813"/>
    </row>
    <row r="11" spans="1:12" s="1055" customFormat="1" ht="14" customHeight="1">
      <c r="A11" s="1398" t="s">
        <v>38</v>
      </c>
      <c r="B11" s="1654">
        <v>146</v>
      </c>
      <c r="C11" s="1655">
        <v>39184573</v>
      </c>
      <c r="D11" s="1654">
        <v>874997</v>
      </c>
      <c r="E11" s="1811">
        <f t="shared" si="0"/>
        <v>1.3973096611979872E-3</v>
      </c>
      <c r="F11" s="1656"/>
      <c r="G11" s="1657">
        <v>156</v>
      </c>
      <c r="H11" s="1655">
        <v>37953282.109999999</v>
      </c>
      <c r="I11" s="1654">
        <v>853947.59</v>
      </c>
      <c r="J11" s="1812">
        <f t="shared" si="1"/>
        <v>3.2285585428832461E-2</v>
      </c>
      <c r="K11" s="1813"/>
    </row>
    <row r="12" spans="1:12" s="1055" customFormat="1" ht="14" customHeight="1">
      <c r="A12" s="1398" t="s">
        <v>39</v>
      </c>
      <c r="B12" s="1654">
        <v>92</v>
      </c>
      <c r="C12" s="1655">
        <v>67453283</v>
      </c>
      <c r="D12" s="1654">
        <v>1517702</v>
      </c>
      <c r="E12" s="1811">
        <f t="shared" si="0"/>
        <v>2.4236650724739715E-3</v>
      </c>
      <c r="F12" s="1656"/>
      <c r="G12" s="1657">
        <v>57</v>
      </c>
      <c r="H12" s="1655">
        <v>40340144.719999999</v>
      </c>
      <c r="I12" s="1654">
        <v>907653.68</v>
      </c>
      <c r="J12" s="1812">
        <f t="shared" si="1"/>
        <v>3.4316076031591314E-2</v>
      </c>
      <c r="K12" s="1813"/>
    </row>
    <row r="13" spans="1:12" s="1055" customFormat="1" ht="14" customHeight="1">
      <c r="A13" s="1398" t="s">
        <v>40</v>
      </c>
      <c r="B13" s="1654">
        <v>105</v>
      </c>
      <c r="C13" s="1655">
        <v>150613609</v>
      </c>
      <c r="D13" s="1654">
        <v>3384280</v>
      </c>
      <c r="E13" s="1811">
        <f t="shared" si="0"/>
        <v>5.4044609755223441E-3</v>
      </c>
      <c r="F13" s="1656"/>
      <c r="G13" s="1657">
        <v>43</v>
      </c>
      <c r="H13" s="1655">
        <v>58980316.380000003</v>
      </c>
      <c r="I13" s="1654">
        <v>1327056.31</v>
      </c>
      <c r="J13" s="1812">
        <f t="shared" si="1"/>
        <v>5.0172622262891077E-2</v>
      </c>
      <c r="K13" s="1813"/>
    </row>
    <row r="14" spans="1:12" s="1055" customFormat="1" ht="14" customHeight="1">
      <c r="A14" s="1398" t="s">
        <v>41</v>
      </c>
      <c r="B14" s="1654">
        <v>282</v>
      </c>
      <c r="C14" s="1655">
        <v>1471804836</v>
      </c>
      <c r="D14" s="1654">
        <v>32952025</v>
      </c>
      <c r="E14" s="1811">
        <f t="shared" si="0"/>
        <v>5.262210371982716E-2</v>
      </c>
      <c r="F14" s="1656"/>
      <c r="G14" s="1657">
        <v>39</v>
      </c>
      <c r="H14" s="1655">
        <v>191364609.81</v>
      </c>
      <c r="I14" s="1654">
        <v>4305704.3099999996</v>
      </c>
      <c r="J14" s="1812">
        <f t="shared" si="1"/>
        <v>0.1627877236960141</v>
      </c>
      <c r="K14" s="1813"/>
    </row>
    <row r="15" spans="1:12" ht="21" customHeight="1">
      <c r="A15" s="1056" t="s">
        <v>42</v>
      </c>
      <c r="B15" s="1609">
        <v>358</v>
      </c>
      <c r="C15" s="1610">
        <v>28162549549</v>
      </c>
      <c r="D15" s="1609">
        <v>630661448</v>
      </c>
      <c r="E15" s="1814">
        <f t="shared" si="0"/>
        <v>1.0071226921183867</v>
      </c>
      <c r="F15" s="1619"/>
      <c r="G15" s="1620">
        <v>24</v>
      </c>
      <c r="H15" s="1610">
        <v>840965956.63999999</v>
      </c>
      <c r="I15" s="1609">
        <v>18934759.289999999</v>
      </c>
      <c r="J15" s="1815">
        <f t="shared" si="1"/>
        <v>0.71587506749878427</v>
      </c>
    </row>
    <row r="16" spans="1:12" s="1055" customFormat="1" ht="14" customHeight="1">
      <c r="A16" s="1057" t="s">
        <v>43</v>
      </c>
      <c r="B16" s="1736">
        <f>SUM(B8:B15)</f>
        <v>1549</v>
      </c>
      <c r="C16" s="1737">
        <f>SUM(C8:C15)</f>
        <v>29897015990</v>
      </c>
      <c r="D16" s="1737">
        <f>SUM(D8:D15)</f>
        <v>671631425</v>
      </c>
      <c r="E16" s="1816">
        <f>SUM(E8:E15)</f>
        <v>1.0725489103581742</v>
      </c>
      <c r="F16" s="1656"/>
      <c r="G16" s="1817">
        <f>SUM(G8:G15)</f>
        <v>2506</v>
      </c>
      <c r="H16" s="1737">
        <f>SUM(H8:H15)</f>
        <v>1176535386.5</v>
      </c>
      <c r="I16" s="1737">
        <f>SUM(I8:I15)</f>
        <v>26485070.039999999</v>
      </c>
      <c r="J16" s="1818">
        <f>SUM(J8:J15)</f>
        <v>1.0013331044883342</v>
      </c>
      <c r="K16" s="1813"/>
    </row>
    <row r="17" spans="1:11" s="1055" customFormat="1" ht="25" customHeight="1">
      <c r="A17" s="1053" t="s">
        <v>44</v>
      </c>
      <c r="B17" s="1608">
        <v>-21</v>
      </c>
      <c r="C17" s="1054">
        <v>-1963822064.9300001</v>
      </c>
      <c r="D17" s="1054">
        <v>-45430215.419999696</v>
      </c>
      <c r="E17" s="1811">
        <f>D17/$D$18</f>
        <v>-7.2548910358174207E-2</v>
      </c>
      <c r="F17" s="1619"/>
      <c r="G17" s="1621">
        <v>-10</v>
      </c>
      <c r="H17" s="1054">
        <v>-988209.92000031495</v>
      </c>
      <c r="I17" s="1054">
        <v>-35260.3599999957</v>
      </c>
      <c r="J17" s="1812">
        <f>I17/$I$18</f>
        <v>-1.3331044883342878E-3</v>
      </c>
      <c r="K17" s="1813"/>
    </row>
    <row r="18" spans="1:11" s="1055" customFormat="1" ht="14" customHeight="1" thickBot="1">
      <c r="A18" s="1058" t="s">
        <v>734</v>
      </c>
      <c r="B18" s="1819">
        <f>SUM(B16,B17)</f>
        <v>1528</v>
      </c>
      <c r="C18" s="1820">
        <f>SUM(C16,C17)</f>
        <v>27933193925.07</v>
      </c>
      <c r="D18" s="1820">
        <f>SUM(D16,D17)</f>
        <v>626201209.58000028</v>
      </c>
      <c r="E18" s="1821">
        <f>SUM(E16,E17)</f>
        <v>1</v>
      </c>
      <c r="F18" s="1822"/>
      <c r="G18" s="1823">
        <f>SUM(G16,G17)</f>
        <v>2496</v>
      </c>
      <c r="H18" s="1820">
        <f>SUM(H16,H17)</f>
        <v>1175547176.5799997</v>
      </c>
      <c r="I18" s="1820">
        <f>SUM(I16,I17)</f>
        <v>26449809.680000003</v>
      </c>
      <c r="J18" s="1824">
        <f>SUM(J16,J17)</f>
        <v>1</v>
      </c>
      <c r="K18" s="1813"/>
    </row>
    <row r="19" spans="1:11" ht="14" customHeight="1" thickTop="1">
      <c r="A19" s="239"/>
      <c r="B19" s="1510"/>
      <c r="C19" s="1510"/>
      <c r="D19" s="1510"/>
      <c r="E19" s="1511"/>
      <c r="F19" s="1511"/>
    </row>
    <row r="20" spans="1:11" ht="14" customHeight="1">
      <c r="A20" s="239"/>
      <c r="B20" s="1510"/>
      <c r="C20" s="1510"/>
      <c r="D20" s="1510"/>
      <c r="E20" s="1511"/>
      <c r="F20" s="1511"/>
    </row>
    <row r="21" spans="1:11" ht="15.5">
      <c r="A21" s="710" t="s">
        <v>1263</v>
      </c>
      <c r="B21" s="1510"/>
      <c r="C21" s="1510"/>
      <c r="D21" s="1510"/>
      <c r="E21" s="1511"/>
    </row>
    <row r="22" spans="1:11" ht="5" customHeight="1" thickBot="1">
      <c r="A22" s="711"/>
      <c r="B22" s="1523"/>
      <c r="C22" s="1523"/>
      <c r="D22" s="1523"/>
      <c r="E22" s="1825"/>
    </row>
    <row r="23" spans="1:11" ht="14" customHeight="1">
      <c r="A23" s="922" t="s">
        <v>741</v>
      </c>
      <c r="B23" s="1536"/>
      <c r="C23" s="1536"/>
      <c r="D23" s="1537" t="s">
        <v>740</v>
      </c>
      <c r="E23" s="1826"/>
    </row>
    <row r="24" spans="1:11" s="620" customFormat="1" ht="14" customHeight="1">
      <c r="A24" s="425" t="s">
        <v>243</v>
      </c>
      <c r="B24" s="1523"/>
      <c r="C24" s="1575"/>
      <c r="D24" s="1827">
        <v>20882271.149999999</v>
      </c>
      <c r="E24" s="1828"/>
      <c r="F24" s="1511"/>
      <c r="G24" s="1534"/>
      <c r="H24" s="1534"/>
      <c r="I24" s="1534"/>
      <c r="J24" s="1534"/>
      <c r="K24" s="1534"/>
    </row>
    <row r="25" spans="1:11" s="620" customFormat="1" ht="14" customHeight="1">
      <c r="A25" s="425" t="s">
        <v>754</v>
      </c>
      <c r="B25" s="1538"/>
      <c r="C25" s="1538"/>
      <c r="D25" s="1829">
        <v>4977212</v>
      </c>
      <c r="E25" s="1830"/>
      <c r="F25" s="1511"/>
      <c r="G25" s="1534"/>
      <c r="H25" s="1534"/>
      <c r="I25" s="1534"/>
      <c r="J25" s="1534"/>
      <c r="K25" s="1534"/>
    </row>
    <row r="26" spans="1:11" ht="10" customHeight="1">
      <c r="A26" s="432"/>
      <c r="B26" s="1523"/>
      <c r="C26" s="1523"/>
      <c r="D26" s="1831"/>
      <c r="E26" s="1830"/>
      <c r="F26" s="1511"/>
    </row>
    <row r="27" spans="1:11" s="1397" customFormat="1" ht="11" customHeight="1">
      <c r="A27" s="1463" t="s">
        <v>1</v>
      </c>
      <c r="B27" s="1832"/>
      <c r="C27" s="1833"/>
      <c r="D27" s="1833"/>
      <c r="E27" s="1834"/>
      <c r="F27" s="1834"/>
      <c r="G27" s="1653"/>
      <c r="H27" s="1653"/>
      <c r="I27" s="1653"/>
      <c r="J27" s="1653"/>
      <c r="K27" s="1653"/>
    </row>
    <row r="28" spans="1:11" s="1397" customFormat="1" ht="11" customHeight="1">
      <c r="A28" s="1951" t="s">
        <v>1369</v>
      </c>
      <c r="B28" s="1943"/>
      <c r="C28" s="1943"/>
      <c r="D28" s="1943"/>
      <c r="E28" s="1943"/>
      <c r="F28" s="1943"/>
      <c r="G28" s="1943"/>
      <c r="H28" s="1943"/>
      <c r="I28" s="1943"/>
      <c r="J28" s="1943"/>
      <c r="K28" s="1952"/>
    </row>
    <row r="29" spans="1:11" s="1397" customFormat="1" ht="26" customHeight="1">
      <c r="A29" s="1951" t="s">
        <v>1354</v>
      </c>
      <c r="B29" s="1943"/>
      <c r="C29" s="1943"/>
      <c r="D29" s="1943"/>
      <c r="E29" s="1943"/>
      <c r="F29" s="1943"/>
      <c r="G29" s="1943"/>
      <c r="H29" s="1943"/>
      <c r="I29" s="1943"/>
      <c r="J29" s="1943"/>
      <c r="K29" s="1952"/>
    </row>
    <row r="30" spans="1:11" s="1397" customFormat="1" ht="36" customHeight="1">
      <c r="A30" s="1951" t="s">
        <v>1349</v>
      </c>
      <c r="B30" s="1943"/>
      <c r="C30" s="1943"/>
      <c r="D30" s="1943"/>
      <c r="E30" s="1943"/>
      <c r="F30" s="1943"/>
      <c r="G30" s="1943"/>
      <c r="H30" s="1943"/>
      <c r="I30" s="1943"/>
      <c r="J30" s="1943"/>
      <c r="K30" s="1952"/>
    </row>
    <row r="31" spans="1:11" s="1397" customFormat="1" ht="11" customHeight="1">
      <c r="A31" s="1464" t="s">
        <v>736</v>
      </c>
      <c r="B31" s="1835"/>
      <c r="C31" s="1835"/>
      <c r="D31" s="1835"/>
      <c r="E31" s="1836"/>
      <c r="F31" s="1836"/>
      <c r="G31" s="1835"/>
      <c r="H31" s="1835"/>
      <c r="I31" s="1836"/>
      <c r="J31" s="1837"/>
      <c r="K31" s="1653"/>
    </row>
    <row r="32" spans="1:11" s="1397" customFormat="1" ht="11" customHeight="1">
      <c r="A32" s="1465" t="s">
        <v>737</v>
      </c>
      <c r="B32" s="1835"/>
      <c r="C32" s="1835"/>
      <c r="D32" s="1835"/>
      <c r="E32" s="1836"/>
      <c r="F32" s="1836"/>
      <c r="G32" s="1835"/>
      <c r="H32" s="1835"/>
      <c r="I32" s="1836"/>
      <c r="J32" s="1837"/>
      <c r="K32" s="1653"/>
    </row>
    <row r="33" spans="1:11" s="1397" customFormat="1" ht="11" customHeight="1">
      <c r="A33" s="1465" t="s">
        <v>738</v>
      </c>
      <c r="B33" s="1835"/>
      <c r="C33" s="1835"/>
      <c r="D33" s="1835"/>
      <c r="E33" s="1836"/>
      <c r="F33" s="1836"/>
      <c r="G33" s="1835"/>
      <c r="H33" s="1835"/>
      <c r="I33" s="1836"/>
      <c r="J33" s="1835"/>
      <c r="K33" s="1653"/>
    </row>
    <row r="34" spans="1:11" s="1397" customFormat="1" ht="11" customHeight="1">
      <c r="A34" s="1953" t="s">
        <v>1305</v>
      </c>
      <c r="B34" s="1943"/>
      <c r="C34" s="1943"/>
      <c r="D34" s="1943"/>
      <c r="E34" s="1943"/>
      <c r="F34" s="1943"/>
      <c r="G34" s="1943"/>
      <c r="H34" s="1943"/>
      <c r="I34" s="1943"/>
      <c r="J34" s="1943"/>
      <c r="K34" s="1952"/>
    </row>
    <row r="35" spans="1:11" s="621" customFormat="1" ht="11" customHeight="1">
      <c r="A35" s="862" t="s">
        <v>1024</v>
      </c>
      <c r="B35" s="943"/>
      <c r="C35" s="943"/>
      <c r="D35" s="943"/>
      <c r="E35" s="1561"/>
      <c r="F35" s="1561"/>
      <c r="G35" s="1561"/>
      <c r="H35" s="1561"/>
      <c r="I35" s="1561"/>
      <c r="J35" s="1561"/>
      <c r="K35" s="1561"/>
    </row>
    <row r="36" spans="1:11" s="621" customFormat="1" ht="13">
      <c r="A36" s="183"/>
      <c r="B36" s="1501"/>
      <c r="C36" s="1501"/>
      <c r="D36" s="1501"/>
      <c r="E36" s="1502"/>
      <c r="F36" s="1502"/>
      <c r="G36" s="1534"/>
      <c r="H36" s="1534"/>
      <c r="I36" s="1534"/>
      <c r="J36" s="1534"/>
      <c r="K36" s="1534"/>
    </row>
    <row r="37" spans="1:11" s="772" customFormat="1" ht="12.75" customHeight="1">
      <c r="A37" s="1949"/>
      <c r="B37" s="1949"/>
      <c r="C37" s="1949"/>
      <c r="D37" s="1949"/>
      <c r="E37" s="1949"/>
      <c r="F37" s="1949"/>
      <c r="G37" s="1534"/>
      <c r="H37" s="1534"/>
      <c r="I37" s="1534"/>
      <c r="J37" s="1534"/>
      <c r="K37" s="1534"/>
    </row>
    <row r="38" spans="1:11">
      <c r="A38" s="1950"/>
      <c r="B38" s="1950"/>
      <c r="C38" s="1950"/>
      <c r="D38" s="1950"/>
      <c r="E38" s="1950"/>
      <c r="F38" s="1950"/>
    </row>
    <row r="41" spans="1:11" s="1472" customFormat="1" ht="11.5">
      <c r="A41" s="1496"/>
      <c r="B41" s="1832"/>
      <c r="C41" s="1833"/>
      <c r="D41" s="1833"/>
      <c r="E41" s="1834"/>
      <c r="F41" s="1834"/>
      <c r="G41" s="1653"/>
      <c r="H41" s="1653"/>
      <c r="I41" s="1653"/>
      <c r="J41" s="1653"/>
      <c r="K41" s="1653"/>
    </row>
    <row r="42" spans="1:11" s="1472" customFormat="1">
      <c r="A42" s="1476"/>
      <c r="B42" s="1487"/>
      <c r="C42" s="1487"/>
      <c r="D42" s="1487"/>
      <c r="E42" s="1487"/>
      <c r="F42" s="1487"/>
      <c r="G42" s="1487"/>
      <c r="H42" s="1487"/>
      <c r="I42" s="1487"/>
      <c r="J42" s="1487"/>
      <c r="K42" s="1495"/>
    </row>
  </sheetData>
  <mergeCells count="6">
    <mergeCell ref="A37:F37"/>
    <mergeCell ref="A38:F38"/>
    <mergeCell ref="A28:K28"/>
    <mergeCell ref="A29:K29"/>
    <mergeCell ref="A30:K30"/>
    <mergeCell ref="A34:K34"/>
  </mergeCells>
  <hyperlinks>
    <hyperlink ref="L1" location="TOC!A1" display="Back"/>
  </hyperlinks>
  <pageMargins left="0.5" right="0.25" top="0.5" bottom="0.25" header="0.25" footer="0"/>
  <pageSetup orientation="landscape" r:id="rId1"/>
  <headerFooter scaleWithDoc="0">
    <oddHeader>&amp;R&amp;P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5"/>
  <sheetViews>
    <sheetView workbookViewId="0">
      <selection activeCell="B1" sqref="B1"/>
    </sheetView>
  </sheetViews>
  <sheetFormatPr defaultColWidth="8.7265625" defaultRowHeight="12.5"/>
  <cols>
    <col min="1" max="1" width="1.453125" style="717" customWidth="1"/>
    <col min="2" max="2" width="8.7265625" style="717" customWidth="1"/>
    <col min="3" max="3" width="16.7265625" style="1539" customWidth="1"/>
    <col min="4" max="4" width="17.7265625" style="1539" customWidth="1"/>
    <col min="5" max="5" width="14.7265625" style="1539" customWidth="1"/>
    <col min="6" max="6" width="13.7265625" style="1539" customWidth="1"/>
    <col min="7" max="7" width="14.7265625" style="1539" customWidth="1"/>
    <col min="8" max="8" width="16.7265625" style="1539" customWidth="1"/>
    <col min="9" max="9" width="5.26953125" style="717" bestFit="1" customWidth="1"/>
    <col min="10" max="16384" width="8.7265625" style="717"/>
  </cols>
  <sheetData>
    <row r="1" spans="2:9" ht="18">
      <c r="B1" s="902" t="s">
        <v>680</v>
      </c>
      <c r="I1" s="939" t="s">
        <v>1018</v>
      </c>
    </row>
    <row r="2" spans="2:9" ht="15.5">
      <c r="B2" s="1954" t="s">
        <v>875</v>
      </c>
      <c r="C2" s="1954"/>
      <c r="D2" s="1954"/>
      <c r="E2" s="1954"/>
      <c r="F2" s="1954"/>
      <c r="G2" s="1954"/>
      <c r="H2" s="1954"/>
    </row>
    <row r="3" spans="2:9" ht="6" customHeight="1" thickBot="1">
      <c r="B3" s="903"/>
      <c r="C3" s="1570"/>
      <c r="D3" s="1570"/>
      <c r="E3" s="1570"/>
      <c r="F3" s="1570"/>
      <c r="G3" s="1570"/>
      <c r="H3" s="1570"/>
    </row>
    <row r="4" spans="2:9" s="718" customFormat="1" ht="26.15" customHeight="1">
      <c r="B4" s="904" t="s">
        <v>631</v>
      </c>
      <c r="C4" s="1571" t="s">
        <v>970</v>
      </c>
      <c r="D4" s="1571" t="s">
        <v>969</v>
      </c>
      <c r="E4" s="1571" t="s">
        <v>968</v>
      </c>
      <c r="F4" s="1571" t="s">
        <v>967</v>
      </c>
      <c r="G4" s="1571" t="s">
        <v>865</v>
      </c>
      <c r="H4" s="1571" t="s">
        <v>966</v>
      </c>
    </row>
    <row r="5" spans="2:9" ht="15" customHeight="1"/>
    <row r="6" spans="2:9" ht="13">
      <c r="B6" s="901" t="s">
        <v>886</v>
      </c>
      <c r="C6" s="1838"/>
      <c r="D6" s="1838"/>
      <c r="E6" s="1838"/>
      <c r="F6" s="1838"/>
      <c r="G6" s="1838"/>
      <c r="H6" s="1838"/>
    </row>
    <row r="7" spans="2:9" hidden="1">
      <c r="B7" s="719">
        <v>2015</v>
      </c>
      <c r="C7" s="1839">
        <v>1031975708795</v>
      </c>
      <c r="D7" s="1839">
        <v>84093951055.669998</v>
      </c>
      <c r="E7" s="1839">
        <v>10873635297.74</v>
      </c>
      <c r="F7" s="1839">
        <v>1266956460</v>
      </c>
      <c r="G7" s="1839">
        <v>44154961529</v>
      </c>
      <c r="H7" s="1839">
        <v>1172365213137.4099</v>
      </c>
      <c r="I7" s="720"/>
    </row>
    <row r="8" spans="2:9" s="721" customFormat="1">
      <c r="B8" s="759">
        <v>2016</v>
      </c>
      <c r="C8" s="1540">
        <v>1060436113127</v>
      </c>
      <c r="D8" s="1540">
        <v>88866533959.080002</v>
      </c>
      <c r="E8" s="1540">
        <v>10916098009.690001</v>
      </c>
      <c r="F8" s="1540">
        <v>1349538948</v>
      </c>
      <c r="G8" s="1540">
        <v>46266995318</v>
      </c>
      <c r="H8" s="1540">
        <f t="shared" ref="H8:H13" si="0">SUM(C8:G8)</f>
        <v>1207835279361.77</v>
      </c>
      <c r="I8" s="720"/>
    </row>
    <row r="9" spans="2:9" s="721" customFormat="1">
      <c r="B9" s="759">
        <v>2017</v>
      </c>
      <c r="C9" s="1540">
        <v>1091729146412</v>
      </c>
      <c r="D9" s="1540">
        <v>92876379259.282059</v>
      </c>
      <c r="E9" s="1540">
        <v>10937094637.461905</v>
      </c>
      <c r="F9" s="1540">
        <v>1412648166</v>
      </c>
      <c r="G9" s="1540">
        <v>48006343392</v>
      </c>
      <c r="H9" s="1540">
        <f t="shared" si="0"/>
        <v>1244961611866.7439</v>
      </c>
      <c r="I9" s="720"/>
    </row>
    <row r="10" spans="2:9" s="721" customFormat="1">
      <c r="B10" s="759">
        <v>2018</v>
      </c>
      <c r="C10" s="1540">
        <v>1130944150751.6799</v>
      </c>
      <c r="D10" s="1540">
        <v>97202215738.300018</v>
      </c>
      <c r="E10" s="1540">
        <v>11207635106.190001</v>
      </c>
      <c r="F10" s="1540">
        <v>1360441391</v>
      </c>
      <c r="G10" s="1540">
        <v>50028306681.440002</v>
      </c>
      <c r="H10" s="1540">
        <f t="shared" si="0"/>
        <v>1290742749668.6099</v>
      </c>
      <c r="I10" s="720"/>
    </row>
    <row r="11" spans="2:9" s="721" customFormat="1">
      <c r="B11" s="760">
        <v>2019</v>
      </c>
      <c r="C11" s="1540">
        <v>1172449791555</v>
      </c>
      <c r="D11" s="1540">
        <v>98726651736.200012</v>
      </c>
      <c r="E11" s="1540">
        <v>11567370427.889999</v>
      </c>
      <c r="F11" s="1540">
        <v>1344289010.71</v>
      </c>
      <c r="G11" s="1540">
        <v>49209543842.540001</v>
      </c>
      <c r="H11" s="1540">
        <f t="shared" si="0"/>
        <v>1333297646572.3398</v>
      </c>
      <c r="I11" s="720"/>
    </row>
    <row r="12" spans="2:9" s="721" customFormat="1">
      <c r="B12" s="759">
        <f>B11+1</f>
        <v>2020</v>
      </c>
      <c r="C12" s="1540">
        <v>1218079093524.8401</v>
      </c>
      <c r="D12" s="1540">
        <v>100052236312.57999</v>
      </c>
      <c r="E12" s="1540">
        <v>11991123882.619999</v>
      </c>
      <c r="F12" s="1540">
        <v>1433318097.3</v>
      </c>
      <c r="G12" s="1540">
        <v>51149852246.5</v>
      </c>
      <c r="H12" s="1540">
        <f t="shared" si="0"/>
        <v>1382705624063.8403</v>
      </c>
      <c r="I12" s="720"/>
    </row>
    <row r="13" spans="2:9" s="721" customFormat="1">
      <c r="B13" s="759">
        <f>B12+1</f>
        <v>2021</v>
      </c>
      <c r="C13" s="1540">
        <f>'6.2'!$F$160</f>
        <v>1272658725400.3198</v>
      </c>
      <c r="D13" s="1540">
        <f>'6.4'!$B$160</f>
        <v>117017760420.92509</v>
      </c>
      <c r="E13" s="1540">
        <f>'6.4'!$F$160</f>
        <v>12080942915.724762</v>
      </c>
      <c r="F13" s="1540">
        <f>'6.4'!$J$160</f>
        <v>1314173629.97</v>
      </c>
      <c r="G13" s="1540">
        <f>'6.4'!$N$160</f>
        <v>50881143994.349998</v>
      </c>
      <c r="H13" s="1540">
        <f t="shared" si="0"/>
        <v>1453952746361.2898</v>
      </c>
      <c r="I13" s="720"/>
    </row>
    <row r="14" spans="2:9" ht="13">
      <c r="B14" s="721"/>
      <c r="C14" s="1840"/>
      <c r="D14" s="1840"/>
      <c r="E14" s="1840"/>
      <c r="F14" s="1840"/>
      <c r="G14" s="1840"/>
      <c r="H14" s="1840"/>
    </row>
    <row r="15" spans="2:9" ht="13">
      <c r="B15" s="901" t="s">
        <v>887</v>
      </c>
      <c r="C15" s="1841"/>
      <c r="D15" s="1841"/>
      <c r="E15" s="1841"/>
      <c r="F15" s="1841"/>
      <c r="G15" s="1841"/>
      <c r="H15" s="1841"/>
    </row>
    <row r="16" spans="2:9" hidden="1">
      <c r="B16" s="719">
        <f t="shared" ref="B16:B22" si="1">B7</f>
        <v>2015</v>
      </c>
      <c r="C16" s="1839">
        <v>10007871602.596775</v>
      </c>
      <c r="D16" s="1839">
        <v>3012973186.0262656</v>
      </c>
      <c r="E16" s="1839">
        <v>215708233.76555002</v>
      </c>
      <c r="F16" s="1839">
        <v>13274973.785999998</v>
      </c>
      <c r="G16" s="1839">
        <v>364855303.00326002</v>
      </c>
      <c r="H16" s="1839">
        <v>13614683299.177851</v>
      </c>
      <c r="I16" s="720"/>
    </row>
    <row r="17" spans="2:9" s="721" customFormat="1">
      <c r="B17" s="759">
        <f t="shared" si="1"/>
        <v>2016</v>
      </c>
      <c r="C17" s="1540">
        <v>10446834664.72967</v>
      </c>
      <c r="D17" s="1540">
        <v>3108724600.9577131</v>
      </c>
      <c r="E17" s="1540">
        <v>220024079.66569999</v>
      </c>
      <c r="F17" s="1540">
        <v>14028692.103300003</v>
      </c>
      <c r="G17" s="1540">
        <v>408732706.07139993</v>
      </c>
      <c r="H17" s="1540">
        <f t="shared" ref="H17:H22" si="2">SUM(C17:G17)</f>
        <v>14198344743.527782</v>
      </c>
      <c r="I17" s="720"/>
    </row>
    <row r="18" spans="2:9" s="721" customFormat="1">
      <c r="B18" s="759">
        <f t="shared" si="1"/>
        <v>2017</v>
      </c>
      <c r="C18" s="1540">
        <v>10820224510.957804</v>
      </c>
      <c r="D18" s="1540">
        <v>3279499565.8478804</v>
      </c>
      <c r="E18" s="1540">
        <v>232207933.77725005</v>
      </c>
      <c r="F18" s="1540">
        <v>14034594.904299999</v>
      </c>
      <c r="G18" s="1540">
        <v>404358032.39963996</v>
      </c>
      <c r="H18" s="1540">
        <f t="shared" si="2"/>
        <v>14750324637.886873</v>
      </c>
      <c r="I18" s="720"/>
    </row>
    <row r="19" spans="2:9" s="721" customFormat="1">
      <c r="B19" s="759">
        <f t="shared" si="1"/>
        <v>2018</v>
      </c>
      <c r="C19" s="1540">
        <v>11239557027.180504</v>
      </c>
      <c r="D19" s="1540">
        <v>3464493881.5964141</v>
      </c>
      <c r="E19" s="1540">
        <v>281779148.09530008</v>
      </c>
      <c r="F19" s="1540">
        <v>13905355.629000001</v>
      </c>
      <c r="G19" s="1540">
        <v>427590254.37099987</v>
      </c>
      <c r="H19" s="1540">
        <f t="shared" si="2"/>
        <v>15427325666.872219</v>
      </c>
      <c r="I19" s="720"/>
    </row>
    <row r="20" spans="2:9" s="721" customFormat="1">
      <c r="B20" s="759">
        <f t="shared" si="1"/>
        <v>2019</v>
      </c>
      <c r="C20" s="1540">
        <v>11654584398.700165</v>
      </c>
      <c r="D20" s="1540">
        <v>3600959729.1374731</v>
      </c>
      <c r="E20" s="1540">
        <v>227752597.23180002</v>
      </c>
      <c r="F20" s="1540">
        <v>14010085.905490002</v>
      </c>
      <c r="G20" s="1540">
        <v>409329416.85523003</v>
      </c>
      <c r="H20" s="1540">
        <f t="shared" si="2"/>
        <v>15906636227.83016</v>
      </c>
    </row>
    <row r="21" spans="2:9" s="721" customFormat="1">
      <c r="B21" s="759">
        <f t="shared" si="1"/>
        <v>2020</v>
      </c>
      <c r="C21" s="1540">
        <v>12096950258.460642</v>
      </c>
      <c r="D21" s="1540">
        <v>3641278531.4917192</v>
      </c>
      <c r="E21" s="1540">
        <v>250441104.58224204</v>
      </c>
      <c r="F21" s="1540">
        <v>15272308.508099999</v>
      </c>
      <c r="G21" s="1540">
        <v>426389897.02810383</v>
      </c>
      <c r="H21" s="1540">
        <f t="shared" si="2"/>
        <v>16430332100.070808</v>
      </c>
    </row>
    <row r="22" spans="2:9" s="721" customFormat="1">
      <c r="B22" s="759">
        <f t="shared" si="1"/>
        <v>2021</v>
      </c>
      <c r="C22" s="1540">
        <f>'6.2'!$G$160</f>
        <v>12502983390.447292</v>
      </c>
      <c r="D22" s="1540">
        <f>'6.4'!$D$160</f>
        <v>4446588890.3170204</v>
      </c>
      <c r="E22" s="1540">
        <f>'6.4'!$H$160</f>
        <v>252339042.05670285</v>
      </c>
      <c r="F22" s="1540">
        <f>'6.4'!$L$160</f>
        <v>13718743.484640002</v>
      </c>
      <c r="G22" s="1540">
        <f>'6.4'!$P$160</f>
        <v>445761963.69381553</v>
      </c>
      <c r="H22" s="1540">
        <f t="shared" si="2"/>
        <v>17661392029.99947</v>
      </c>
    </row>
    <row r="23" spans="2:9" ht="13">
      <c r="B23" s="721"/>
      <c r="C23" s="1840"/>
      <c r="D23" s="1840"/>
      <c r="E23" s="1840"/>
      <c r="F23" s="1840"/>
      <c r="G23" s="1840"/>
      <c r="H23" s="1840"/>
    </row>
    <row r="24" spans="2:9" ht="13">
      <c r="B24" s="901" t="s">
        <v>888</v>
      </c>
      <c r="C24" s="1838"/>
      <c r="D24" s="1838"/>
      <c r="E24" s="1838"/>
      <c r="F24" s="1838"/>
      <c r="G24" s="1838"/>
      <c r="H24" s="1838"/>
    </row>
    <row r="25" spans="2:9" hidden="1">
      <c r="B25" s="719">
        <f t="shared" ref="B25:B31" si="3">B16</f>
        <v>2015</v>
      </c>
      <c r="C25" s="1842">
        <f t="shared" ref="C25:H31" si="4">C16/C7*100</f>
        <v>0.9697778268717776</v>
      </c>
      <c r="D25" s="1842">
        <f t="shared" si="4"/>
        <v>3.5828655309960218</v>
      </c>
      <c r="E25" s="1842">
        <f t="shared" si="4"/>
        <v>1.9837729320421782</v>
      </c>
      <c r="F25" s="1842">
        <f t="shared" si="4"/>
        <v>1.0477845297067272</v>
      </c>
      <c r="G25" s="1842">
        <f t="shared" si="4"/>
        <v>0.82630646787820472</v>
      </c>
      <c r="H25" s="1842">
        <f t="shared" si="4"/>
        <v>1.1613005185255449</v>
      </c>
      <c r="I25" s="720"/>
    </row>
    <row r="26" spans="2:9">
      <c r="B26" s="759">
        <f t="shared" si="3"/>
        <v>2016</v>
      </c>
      <c r="C26" s="1843">
        <f t="shared" si="4"/>
        <v>0.98514512429458689</v>
      </c>
      <c r="D26" s="1843">
        <f t="shared" si="4"/>
        <v>3.4981949474806506</v>
      </c>
      <c r="E26" s="1843">
        <f t="shared" si="4"/>
        <v>2.0155927463310519</v>
      </c>
      <c r="F26" s="1843">
        <f t="shared" si="4"/>
        <v>1.0395173940026223</v>
      </c>
      <c r="G26" s="1843">
        <f t="shared" si="4"/>
        <v>0.88342176374782644</v>
      </c>
      <c r="H26" s="1843">
        <f t="shared" si="4"/>
        <v>1.1755199559190144</v>
      </c>
      <c r="I26" s="720"/>
    </row>
    <row r="27" spans="2:9">
      <c r="B27" s="759">
        <f t="shared" si="3"/>
        <v>2017</v>
      </c>
      <c r="C27" s="1843">
        <f t="shared" si="4"/>
        <v>0.99110887957134697</v>
      </c>
      <c r="D27" s="1843">
        <f t="shared" si="4"/>
        <v>3.5310372691128862</v>
      </c>
      <c r="E27" s="1843">
        <f t="shared" si="4"/>
        <v>2.1231226525359657</v>
      </c>
      <c r="F27" s="1843">
        <f t="shared" si="4"/>
        <v>0.99349542526500534</v>
      </c>
      <c r="G27" s="1843">
        <f t="shared" si="4"/>
        <v>0.84230125401932621</v>
      </c>
      <c r="H27" s="1843">
        <f t="shared" si="4"/>
        <v>1.1848015631397391</v>
      </c>
      <c r="I27" s="720"/>
    </row>
    <row r="28" spans="2:9">
      <c r="B28" s="759">
        <f t="shared" si="3"/>
        <v>2018</v>
      </c>
      <c r="C28" s="1843">
        <f t="shared" si="4"/>
        <v>0.99382069571783482</v>
      </c>
      <c r="D28" s="1843">
        <f t="shared" si="4"/>
        <v>3.5642128682785983</v>
      </c>
      <c r="E28" s="1843">
        <f t="shared" si="4"/>
        <v>2.5141713254000648</v>
      </c>
      <c r="F28" s="1843">
        <f t="shared" si="4"/>
        <v>1.0221208881904711</v>
      </c>
      <c r="G28" s="1843">
        <f t="shared" si="4"/>
        <v>0.85469663623380554</v>
      </c>
      <c r="H28" s="1843">
        <f t="shared" si="4"/>
        <v>1.1952285357274397</v>
      </c>
      <c r="I28" s="720"/>
    </row>
    <row r="29" spans="2:9">
      <c r="B29" s="759">
        <f t="shared" si="3"/>
        <v>2019</v>
      </c>
      <c r="C29" s="1843">
        <f t="shared" si="4"/>
        <v>0.99403697136087077</v>
      </c>
      <c r="D29" s="1843">
        <f t="shared" si="4"/>
        <v>3.6474038831574318</v>
      </c>
      <c r="E29" s="1843">
        <f t="shared" si="4"/>
        <v>1.9689228304011728</v>
      </c>
      <c r="F29" s="1843">
        <f t="shared" si="4"/>
        <v>1.042192995246642</v>
      </c>
      <c r="G29" s="1843">
        <f t="shared" si="4"/>
        <v>0.83180900470241403</v>
      </c>
      <c r="H29" s="1843">
        <f t="shared" si="4"/>
        <v>1.1930296486102081</v>
      </c>
      <c r="I29" s="720"/>
    </row>
    <row r="30" spans="2:9">
      <c r="B30" s="759">
        <f t="shared" si="3"/>
        <v>2020</v>
      </c>
      <c r="C30" s="1843">
        <f t="shared" si="4"/>
        <v>0.99311697596375748</v>
      </c>
      <c r="D30" s="1843">
        <f t="shared" si="4"/>
        <v>3.6393774549084079</v>
      </c>
      <c r="E30" s="1843">
        <f t="shared" si="4"/>
        <v>2.0885540591006051</v>
      </c>
      <c r="F30" s="1843">
        <f t="shared" si="4"/>
        <v>1.0655212221815293</v>
      </c>
      <c r="G30" s="1843">
        <f t="shared" si="4"/>
        <v>0.8336092447994905</v>
      </c>
      <c r="H30" s="1843">
        <f t="shared" si="4"/>
        <v>1.1882740486569547</v>
      </c>
    </row>
    <row r="31" spans="2:9">
      <c r="B31" s="759">
        <f t="shared" si="3"/>
        <v>2021</v>
      </c>
      <c r="C31" s="1843">
        <f t="shared" si="4"/>
        <v>0.98243017872009875</v>
      </c>
      <c r="D31" s="1843">
        <f t="shared" si="4"/>
        <v>3.7999265020302695</v>
      </c>
      <c r="E31" s="1843">
        <f t="shared" si="4"/>
        <v>2.0887363165026964</v>
      </c>
      <c r="F31" s="1843">
        <f t="shared" si="4"/>
        <v>1.043906465004413</v>
      </c>
      <c r="G31" s="1843">
        <f t="shared" si="4"/>
        <v>0.87608479035635356</v>
      </c>
      <c r="H31" s="1843">
        <f t="shared" si="4"/>
        <v>1.2147156827620054</v>
      </c>
    </row>
    <row r="32" spans="2:9" s="721" customFormat="1">
      <c r="C32" s="1844"/>
      <c r="D32" s="1844"/>
      <c r="E32" s="1844"/>
      <c r="F32" s="1844"/>
      <c r="G32" s="1844"/>
      <c r="H32" s="1844"/>
    </row>
    <row r="33" spans="2:8" s="1399" customFormat="1" ht="12" customHeight="1">
      <c r="B33" s="1399" t="s">
        <v>18</v>
      </c>
      <c r="C33" s="1658"/>
      <c r="D33" s="1658"/>
      <c r="E33" s="1658"/>
      <c r="F33" s="1658"/>
      <c r="G33" s="1658"/>
      <c r="H33" s="1658"/>
    </row>
    <row r="34" spans="2:8" s="1399" customFormat="1" ht="12" customHeight="1">
      <c r="B34" s="1955" t="s">
        <v>889</v>
      </c>
      <c r="C34" s="1955"/>
      <c r="D34" s="1955"/>
      <c r="E34" s="1955"/>
      <c r="F34" s="1955"/>
      <c r="G34" s="1955"/>
      <c r="H34" s="1955"/>
    </row>
    <row r="35" spans="2:8" ht="13">
      <c r="B35" s="862" t="s">
        <v>987</v>
      </c>
      <c r="C35" s="1844"/>
      <c r="D35" s="1844"/>
      <c r="E35" s="1844"/>
      <c r="F35" s="1844"/>
      <c r="G35" s="1844"/>
      <c r="H35" s="1844"/>
    </row>
    <row r="36" spans="2:8" s="722" customFormat="1">
      <c r="C36" s="1845"/>
      <c r="D36" s="1845"/>
      <c r="E36" s="1845"/>
      <c r="F36" s="1845"/>
      <c r="G36" s="1845"/>
      <c r="H36" s="1845"/>
    </row>
    <row r="37" spans="2:8" s="722" customFormat="1">
      <c r="C37" s="1845"/>
      <c r="D37" s="1845"/>
      <c r="E37" s="1845"/>
      <c r="F37" s="1845"/>
      <c r="G37" s="1845"/>
      <c r="H37" s="1845"/>
    </row>
    <row r="38" spans="2:8" s="722" customFormat="1">
      <c r="C38" s="1846"/>
      <c r="D38" s="1846"/>
      <c r="E38" s="1846"/>
      <c r="F38" s="1846"/>
      <c r="G38" s="1846"/>
      <c r="H38" s="1846"/>
    </row>
    <row r="39" spans="2:8" s="722" customFormat="1">
      <c r="C39" s="1845"/>
      <c r="D39" s="1845"/>
      <c r="E39" s="1845"/>
      <c r="F39" s="1845"/>
      <c r="G39" s="1845"/>
      <c r="H39" s="1845"/>
    </row>
    <row r="40" spans="2:8" s="722" customFormat="1">
      <c r="C40" s="1847"/>
      <c r="D40" s="1847"/>
      <c r="E40" s="1847"/>
      <c r="F40" s="1847"/>
      <c r="G40" s="1847"/>
      <c r="H40" s="1847"/>
    </row>
    <row r="41" spans="2:8" s="722" customFormat="1">
      <c r="C41" s="1847"/>
      <c r="D41" s="1847"/>
      <c r="E41" s="1847"/>
      <c r="F41" s="1847"/>
      <c r="G41" s="1847"/>
      <c r="H41" s="1847"/>
    </row>
    <row r="42" spans="2:8" s="722" customFormat="1">
      <c r="C42" s="1848"/>
      <c r="D42" s="1848"/>
      <c r="E42" s="1848"/>
      <c r="F42" s="1848"/>
      <c r="G42" s="1848"/>
      <c r="H42" s="1848"/>
    </row>
    <row r="43" spans="2:8" s="722" customFormat="1">
      <c r="C43" s="1849"/>
      <c r="D43" s="1849"/>
      <c r="E43" s="1849"/>
      <c r="F43" s="1849"/>
      <c r="G43" s="1849"/>
      <c r="H43" s="1849"/>
    </row>
    <row r="44" spans="2:8" s="722" customFormat="1">
      <c r="C44" s="1849"/>
      <c r="D44" s="1849"/>
      <c r="E44" s="1849"/>
      <c r="F44" s="1849"/>
      <c r="G44" s="1849"/>
      <c r="H44" s="1849"/>
    </row>
    <row r="45" spans="2:8" s="722" customFormat="1">
      <c r="C45" s="1539"/>
      <c r="D45" s="1539"/>
      <c r="E45" s="1539"/>
      <c r="F45" s="1539"/>
      <c r="G45" s="1539"/>
      <c r="H45" s="1539"/>
    </row>
  </sheetData>
  <mergeCells count="2">
    <mergeCell ref="B2:H2"/>
    <mergeCell ref="B34:H34"/>
  </mergeCells>
  <hyperlinks>
    <hyperlink ref="I1" location="TOC!A1" display="Back"/>
  </hyperlinks>
  <pageMargins left="0.5" right="0.25" top="0.5" bottom="0.25" header="0.25" footer="0"/>
  <pageSetup orientation="landscape" r:id="rId1"/>
  <headerFooter scaleWithDoc="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C109"/>
  <sheetViews>
    <sheetView zoomScale="90" zoomScaleNormal="90" workbookViewId="0"/>
  </sheetViews>
  <sheetFormatPr defaultColWidth="12.453125" defaultRowHeight="12.5"/>
  <cols>
    <col min="1" max="1" width="38.453125" style="9" customWidth="1"/>
    <col min="2" max="8" width="0.54296875" style="9" customWidth="1"/>
    <col min="9" max="9" width="18.6328125" style="9" customWidth="1"/>
    <col min="10" max="10" width="20.1796875" style="9" customWidth="1"/>
    <col min="11" max="11" width="1.7265625" style="9" customWidth="1"/>
    <col min="12" max="12" width="12.453125" style="9" customWidth="1"/>
    <col min="13" max="14" width="0.54296875" style="9" customWidth="1"/>
    <col min="15" max="15" width="12.453125" style="668" customWidth="1"/>
    <col min="16" max="20" width="13.7265625" style="668" customWidth="1"/>
    <col min="21" max="21" width="7.453125" style="668" customWidth="1"/>
    <col min="22" max="23" width="13.7265625" style="447" customWidth="1"/>
    <col min="24" max="24" width="19.7265625" style="447" customWidth="1"/>
    <col min="25" max="27" width="17.54296875" style="447" bestFit="1" customWidth="1"/>
    <col min="28" max="28" width="33.7265625" style="447" customWidth="1"/>
    <col min="29" max="29" width="20.81640625" style="447" bestFit="1" customWidth="1"/>
    <col min="30" max="103" width="12.453125" style="447" customWidth="1"/>
    <col min="104" max="237" width="12.453125" style="9" customWidth="1"/>
  </cols>
  <sheetData>
    <row r="1" spans="1:235" ht="18">
      <c r="A1" s="404" t="s">
        <v>4</v>
      </c>
      <c r="B1" s="7"/>
      <c r="C1" s="7"/>
      <c r="D1" s="7"/>
      <c r="E1" s="7"/>
      <c r="F1" s="7"/>
      <c r="G1" s="7"/>
      <c r="H1" s="7"/>
      <c r="I1" s="7"/>
      <c r="J1" s="7"/>
      <c r="K1" s="7"/>
      <c r="O1" s="579"/>
      <c r="P1" s="408"/>
      <c r="Q1" s="408"/>
      <c r="R1" s="408"/>
      <c r="S1" s="408"/>
      <c r="T1" s="408"/>
      <c r="U1" s="408"/>
      <c r="V1" s="939" t="s">
        <v>1018</v>
      </c>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c r="BT1" s="446"/>
      <c r="BU1" s="446"/>
      <c r="BV1" s="446"/>
      <c r="BW1" s="446"/>
      <c r="BX1" s="446"/>
      <c r="BY1" s="446"/>
      <c r="BZ1" s="446"/>
      <c r="CA1" s="446"/>
      <c r="CB1" s="446"/>
      <c r="CC1" s="446"/>
      <c r="CD1" s="446"/>
      <c r="CE1" s="446"/>
      <c r="CF1" s="446"/>
      <c r="CG1" s="446"/>
      <c r="CH1" s="446"/>
      <c r="CI1" s="446"/>
      <c r="CJ1" s="446"/>
      <c r="CK1" s="446"/>
      <c r="CL1" s="446"/>
      <c r="CM1" s="446"/>
      <c r="CN1" s="446"/>
      <c r="CO1" s="446"/>
      <c r="CP1" s="446"/>
      <c r="CQ1" s="446"/>
      <c r="CR1" s="446"/>
      <c r="CS1" s="446"/>
      <c r="CT1" s="446"/>
      <c r="CU1" s="446"/>
      <c r="CV1" s="446"/>
      <c r="CW1" s="446"/>
      <c r="CX1" s="446"/>
      <c r="CY1" s="446"/>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row>
    <row r="2" spans="1:235" ht="15.5">
      <c r="A2" s="241"/>
      <c r="B2"/>
      <c r="C2"/>
      <c r="D2"/>
      <c r="E2"/>
      <c r="F2"/>
      <c r="G2"/>
      <c r="H2"/>
      <c r="I2" s="49"/>
      <c r="J2" s="49"/>
      <c r="K2" s="49"/>
      <c r="L2" s="2" t="str">
        <f>RIGHT(I3,4)&amp;"/"&amp;RIGHT(J3,4)</f>
        <v>2021/2022</v>
      </c>
      <c r="M2" s="2"/>
      <c r="N2" s="2"/>
      <c r="O2" s="659"/>
      <c r="P2" s="580"/>
      <c r="Q2" s="580"/>
      <c r="R2" s="580"/>
      <c r="S2" s="580"/>
      <c r="T2" s="580"/>
      <c r="U2" s="580"/>
      <c r="V2" s="446"/>
      <c r="W2" s="446"/>
      <c r="X2" s="446"/>
      <c r="Y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46"/>
      <c r="BY2" s="446"/>
      <c r="BZ2" s="446"/>
      <c r="CA2" s="446"/>
      <c r="CB2" s="446"/>
      <c r="CC2" s="446"/>
      <c r="CD2" s="446"/>
      <c r="CE2" s="446"/>
      <c r="CF2" s="446"/>
      <c r="CG2" s="446"/>
      <c r="CH2" s="446"/>
      <c r="CI2" s="446"/>
      <c r="CJ2" s="446"/>
      <c r="CK2" s="446"/>
      <c r="CL2" s="446"/>
      <c r="CM2" s="446"/>
      <c r="CN2" s="446"/>
      <c r="CO2" s="446"/>
      <c r="CP2" s="446"/>
      <c r="CQ2" s="446"/>
      <c r="CR2" s="446"/>
      <c r="CS2" s="446"/>
      <c r="CT2" s="446"/>
      <c r="CU2" s="446"/>
      <c r="CV2" s="446"/>
      <c r="CW2" s="446"/>
      <c r="CX2" s="446"/>
      <c r="CY2" s="446"/>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row>
    <row r="3" spans="1:235" ht="14.15" customHeight="1">
      <c r="A3" s="675"/>
      <c r="B3" s="654">
        <v>2014</v>
      </c>
      <c r="C3" s="654" t="s">
        <v>934</v>
      </c>
      <c r="D3" s="654" t="s">
        <v>935</v>
      </c>
      <c r="E3" s="654" t="s">
        <v>936</v>
      </c>
      <c r="F3" s="654" t="s">
        <v>937</v>
      </c>
      <c r="G3" s="1175" t="s">
        <v>938</v>
      </c>
      <c r="H3" s="1175" t="s">
        <v>939</v>
      </c>
      <c r="I3" s="653" t="s">
        <v>940</v>
      </c>
      <c r="J3" s="1174" t="s">
        <v>1242</v>
      </c>
      <c r="K3" s="49"/>
      <c r="L3" s="1684" t="s">
        <v>258</v>
      </c>
      <c r="M3" s="1684" t="s">
        <v>1368</v>
      </c>
      <c r="N3" s="1896" t="s">
        <v>1367</v>
      </c>
      <c r="O3" s="659"/>
      <c r="P3" s="580"/>
      <c r="Q3" s="580"/>
      <c r="R3" s="580"/>
      <c r="S3" s="580"/>
      <c r="T3" s="580"/>
      <c r="U3" s="580"/>
      <c r="V3" s="446"/>
      <c r="W3" s="446"/>
      <c r="X3" s="446"/>
      <c r="Y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c r="CQ3" s="446"/>
      <c r="CR3" s="446"/>
      <c r="CS3" s="446"/>
      <c r="CT3" s="446"/>
      <c r="CU3" s="446"/>
      <c r="CV3" s="446"/>
      <c r="CW3" s="446"/>
      <c r="CX3" s="446"/>
      <c r="CY3" s="446"/>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row>
    <row r="4" spans="1:235" ht="9.75" customHeight="1">
      <c r="A4"/>
      <c r="B4"/>
      <c r="C4"/>
      <c r="D4"/>
      <c r="E4"/>
      <c r="F4"/>
      <c r="G4"/>
      <c r="H4"/>
      <c r="I4" s="49"/>
      <c r="J4" s="49"/>
      <c r="K4" s="49"/>
      <c r="L4" s="10"/>
      <c r="M4" s="10"/>
      <c r="N4" s="10"/>
      <c r="O4" s="660"/>
      <c r="P4" s="580"/>
      <c r="Q4" s="580"/>
      <c r="R4" s="580"/>
      <c r="S4" s="580"/>
      <c r="T4" s="580"/>
      <c r="U4" s="580"/>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c r="CP4" s="446"/>
      <c r="CQ4" s="446"/>
      <c r="CR4" s="446"/>
      <c r="CS4" s="446"/>
      <c r="CT4" s="446"/>
      <c r="CU4" s="446"/>
      <c r="CV4" s="446"/>
      <c r="CW4" s="446"/>
      <c r="CX4" s="446"/>
      <c r="CY4" s="446"/>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row>
    <row r="5" spans="1:235" ht="15.5">
      <c r="A5" s="11" t="s">
        <v>789</v>
      </c>
      <c r="B5"/>
      <c r="C5"/>
      <c r="D5"/>
      <c r="E5"/>
      <c r="F5"/>
      <c r="G5"/>
      <c r="H5"/>
      <c r="I5" s="49"/>
      <c r="J5" s="49"/>
      <c r="K5" s="49"/>
      <c r="L5" s="6"/>
      <c r="M5" s="6"/>
      <c r="N5" s="1895"/>
      <c r="O5" s="523"/>
      <c r="P5" s="408"/>
      <c r="Q5" s="408"/>
      <c r="R5" s="408"/>
      <c r="S5" s="408"/>
      <c r="T5" s="408"/>
      <c r="U5" s="408"/>
      <c r="V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c r="CC5" s="446"/>
      <c r="CD5" s="446"/>
      <c r="CE5" s="446"/>
      <c r="CF5" s="446"/>
      <c r="CG5" s="446"/>
      <c r="CH5" s="446"/>
      <c r="CI5" s="446"/>
      <c r="CJ5" s="446"/>
      <c r="CK5" s="446"/>
      <c r="CL5" s="446"/>
      <c r="CM5" s="446"/>
      <c r="CN5" s="446"/>
      <c r="CO5" s="446"/>
      <c r="CP5" s="446"/>
      <c r="CQ5" s="446"/>
      <c r="CR5" s="446"/>
      <c r="CS5" s="446"/>
      <c r="CT5" s="446"/>
      <c r="CU5" s="446"/>
      <c r="CV5" s="446"/>
      <c r="CW5" s="446"/>
      <c r="CX5" s="446"/>
      <c r="CY5" s="446"/>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row>
    <row r="6" spans="1:235" ht="15.5">
      <c r="A6" t="s">
        <v>5</v>
      </c>
      <c r="B6" s="12">
        <v>16519642999.999998</v>
      </c>
      <c r="C6" s="12">
        <v>17856571000</v>
      </c>
      <c r="D6" s="12">
        <v>18170460000</v>
      </c>
      <c r="E6" s="12">
        <v>18839827000</v>
      </c>
      <c r="F6" s="12">
        <v>20024020000</v>
      </c>
      <c r="G6" s="12">
        <v>21467094000</v>
      </c>
      <c r="H6" s="12">
        <v>21903571000</v>
      </c>
      <c r="I6" s="12">
        <v>25083803000</v>
      </c>
      <c r="J6" s="12">
        <v>29093520000</v>
      </c>
      <c r="K6" s="226"/>
      <c r="L6" s="418">
        <f>J6/I6-1</f>
        <v>0.15985283411769746</v>
      </c>
      <c r="M6" s="418"/>
      <c r="N6" s="418"/>
      <c r="O6" s="524"/>
      <c r="P6" s="661"/>
      <c r="Q6" s="661"/>
      <c r="R6" s="661"/>
      <c r="S6" s="661"/>
      <c r="T6" s="661"/>
      <c r="U6" s="661"/>
      <c r="V6" s="446"/>
      <c r="W6" s="446"/>
      <c r="X6" s="446"/>
      <c r="Y6" s="446"/>
      <c r="Z6" s="448"/>
      <c r="AB6" s="439"/>
      <c r="AC6" s="449"/>
      <c r="AD6" s="446"/>
      <c r="AE6" s="446"/>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c r="CC6" s="446"/>
      <c r="CD6" s="446"/>
      <c r="CE6" s="446"/>
      <c r="CF6" s="446"/>
      <c r="CG6" s="446"/>
      <c r="CH6" s="446"/>
      <c r="CI6" s="446"/>
      <c r="CJ6" s="446"/>
      <c r="CK6" s="446"/>
      <c r="CL6" s="446"/>
      <c r="CM6" s="446"/>
      <c r="CN6" s="446"/>
      <c r="CO6" s="446"/>
      <c r="CP6" s="446"/>
      <c r="CQ6" s="446"/>
      <c r="CR6" s="446"/>
      <c r="CS6" s="446"/>
      <c r="CT6" s="446"/>
      <c r="CU6" s="446"/>
      <c r="CV6" s="446"/>
      <c r="CW6" s="446"/>
      <c r="CX6" s="446"/>
      <c r="CY6" s="446"/>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row>
    <row r="7" spans="1:235" ht="15.5">
      <c r="A7" s="243" t="s">
        <v>724</v>
      </c>
      <c r="B7" s="12">
        <v>24275392000</v>
      </c>
      <c r="C7" s="12">
        <v>24805219000</v>
      </c>
      <c r="D7" s="12">
        <v>25279826000</v>
      </c>
      <c r="E7" s="12">
        <v>26073523000</v>
      </c>
      <c r="F7" s="12">
        <v>27608806000</v>
      </c>
      <c r="G7" s="12">
        <v>29225445000</v>
      </c>
      <c r="H7" s="12">
        <v>39119584000</v>
      </c>
      <c r="I7" s="12">
        <v>50027817000</v>
      </c>
      <c r="J7" s="12">
        <v>45970780000</v>
      </c>
      <c r="K7" s="227"/>
      <c r="L7" s="419">
        <f>J7/I7-1</f>
        <v>-8.1095623260954985E-2</v>
      </c>
      <c r="M7" s="1889"/>
      <c r="N7" s="1889"/>
      <c r="O7" s="525"/>
      <c r="P7" s="661"/>
      <c r="Q7" s="661"/>
      <c r="R7" s="661"/>
      <c r="S7" s="661"/>
      <c r="T7" s="661"/>
      <c r="U7" s="661"/>
      <c r="V7" s="446"/>
      <c r="W7" s="446"/>
      <c r="X7" s="446"/>
      <c r="Y7" s="446"/>
      <c r="Z7" s="450"/>
      <c r="AB7" s="451"/>
      <c r="AC7" s="449"/>
      <c r="AD7" s="446"/>
      <c r="AE7" s="446"/>
      <c r="AF7" s="446"/>
      <c r="AG7" s="446"/>
      <c r="AH7" s="446"/>
      <c r="AI7" s="446"/>
      <c r="AJ7" s="446"/>
      <c r="AK7" s="446"/>
      <c r="AL7" s="446"/>
      <c r="AM7" s="446"/>
      <c r="AN7" s="446"/>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row>
    <row r="8" spans="1:235" ht="18" customHeight="1" thickBot="1">
      <c r="A8" s="14" t="s">
        <v>6</v>
      </c>
      <c r="B8" s="1159">
        <f t="shared" ref="B8:J8" si="0">SUM(B6:B7)</f>
        <v>40795035000</v>
      </c>
      <c r="C8" s="1159">
        <f t="shared" si="0"/>
        <v>42661790000</v>
      </c>
      <c r="D8" s="1159">
        <f t="shared" si="0"/>
        <v>43450286000</v>
      </c>
      <c r="E8" s="1159">
        <f t="shared" si="0"/>
        <v>44913350000</v>
      </c>
      <c r="F8" s="1159">
        <f t="shared" si="0"/>
        <v>47632826000</v>
      </c>
      <c r="G8" s="1159">
        <f t="shared" si="0"/>
        <v>50692539000</v>
      </c>
      <c r="H8" s="1159">
        <f t="shared" si="0"/>
        <v>61023155000</v>
      </c>
      <c r="I8" s="1685">
        <f t="shared" si="0"/>
        <v>75111620000</v>
      </c>
      <c r="J8" s="1685">
        <f t="shared" si="0"/>
        <v>75064300000</v>
      </c>
      <c r="K8" s="1686"/>
      <c r="L8" s="420">
        <f>J8/I8-1</f>
        <v>-6.2999573168576184E-4</v>
      </c>
      <c r="M8" s="420"/>
      <c r="N8" s="420"/>
      <c r="O8" s="525"/>
      <c r="P8" s="661"/>
      <c r="Q8" s="661"/>
      <c r="R8" s="661"/>
      <c r="S8" s="661"/>
      <c r="T8" s="661"/>
      <c r="U8" s="661"/>
      <c r="V8" s="446"/>
      <c r="W8" s="446"/>
      <c r="X8" s="446"/>
      <c r="Y8" s="446"/>
      <c r="Z8" s="446"/>
      <c r="AA8" s="446"/>
      <c r="AB8" s="439"/>
      <c r="AC8" s="452"/>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6"/>
      <c r="BZ8" s="446"/>
      <c r="CA8" s="446"/>
      <c r="CB8" s="446"/>
      <c r="CC8" s="446"/>
      <c r="CD8" s="446"/>
      <c r="CE8" s="446"/>
      <c r="CF8" s="446"/>
      <c r="CG8" s="446"/>
      <c r="CH8" s="446"/>
      <c r="CI8" s="446"/>
      <c r="CJ8" s="446"/>
      <c r="CK8" s="446"/>
      <c r="CL8" s="446"/>
      <c r="CM8" s="446"/>
      <c r="CN8" s="446"/>
      <c r="CO8" s="446"/>
      <c r="CP8" s="446"/>
      <c r="CQ8" s="446"/>
      <c r="CR8" s="446"/>
      <c r="CS8" s="446"/>
      <c r="CT8" s="446"/>
      <c r="CU8" s="446"/>
      <c r="CV8" s="446"/>
      <c r="CW8" s="446"/>
      <c r="CX8" s="446"/>
      <c r="CY8" s="446"/>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row>
    <row r="9" spans="1:235" ht="16" thickTop="1">
      <c r="A9" s="13"/>
      <c r="B9" s="1160"/>
      <c r="C9" s="1160"/>
      <c r="D9" s="1160"/>
      <c r="E9" s="1160"/>
      <c r="F9" s="1160"/>
      <c r="G9" s="1160"/>
      <c r="H9" s="1160"/>
      <c r="I9" s="1687"/>
      <c r="J9" s="421"/>
      <c r="K9" s="421"/>
      <c r="L9" s="422"/>
      <c r="M9" s="1889"/>
      <c r="N9" s="1889"/>
      <c r="O9" s="525"/>
      <c r="P9" s="662"/>
      <c r="Q9" s="662"/>
      <c r="R9" s="662"/>
      <c r="S9" s="662"/>
      <c r="T9" s="662"/>
      <c r="U9" s="662"/>
      <c r="V9" s="446"/>
      <c r="W9" s="446"/>
      <c r="X9" s="446"/>
      <c r="Y9" s="446"/>
      <c r="Z9" s="446"/>
      <c r="AA9" s="446"/>
      <c r="AB9" s="451"/>
      <c r="AC9" s="453"/>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c r="BS9" s="446"/>
      <c r="BT9" s="446"/>
      <c r="BU9" s="446"/>
      <c r="BV9" s="446"/>
      <c r="BW9" s="446"/>
      <c r="BX9" s="446"/>
      <c r="BY9" s="446"/>
      <c r="BZ9" s="446"/>
      <c r="CA9" s="446"/>
      <c r="CB9" s="446"/>
      <c r="CC9" s="446"/>
      <c r="CD9" s="446"/>
      <c r="CE9" s="446"/>
      <c r="CF9" s="446"/>
      <c r="CG9" s="446"/>
      <c r="CH9" s="446"/>
      <c r="CI9" s="446"/>
      <c r="CJ9" s="446"/>
      <c r="CK9" s="446"/>
      <c r="CL9" s="446"/>
      <c r="CM9" s="446"/>
      <c r="CN9" s="446"/>
      <c r="CO9" s="446"/>
      <c r="CP9" s="446"/>
      <c r="CQ9" s="446"/>
      <c r="CR9" s="446"/>
      <c r="CS9" s="446"/>
      <c r="CT9" s="446"/>
      <c r="CU9" s="446"/>
      <c r="CV9" s="446"/>
      <c r="CW9" s="446"/>
      <c r="CX9" s="446"/>
      <c r="CY9" s="446"/>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row>
    <row r="10" spans="1:235" ht="15.5">
      <c r="A10" s="11" t="s">
        <v>790</v>
      </c>
      <c r="B10" s="1161"/>
      <c r="C10" s="1161"/>
      <c r="D10" s="1161"/>
      <c r="E10" s="1161"/>
      <c r="F10" s="1161"/>
      <c r="G10" s="1161"/>
      <c r="H10" s="1161"/>
      <c r="I10" s="12"/>
      <c r="J10" s="226"/>
      <c r="K10" s="226"/>
      <c r="L10" s="418"/>
      <c r="M10" s="418"/>
      <c r="N10" s="418"/>
      <c r="O10" s="524"/>
      <c r="P10" s="662"/>
      <c r="Q10" s="662"/>
      <c r="R10" s="662"/>
      <c r="S10" s="662"/>
      <c r="T10" s="662"/>
      <c r="U10" s="662"/>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6"/>
      <c r="BL10" s="446"/>
      <c r="BM10" s="446"/>
      <c r="BN10" s="446"/>
      <c r="BO10" s="446"/>
      <c r="BP10" s="446"/>
      <c r="BQ10" s="446"/>
      <c r="BR10" s="446"/>
      <c r="BS10" s="446"/>
      <c r="BT10" s="446"/>
      <c r="BU10" s="446"/>
      <c r="BV10" s="446"/>
      <c r="BW10" s="446"/>
      <c r="BX10" s="446"/>
      <c r="BY10" s="446"/>
      <c r="BZ10" s="446"/>
      <c r="CA10" s="446"/>
      <c r="CB10" s="446"/>
      <c r="CC10" s="446"/>
      <c r="CD10" s="446"/>
      <c r="CE10" s="446"/>
      <c r="CF10" s="446"/>
      <c r="CG10" s="446"/>
      <c r="CH10" s="446"/>
      <c r="CI10" s="446"/>
      <c r="CJ10" s="446"/>
      <c r="CK10" s="446"/>
      <c r="CL10" s="446"/>
      <c r="CM10" s="446"/>
      <c r="CN10" s="446"/>
      <c r="CO10" s="446"/>
      <c r="CP10" s="446"/>
      <c r="CQ10" s="446"/>
      <c r="CR10" s="446"/>
      <c r="CS10" s="446"/>
      <c r="CT10" s="446"/>
      <c r="CU10" s="446"/>
      <c r="CV10" s="446"/>
      <c r="CW10" s="446"/>
      <c r="CX10" s="446"/>
      <c r="CY10" s="446"/>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row>
    <row r="11" spans="1:235" ht="15.5">
      <c r="A11" t="s">
        <v>5</v>
      </c>
      <c r="B11" s="1162">
        <v>15733790000</v>
      </c>
      <c r="C11" s="1162">
        <v>17069018000</v>
      </c>
      <c r="D11" s="1162">
        <v>17348564000</v>
      </c>
      <c r="E11" s="1162">
        <v>18001810000</v>
      </c>
      <c r="F11" s="1162">
        <v>19188948000</v>
      </c>
      <c r="G11" s="1162">
        <f>ByAcct!G18</f>
        <v>20553037000</v>
      </c>
      <c r="H11" s="1162">
        <f>ByAcct!H18</f>
        <v>20943678000</v>
      </c>
      <c r="I11" s="226">
        <f>ByAcct!I18</f>
        <v>23992451000</v>
      </c>
      <c r="J11" s="226">
        <f>ByAcct!J18</f>
        <v>27976482000</v>
      </c>
      <c r="K11" s="226"/>
      <c r="L11" s="418">
        <f>J11/I11-1</f>
        <v>0.16605352241836391</v>
      </c>
      <c r="M11" s="1890" t="s">
        <v>1363</v>
      </c>
      <c r="N11" s="1891">
        <f>J11/$J$8</f>
        <v>0.37270023166804994</v>
      </c>
      <c r="O11" s="663"/>
      <c r="P11" s="661"/>
      <c r="Q11" s="661"/>
      <c r="R11" s="661"/>
      <c r="S11" s="661"/>
      <c r="T11" s="661"/>
      <c r="U11" s="661"/>
      <c r="V11" s="446"/>
      <c r="W11" s="454"/>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46"/>
      <c r="CA11" s="446"/>
      <c r="CB11" s="446"/>
      <c r="CC11" s="446"/>
      <c r="CD11" s="446"/>
      <c r="CE11" s="446"/>
      <c r="CF11" s="446"/>
      <c r="CG11" s="446"/>
      <c r="CH11" s="446"/>
      <c r="CI11" s="446"/>
      <c r="CJ11" s="446"/>
      <c r="CK11" s="446"/>
      <c r="CL11" s="446"/>
      <c r="CM11" s="446"/>
      <c r="CN11" s="446"/>
      <c r="CO11" s="446"/>
      <c r="CP11" s="446"/>
      <c r="CQ11" s="446"/>
      <c r="CR11" s="446"/>
      <c r="CS11" s="446"/>
      <c r="CT11" s="446"/>
      <c r="CU11" s="446"/>
      <c r="CV11" s="446"/>
      <c r="CW11" s="446"/>
      <c r="CX11" s="446"/>
      <c r="CY11" s="446"/>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row>
    <row r="12" spans="1:235" ht="15.5">
      <c r="A12" s="243" t="s">
        <v>725</v>
      </c>
      <c r="B12" s="1163">
        <v>718404000</v>
      </c>
      <c r="C12" s="1163">
        <v>783311000</v>
      </c>
      <c r="D12" s="1163">
        <v>792553000</v>
      </c>
      <c r="E12" s="1163">
        <v>799920000</v>
      </c>
      <c r="F12" s="1163">
        <v>800144000</v>
      </c>
      <c r="G12" s="1163">
        <f>ByAcct!G39</f>
        <v>822377140.20000005</v>
      </c>
      <c r="H12" s="1163">
        <f>ByAcct!H39</f>
        <v>1294169628.1300001</v>
      </c>
      <c r="I12" s="227">
        <f>ByAcct!I39</f>
        <v>1568171000</v>
      </c>
      <c r="J12" s="227">
        <f>ByAcct!J39</f>
        <v>1667382000</v>
      </c>
      <c r="K12" s="227"/>
      <c r="L12" s="419">
        <f>J12/I12-1</f>
        <v>6.3265421946968825E-2</v>
      </c>
      <c r="M12" s="1892" t="s">
        <v>1364</v>
      </c>
      <c r="N12" s="1891">
        <f>J12/$J$8</f>
        <v>2.2212716297893939E-2</v>
      </c>
      <c r="O12" s="663"/>
      <c r="P12" s="661"/>
      <c r="Q12" s="661"/>
      <c r="R12" s="661"/>
      <c r="S12" s="661"/>
      <c r="T12" s="661"/>
      <c r="U12" s="661"/>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6"/>
      <c r="BL12" s="446"/>
      <c r="BM12" s="446"/>
      <c r="BN12" s="446"/>
      <c r="BO12" s="446"/>
      <c r="BP12" s="446"/>
      <c r="BQ12" s="446"/>
      <c r="BR12" s="446"/>
      <c r="BS12" s="446"/>
      <c r="BT12" s="446"/>
      <c r="BU12" s="446"/>
      <c r="BV12" s="446"/>
      <c r="BW12" s="446"/>
      <c r="BX12" s="446"/>
      <c r="BY12" s="446"/>
      <c r="BZ12" s="446"/>
      <c r="CA12" s="446"/>
      <c r="CB12" s="446"/>
      <c r="CC12" s="446"/>
      <c r="CD12" s="446"/>
      <c r="CE12" s="446"/>
      <c r="CF12" s="446"/>
      <c r="CG12" s="446"/>
      <c r="CH12" s="446"/>
      <c r="CI12" s="446"/>
      <c r="CJ12" s="446"/>
      <c r="CK12" s="446"/>
      <c r="CL12" s="446"/>
      <c r="CM12" s="446"/>
      <c r="CN12" s="446"/>
      <c r="CO12" s="446"/>
      <c r="CP12" s="446"/>
      <c r="CQ12" s="446"/>
      <c r="CR12" s="446"/>
      <c r="CS12" s="446"/>
      <c r="CT12" s="446"/>
      <c r="CU12" s="446"/>
      <c r="CV12" s="446"/>
      <c r="CW12" s="446"/>
      <c r="CX12" s="446"/>
      <c r="CY12" s="446"/>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row>
    <row r="13" spans="1:235" ht="18" customHeight="1" thickBot="1">
      <c r="A13" s="14" t="s">
        <v>7</v>
      </c>
      <c r="B13" s="1159">
        <f t="shared" ref="B13:J13" si="1">SUM(B11:B12)</f>
        <v>16452194000</v>
      </c>
      <c r="C13" s="1159">
        <f t="shared" si="1"/>
        <v>17852329000</v>
      </c>
      <c r="D13" s="1159">
        <f t="shared" si="1"/>
        <v>18141117000</v>
      </c>
      <c r="E13" s="1159">
        <f t="shared" si="1"/>
        <v>18801730000</v>
      </c>
      <c r="F13" s="1159">
        <f t="shared" si="1"/>
        <v>19989092000</v>
      </c>
      <c r="G13" s="1159">
        <f t="shared" si="1"/>
        <v>21375414140.200001</v>
      </c>
      <c r="H13" s="1159">
        <f t="shared" ref="H13" si="2">SUM(H11:H12)</f>
        <v>22237847628.130001</v>
      </c>
      <c r="I13" s="1685">
        <f t="shared" si="1"/>
        <v>25560622000</v>
      </c>
      <c r="J13" s="1688">
        <f t="shared" si="1"/>
        <v>29643864000</v>
      </c>
      <c r="K13" s="1686"/>
      <c r="L13" s="420">
        <f>J13/I13-1</f>
        <v>0.15974736452031557</v>
      </c>
      <c r="M13" s="1893"/>
      <c r="N13" s="1894"/>
      <c r="O13" s="664"/>
      <c r="P13" s="661"/>
      <c r="Q13" s="661"/>
      <c r="R13" s="661"/>
      <c r="S13" s="661"/>
      <c r="T13" s="661"/>
      <c r="U13" s="661"/>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c r="CA13" s="446"/>
      <c r="CB13" s="446"/>
      <c r="CC13" s="446"/>
      <c r="CD13" s="446"/>
      <c r="CE13" s="446"/>
      <c r="CF13" s="446"/>
      <c r="CG13" s="446"/>
      <c r="CH13" s="446"/>
      <c r="CI13" s="446"/>
      <c r="CJ13" s="446"/>
      <c r="CK13" s="446"/>
      <c r="CL13" s="446"/>
      <c r="CM13" s="446"/>
      <c r="CN13" s="446"/>
      <c r="CO13" s="446"/>
      <c r="CP13" s="446"/>
      <c r="CQ13" s="446"/>
      <c r="CR13" s="446"/>
      <c r="CS13" s="446"/>
      <c r="CT13" s="446"/>
      <c r="CU13" s="446"/>
      <c r="CV13" s="446"/>
      <c r="CW13" s="446"/>
      <c r="CX13" s="446"/>
      <c r="CY13" s="446"/>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row>
    <row r="14" spans="1:235" ht="14.15" customHeight="1" thickTop="1">
      <c r="A14" s="13"/>
      <c r="B14" s="1160"/>
      <c r="C14" s="1160"/>
      <c r="D14" s="1160"/>
      <c r="E14" s="1160"/>
      <c r="F14" s="1160"/>
      <c r="G14" s="1160"/>
      <c r="H14" s="1160"/>
      <c r="I14" s="1687"/>
      <c r="J14" s="421"/>
      <c r="K14" s="421"/>
      <c r="L14" s="423"/>
      <c r="M14" s="1892"/>
      <c r="N14" s="1894"/>
      <c r="O14" s="664"/>
      <c r="P14" s="662"/>
      <c r="Q14" s="662"/>
      <c r="R14" s="662"/>
      <c r="S14" s="662"/>
      <c r="T14" s="662"/>
      <c r="U14" s="662"/>
      <c r="V14" s="446"/>
      <c r="X14" s="455"/>
      <c r="Y14" s="45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c r="CI14" s="446"/>
      <c r="CJ14" s="446"/>
      <c r="CK14" s="446"/>
      <c r="CL14" s="446"/>
      <c r="CM14" s="446"/>
      <c r="CN14" s="446"/>
      <c r="CO14" s="446"/>
      <c r="CP14" s="446"/>
      <c r="CQ14" s="446"/>
      <c r="CR14" s="446"/>
      <c r="CS14" s="446"/>
      <c r="CT14" s="446"/>
      <c r="CU14" s="446"/>
      <c r="CV14" s="446"/>
      <c r="CW14" s="446"/>
      <c r="CX14" s="446"/>
      <c r="CY14" s="446"/>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row>
    <row r="15" spans="1:235" ht="15.5">
      <c r="A15" s="11" t="s">
        <v>8</v>
      </c>
      <c r="B15" s="1161"/>
      <c r="C15" s="1161"/>
      <c r="D15" s="1161"/>
      <c r="E15" s="1161"/>
      <c r="F15" s="1161"/>
      <c r="G15" s="1161"/>
      <c r="H15" s="1161"/>
      <c r="I15" s="12"/>
      <c r="J15" s="226"/>
      <c r="K15" s="226"/>
      <c r="L15" s="418"/>
      <c r="M15" s="1890"/>
      <c r="N15" s="1891"/>
      <c r="O15" s="663"/>
      <c r="P15" s="662"/>
      <c r="Q15" s="662"/>
      <c r="R15" s="662"/>
      <c r="S15" s="662"/>
      <c r="T15" s="662"/>
      <c r="U15" s="662"/>
      <c r="V15" s="446"/>
      <c r="W15" s="446"/>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c r="BF15" s="446"/>
      <c r="BG15" s="446"/>
      <c r="BH15" s="446"/>
      <c r="BI15" s="446"/>
      <c r="BJ15" s="446"/>
      <c r="BK15" s="446"/>
      <c r="BL15" s="446"/>
      <c r="BM15" s="446"/>
      <c r="BN15" s="446"/>
      <c r="BO15" s="446"/>
      <c r="BP15" s="446"/>
      <c r="BQ15" s="446"/>
      <c r="BR15" s="446"/>
      <c r="BS15" s="446"/>
      <c r="BT15" s="446"/>
      <c r="BU15" s="446"/>
      <c r="BV15" s="446"/>
      <c r="BW15" s="446"/>
      <c r="BX15" s="446"/>
      <c r="BY15" s="446"/>
      <c r="BZ15" s="446"/>
      <c r="CA15" s="446"/>
      <c r="CB15" s="446"/>
      <c r="CC15" s="446"/>
      <c r="CD15" s="446"/>
      <c r="CE15" s="446"/>
      <c r="CF15" s="446"/>
      <c r="CG15" s="446"/>
      <c r="CH15" s="446"/>
      <c r="CI15" s="446"/>
      <c r="CJ15" s="446"/>
      <c r="CK15" s="446"/>
      <c r="CL15" s="446"/>
      <c r="CM15" s="446"/>
      <c r="CN15" s="446"/>
      <c r="CO15" s="446"/>
      <c r="CP15" s="446"/>
      <c r="CQ15" s="446"/>
      <c r="CR15" s="446"/>
      <c r="CS15" s="446"/>
      <c r="CT15" s="446"/>
      <c r="CU15" s="446"/>
      <c r="CV15" s="446"/>
      <c r="CW15" s="446"/>
      <c r="CX15" s="446"/>
      <c r="CY15" s="446"/>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row>
    <row r="16" spans="1:235" ht="15.5">
      <c r="A16" t="s">
        <v>5</v>
      </c>
      <c r="B16" s="1162">
        <f t="shared" ref="B16:J17" si="3">B6-B11</f>
        <v>785852999.99999809</v>
      </c>
      <c r="C16" s="1162">
        <f t="shared" si="3"/>
        <v>787553000</v>
      </c>
      <c r="D16" s="1162">
        <f t="shared" si="3"/>
        <v>821896000</v>
      </c>
      <c r="E16" s="1162">
        <f t="shared" si="3"/>
        <v>838017000</v>
      </c>
      <c r="F16" s="1162">
        <f t="shared" si="3"/>
        <v>835072000</v>
      </c>
      <c r="G16" s="1162">
        <f t="shared" si="3"/>
        <v>914057000</v>
      </c>
      <c r="H16" s="1162">
        <f t="shared" ref="H16" si="4">H6-H11</f>
        <v>959893000</v>
      </c>
      <c r="I16" s="226">
        <f t="shared" si="3"/>
        <v>1091352000</v>
      </c>
      <c r="J16" s="226">
        <f t="shared" si="3"/>
        <v>1117038000</v>
      </c>
      <c r="K16" s="226"/>
      <c r="L16" s="418">
        <f>J16/I16-1</f>
        <v>2.353594440657103E-2</v>
      </c>
      <c r="M16" s="1890" t="s">
        <v>1365</v>
      </c>
      <c r="N16" s="1891">
        <f>J16/$J$8</f>
        <v>1.4881081952406137E-2</v>
      </c>
      <c r="O16" s="663"/>
      <c r="P16" s="661"/>
      <c r="Q16" s="661"/>
      <c r="R16" s="661"/>
      <c r="S16" s="661"/>
      <c r="T16" s="661"/>
      <c r="U16" s="661"/>
      <c r="V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c r="BO16" s="446"/>
      <c r="BP16" s="446"/>
      <c r="BQ16" s="446"/>
      <c r="BR16" s="446"/>
      <c r="BS16" s="446"/>
      <c r="BT16" s="446"/>
      <c r="BU16" s="446"/>
      <c r="BV16" s="446"/>
      <c r="BW16" s="446"/>
      <c r="BX16" s="446"/>
      <c r="BY16" s="446"/>
      <c r="BZ16" s="446"/>
      <c r="CA16" s="446"/>
      <c r="CB16" s="446"/>
      <c r="CC16" s="446"/>
      <c r="CD16" s="446"/>
      <c r="CE16" s="446"/>
      <c r="CF16" s="446"/>
      <c r="CG16" s="446"/>
      <c r="CH16" s="446"/>
      <c r="CI16" s="446"/>
      <c r="CJ16" s="446"/>
      <c r="CK16" s="446"/>
      <c r="CL16" s="446"/>
      <c r="CM16" s="446"/>
      <c r="CN16" s="446"/>
      <c r="CO16" s="446"/>
      <c r="CP16" s="446"/>
      <c r="CQ16" s="446"/>
      <c r="CR16" s="446"/>
      <c r="CS16" s="446"/>
      <c r="CT16" s="446"/>
      <c r="CU16" s="446"/>
      <c r="CV16" s="446"/>
      <c r="CW16" s="446"/>
      <c r="CX16" s="446"/>
      <c r="CY16" s="446"/>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row>
    <row r="17" spans="1:237" ht="15.5">
      <c r="A17" s="243" t="s">
        <v>725</v>
      </c>
      <c r="B17" s="1163">
        <f t="shared" si="3"/>
        <v>23556988000</v>
      </c>
      <c r="C17" s="1163">
        <f t="shared" si="3"/>
        <v>24021908000</v>
      </c>
      <c r="D17" s="1163">
        <f t="shared" si="3"/>
        <v>24487273000</v>
      </c>
      <c r="E17" s="1163">
        <f t="shared" si="3"/>
        <v>25273603000</v>
      </c>
      <c r="F17" s="1163">
        <f t="shared" si="3"/>
        <v>26808662000</v>
      </c>
      <c r="G17" s="1163">
        <f t="shared" si="3"/>
        <v>28403067859.799999</v>
      </c>
      <c r="H17" s="1163">
        <f t="shared" ref="H17" si="5">H7-H12</f>
        <v>37825414371.870003</v>
      </c>
      <c r="I17" s="227">
        <f t="shared" si="3"/>
        <v>48459646000</v>
      </c>
      <c r="J17" s="227">
        <f t="shared" si="3"/>
        <v>44303398000</v>
      </c>
      <c r="K17" s="227"/>
      <c r="L17" s="419">
        <f>J17/I17-1</f>
        <v>-8.576719689615564E-2</v>
      </c>
      <c r="M17" s="1890" t="s">
        <v>1366</v>
      </c>
      <c r="N17" s="1891">
        <f>J17/$J$8</f>
        <v>0.59020597008164999</v>
      </c>
      <c r="O17" s="665"/>
      <c r="P17" s="661"/>
      <c r="Q17" s="661"/>
      <c r="R17" s="661"/>
      <c r="S17" s="661"/>
      <c r="T17" s="661"/>
      <c r="U17" s="661"/>
      <c r="V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46"/>
      <c r="BJ17" s="446"/>
      <c r="BK17" s="446"/>
      <c r="BL17" s="446"/>
      <c r="BM17" s="446"/>
      <c r="BN17" s="446"/>
      <c r="BO17" s="446"/>
      <c r="BP17" s="446"/>
      <c r="BQ17" s="446"/>
      <c r="BR17" s="446"/>
      <c r="BS17" s="446"/>
      <c r="BT17" s="446"/>
      <c r="BU17" s="446"/>
      <c r="BV17" s="446"/>
      <c r="BW17" s="446"/>
      <c r="BX17" s="446"/>
      <c r="BY17" s="446"/>
      <c r="BZ17" s="446"/>
      <c r="CA17" s="446"/>
      <c r="CB17" s="446"/>
      <c r="CC17" s="446"/>
      <c r="CD17" s="446"/>
      <c r="CE17" s="446"/>
      <c r="CF17" s="446"/>
      <c r="CG17" s="446"/>
      <c r="CH17" s="446"/>
      <c r="CI17" s="446"/>
      <c r="CJ17" s="446"/>
      <c r="CK17" s="446"/>
      <c r="CL17" s="446"/>
      <c r="CM17" s="446"/>
      <c r="CN17" s="446"/>
      <c r="CO17" s="446"/>
      <c r="CP17" s="446"/>
      <c r="CQ17" s="446"/>
      <c r="CR17" s="446"/>
      <c r="CS17" s="446"/>
      <c r="CT17" s="446"/>
      <c r="CU17" s="446"/>
      <c r="CV17" s="446"/>
      <c r="CW17" s="446"/>
      <c r="CX17" s="446"/>
      <c r="CY17" s="446"/>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row>
    <row r="18" spans="1:237" ht="18" customHeight="1" thickBot="1">
      <c r="A18" s="14" t="s">
        <v>9</v>
      </c>
      <c r="B18" s="1159">
        <f t="shared" ref="B18:J18" si="6">SUM(B16:B17)</f>
        <v>24342841000</v>
      </c>
      <c r="C18" s="1159">
        <f t="shared" si="6"/>
        <v>24809461000</v>
      </c>
      <c r="D18" s="1159">
        <f t="shared" si="6"/>
        <v>25309169000</v>
      </c>
      <c r="E18" s="1159">
        <f t="shared" si="6"/>
        <v>26111620000</v>
      </c>
      <c r="F18" s="1159">
        <f t="shared" si="6"/>
        <v>27643734000</v>
      </c>
      <c r="G18" s="1159">
        <f t="shared" si="6"/>
        <v>29317124859.799999</v>
      </c>
      <c r="H18" s="1159">
        <f t="shared" ref="H18" si="7">SUM(H16:H17)</f>
        <v>38785307371.870003</v>
      </c>
      <c r="I18" s="1685">
        <f t="shared" si="6"/>
        <v>49550998000</v>
      </c>
      <c r="J18" s="1688">
        <f t="shared" si="6"/>
        <v>45420436000</v>
      </c>
      <c r="K18" s="1686"/>
      <c r="L18" s="532">
        <f>J18/I18-1</f>
        <v>-8.3359814468318083E-2</v>
      </c>
      <c r="M18" s="420"/>
      <c r="N18" s="420"/>
      <c r="O18" s="664"/>
      <c r="P18" s="666"/>
      <c r="Q18" s="661"/>
      <c r="R18" s="661"/>
      <c r="S18" s="661"/>
      <c r="T18" s="661"/>
      <c r="U18" s="661"/>
      <c r="V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6"/>
      <c r="BA18" s="446"/>
      <c r="BB18" s="446"/>
      <c r="BC18" s="446"/>
      <c r="BD18" s="446"/>
      <c r="BE18" s="446"/>
      <c r="BF18" s="446"/>
      <c r="BG18" s="446"/>
      <c r="BH18" s="446"/>
      <c r="BI18" s="446"/>
      <c r="BJ18" s="446"/>
      <c r="BK18" s="446"/>
      <c r="BL18" s="446"/>
      <c r="BM18" s="446"/>
      <c r="BN18" s="446"/>
      <c r="BO18" s="446"/>
      <c r="BP18" s="446"/>
      <c r="BQ18" s="446"/>
      <c r="BR18" s="446"/>
      <c r="BS18" s="446"/>
      <c r="BT18" s="446"/>
      <c r="BU18" s="446"/>
      <c r="BV18" s="446"/>
      <c r="BW18" s="446"/>
      <c r="BX18" s="446"/>
      <c r="BY18" s="446"/>
      <c r="BZ18" s="446"/>
      <c r="CA18" s="446"/>
      <c r="CB18" s="446"/>
      <c r="CC18" s="446"/>
      <c r="CD18" s="446"/>
      <c r="CE18" s="446"/>
      <c r="CF18" s="446"/>
      <c r="CG18" s="446"/>
      <c r="CH18" s="446"/>
      <c r="CI18" s="446"/>
      <c r="CJ18" s="446"/>
      <c r="CK18" s="446"/>
      <c r="CL18" s="446"/>
      <c r="CM18" s="446"/>
      <c r="CN18" s="446"/>
      <c r="CO18" s="446"/>
      <c r="CP18" s="446"/>
      <c r="CQ18" s="446"/>
      <c r="CR18" s="446"/>
      <c r="CS18" s="446"/>
      <c r="CT18" s="446"/>
      <c r="CU18" s="446"/>
      <c r="CV18" s="446"/>
      <c r="CW18" s="446"/>
      <c r="CX18" s="446"/>
      <c r="CY18" s="446"/>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row>
    <row r="19" spans="1:237" ht="14" customHeight="1" thickTop="1">
      <c r="A19" s="13"/>
      <c r="B19" s="13"/>
      <c r="C19" s="13"/>
      <c r="D19" s="13"/>
      <c r="E19" s="13"/>
      <c r="F19" s="13"/>
      <c r="G19" s="13"/>
      <c r="H19" s="13"/>
      <c r="I19" s="243"/>
      <c r="J19" s="243"/>
      <c r="K19" s="243"/>
      <c r="L19" s="15"/>
      <c r="M19" s="15"/>
      <c r="N19" s="15"/>
      <c r="O19" s="667"/>
      <c r="P19" s="661"/>
      <c r="Q19" s="661"/>
      <c r="R19" s="661"/>
      <c r="S19" s="661"/>
      <c r="T19" s="661"/>
      <c r="U19" s="661"/>
      <c r="V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446"/>
      <c r="BJ19" s="446"/>
      <c r="BK19" s="446"/>
      <c r="BL19" s="446"/>
      <c r="BM19" s="446"/>
      <c r="BN19" s="446"/>
      <c r="BO19" s="446"/>
      <c r="BP19" s="446"/>
      <c r="BQ19" s="446"/>
      <c r="BR19" s="446"/>
      <c r="BS19" s="446"/>
      <c r="BT19" s="446"/>
      <c r="BU19" s="446"/>
      <c r="BV19" s="446"/>
      <c r="BW19" s="446"/>
      <c r="BX19" s="446"/>
      <c r="BY19" s="446"/>
      <c r="BZ19" s="446"/>
      <c r="CA19" s="446"/>
      <c r="CB19" s="446"/>
      <c r="CC19" s="446"/>
      <c r="CD19" s="446"/>
      <c r="CE19" s="446"/>
      <c r="CF19" s="446"/>
      <c r="CG19" s="446"/>
      <c r="CH19" s="446"/>
      <c r="CI19" s="446"/>
      <c r="CJ19" s="446"/>
      <c r="CK19" s="446"/>
      <c r="CL19" s="446"/>
      <c r="CM19" s="446"/>
      <c r="CN19" s="446"/>
      <c r="CO19" s="446"/>
      <c r="CP19" s="446"/>
      <c r="CQ19" s="446"/>
      <c r="CR19" s="446"/>
      <c r="CS19" s="446"/>
      <c r="CT19" s="446"/>
      <c r="CU19" s="446"/>
      <c r="CV19" s="446"/>
      <c r="CW19" s="446"/>
      <c r="CX19" s="446"/>
      <c r="CY19" s="446"/>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row>
    <row r="20" spans="1:237" s="1226" customFormat="1" ht="10" customHeight="1">
      <c r="A20" s="1220" t="s">
        <v>1</v>
      </c>
      <c r="B20" s="1221"/>
      <c r="C20" s="1221"/>
      <c r="D20" s="1221"/>
      <c r="E20" s="1221"/>
      <c r="F20" s="1221"/>
      <c r="G20" s="1221"/>
      <c r="H20" s="1221"/>
      <c r="I20" s="1689"/>
      <c r="J20" s="1689"/>
      <c r="K20" s="1252"/>
      <c r="L20" s="1690"/>
      <c r="M20" s="1690"/>
      <c r="N20" s="1690"/>
      <c r="O20" s="1223"/>
      <c r="P20" s="1224"/>
      <c r="Q20" s="1224"/>
      <c r="R20" s="1224"/>
      <c r="S20" s="1224"/>
      <c r="T20" s="1224"/>
      <c r="U20" s="1224"/>
      <c r="V20" s="1225"/>
      <c r="W20" s="1225"/>
      <c r="X20" s="1225"/>
      <c r="Y20" s="1225"/>
      <c r="Z20" s="1225"/>
      <c r="AA20" s="1225"/>
      <c r="AB20" s="1225"/>
      <c r="AC20" s="1225"/>
      <c r="AD20" s="1225"/>
      <c r="AE20" s="1225"/>
      <c r="AF20" s="1225"/>
      <c r="AG20" s="1225"/>
      <c r="AH20" s="1225"/>
      <c r="AI20" s="1225"/>
      <c r="AJ20" s="1225"/>
      <c r="AK20" s="1225"/>
      <c r="AL20" s="1225"/>
      <c r="AM20" s="1225"/>
      <c r="AN20" s="1225"/>
      <c r="AO20" s="1225"/>
      <c r="AP20" s="1225"/>
      <c r="AQ20" s="1225"/>
      <c r="AR20" s="1225"/>
      <c r="AS20" s="1225"/>
      <c r="AT20" s="1225"/>
      <c r="AU20" s="1225"/>
      <c r="AV20" s="1225"/>
      <c r="AW20" s="1225"/>
      <c r="AX20" s="1225"/>
      <c r="AY20" s="1225"/>
      <c r="AZ20" s="1225"/>
      <c r="BA20" s="1225"/>
      <c r="BB20" s="1225"/>
      <c r="BC20" s="1225"/>
      <c r="BD20" s="1225"/>
      <c r="BE20" s="1225"/>
      <c r="BF20" s="1225"/>
      <c r="BG20" s="1225"/>
      <c r="BH20" s="1225"/>
      <c r="BI20" s="1225"/>
      <c r="BJ20" s="1225"/>
      <c r="BK20" s="1225"/>
      <c r="BL20" s="1225"/>
      <c r="BM20" s="1225"/>
      <c r="BN20" s="1225"/>
      <c r="BO20" s="1225"/>
      <c r="BP20" s="1225"/>
      <c r="BQ20" s="1225"/>
      <c r="BR20" s="1225"/>
      <c r="BS20" s="1225"/>
      <c r="BT20" s="1225"/>
      <c r="BU20" s="1225"/>
      <c r="BV20" s="1225"/>
      <c r="BW20" s="1225"/>
      <c r="BX20" s="1225"/>
      <c r="BY20" s="1225"/>
      <c r="BZ20" s="1225"/>
      <c r="CA20" s="1225"/>
      <c r="CB20" s="1225"/>
      <c r="CC20" s="1225"/>
      <c r="CD20" s="1225"/>
      <c r="CE20" s="1225"/>
      <c r="CF20" s="1225"/>
      <c r="CG20" s="1225"/>
      <c r="CH20" s="1225"/>
      <c r="CI20" s="1225"/>
      <c r="CJ20" s="1225"/>
      <c r="CK20" s="1225"/>
      <c r="CL20" s="1225"/>
      <c r="CM20" s="1225"/>
      <c r="CN20" s="1225"/>
      <c r="CO20" s="1225"/>
      <c r="CP20" s="1225"/>
      <c r="CQ20" s="1225"/>
      <c r="CR20" s="1225"/>
      <c r="CS20" s="1225"/>
      <c r="CT20" s="1225"/>
      <c r="CU20" s="1225"/>
      <c r="CV20" s="1225"/>
      <c r="CW20" s="1225"/>
      <c r="CX20" s="1225"/>
      <c r="CY20" s="1225"/>
      <c r="CZ20" s="1225"/>
      <c r="DA20" s="1225"/>
      <c r="DB20" s="1225"/>
      <c r="DC20" s="1225"/>
      <c r="DD20" s="1225"/>
      <c r="DE20" s="1225"/>
      <c r="DF20" s="1225"/>
      <c r="DG20" s="1225"/>
      <c r="DH20" s="1225"/>
      <c r="DI20" s="1225"/>
      <c r="DJ20" s="1225"/>
      <c r="DK20" s="1225"/>
      <c r="DL20" s="1225"/>
      <c r="DM20" s="1225"/>
      <c r="DN20" s="1225"/>
      <c r="DO20" s="1225"/>
      <c r="DP20" s="1225"/>
      <c r="DQ20" s="1225"/>
      <c r="DR20" s="1225"/>
      <c r="DS20" s="1225"/>
      <c r="DT20" s="1225"/>
      <c r="DU20" s="1225"/>
      <c r="DV20" s="1225"/>
      <c r="DW20" s="1225"/>
      <c r="DX20" s="1225"/>
      <c r="DY20" s="1225"/>
      <c r="DZ20" s="1225"/>
      <c r="EA20" s="1225"/>
      <c r="EB20" s="1225"/>
      <c r="EC20" s="1225"/>
      <c r="ED20" s="1225"/>
      <c r="EE20" s="1225"/>
      <c r="EF20" s="1225"/>
      <c r="EG20" s="1225"/>
      <c r="EH20" s="1225"/>
      <c r="EI20" s="1225"/>
      <c r="EJ20" s="1225"/>
      <c r="EK20" s="1225"/>
      <c r="EL20" s="1225"/>
      <c r="EM20" s="1225"/>
      <c r="EN20" s="1225"/>
      <c r="EO20" s="1225"/>
      <c r="EP20" s="1225"/>
      <c r="EQ20" s="1225"/>
      <c r="ER20" s="1225"/>
      <c r="ES20" s="1225"/>
      <c r="ET20" s="1225"/>
      <c r="EU20" s="1225"/>
      <c r="EV20" s="1225"/>
      <c r="EW20" s="1225"/>
      <c r="EX20" s="1225"/>
      <c r="EY20" s="1225"/>
      <c r="EZ20" s="1225"/>
      <c r="FA20" s="1225"/>
      <c r="FB20" s="1225"/>
      <c r="FC20" s="1225"/>
      <c r="FD20" s="1225"/>
      <c r="FE20" s="1225"/>
      <c r="FF20" s="1225"/>
      <c r="FG20" s="1225"/>
      <c r="FH20" s="1225"/>
      <c r="FI20" s="1225"/>
      <c r="FJ20" s="1225"/>
      <c r="FK20" s="1225"/>
      <c r="FL20" s="1225"/>
      <c r="FM20" s="1225"/>
      <c r="FN20" s="1225"/>
      <c r="FO20" s="1225"/>
      <c r="FP20" s="1225"/>
      <c r="FQ20" s="1225"/>
      <c r="FR20" s="1225"/>
      <c r="FS20" s="1225"/>
      <c r="FT20" s="1225"/>
      <c r="FU20" s="1225"/>
      <c r="FV20" s="1225"/>
      <c r="FW20" s="1225"/>
      <c r="FX20" s="1225"/>
      <c r="FY20" s="1225"/>
      <c r="FZ20" s="1225"/>
      <c r="GA20" s="1225"/>
      <c r="GB20" s="1225"/>
      <c r="GC20" s="1225"/>
      <c r="GD20" s="1225"/>
      <c r="GE20" s="1225"/>
      <c r="GF20" s="1225"/>
      <c r="GG20" s="1225"/>
      <c r="GH20" s="1225"/>
      <c r="GI20" s="1225"/>
      <c r="GJ20" s="1225"/>
      <c r="GK20" s="1225"/>
      <c r="GL20" s="1225"/>
      <c r="GM20" s="1225"/>
      <c r="GN20" s="1225"/>
      <c r="GO20" s="1225"/>
      <c r="GP20" s="1225"/>
      <c r="GQ20" s="1225"/>
      <c r="GR20" s="1225"/>
      <c r="GS20" s="1225"/>
      <c r="GT20" s="1225"/>
      <c r="GU20" s="1225"/>
      <c r="GV20" s="1225"/>
      <c r="GW20" s="1225"/>
      <c r="GX20" s="1225"/>
      <c r="GY20" s="1225"/>
      <c r="GZ20" s="1225"/>
      <c r="HA20" s="1225"/>
      <c r="HB20" s="1225"/>
      <c r="HC20" s="1225"/>
      <c r="HD20" s="1225"/>
      <c r="HE20" s="1225"/>
      <c r="HF20" s="1225"/>
      <c r="HG20" s="1225"/>
      <c r="HH20" s="1225"/>
      <c r="HI20" s="1225"/>
      <c r="HJ20" s="1225"/>
      <c r="HK20" s="1225"/>
      <c r="HL20" s="1225"/>
      <c r="HM20" s="1225"/>
      <c r="HN20" s="1225"/>
      <c r="HO20" s="1225"/>
      <c r="HP20" s="1225"/>
      <c r="HQ20" s="1225"/>
      <c r="HR20" s="1225"/>
      <c r="HS20" s="1225"/>
      <c r="HT20" s="1225"/>
      <c r="HU20" s="1225"/>
      <c r="HV20" s="1225"/>
      <c r="HW20" s="1225"/>
      <c r="HX20" s="1225"/>
      <c r="HY20" s="1225"/>
      <c r="HZ20" s="1225"/>
      <c r="IA20" s="1225"/>
      <c r="IB20" s="1225"/>
      <c r="IC20" s="1225"/>
    </row>
    <row r="21" spans="1:237" s="1226" customFormat="1" ht="10" customHeight="1">
      <c r="A21" s="1220" t="s">
        <v>10</v>
      </c>
      <c r="B21" s="1222"/>
      <c r="C21" s="1222"/>
      <c r="D21" s="1222"/>
      <c r="E21" s="1222"/>
      <c r="F21" s="1222"/>
      <c r="G21" s="1222"/>
      <c r="H21" s="1222"/>
      <c r="I21" s="1252"/>
      <c r="J21" s="1691"/>
      <c r="K21" s="1252"/>
      <c r="L21" s="1690"/>
      <c r="M21" s="1690"/>
      <c r="N21" s="1690"/>
      <c r="O21" s="1223"/>
      <c r="P21" s="1224"/>
      <c r="Q21" s="1224"/>
      <c r="R21" s="1224"/>
      <c r="S21" s="1224"/>
      <c r="T21" s="1224"/>
      <c r="U21" s="1224"/>
      <c r="V21" s="1225"/>
      <c r="W21" s="1225"/>
      <c r="X21" s="1225"/>
      <c r="Y21" s="1225"/>
      <c r="Z21" s="1225"/>
      <c r="AA21" s="1225"/>
      <c r="AB21" s="1225"/>
      <c r="AC21" s="1225"/>
      <c r="AD21" s="1225"/>
      <c r="AE21" s="1225"/>
      <c r="AF21" s="1225"/>
      <c r="AG21" s="1225"/>
      <c r="AH21" s="1225"/>
      <c r="AI21" s="1225"/>
      <c r="AJ21" s="1225"/>
      <c r="AK21" s="1225"/>
      <c r="AL21" s="1225"/>
      <c r="AM21" s="1225"/>
      <c r="AN21" s="1225"/>
      <c r="AO21" s="1225"/>
      <c r="AP21" s="1225"/>
      <c r="AQ21" s="1225"/>
      <c r="AR21" s="1225"/>
      <c r="AS21" s="1225"/>
      <c r="AT21" s="1225"/>
      <c r="AU21" s="1225"/>
      <c r="AV21" s="1225"/>
      <c r="AW21" s="1225"/>
      <c r="AX21" s="1225"/>
      <c r="AY21" s="1225"/>
      <c r="AZ21" s="1225"/>
      <c r="BA21" s="1225"/>
      <c r="BB21" s="1225"/>
      <c r="BC21" s="1225"/>
      <c r="BD21" s="1225"/>
      <c r="BE21" s="1225"/>
      <c r="BF21" s="1225"/>
      <c r="BG21" s="1225"/>
      <c r="BH21" s="1225"/>
      <c r="BI21" s="1225"/>
      <c r="BJ21" s="1225"/>
      <c r="BK21" s="1225"/>
      <c r="BL21" s="1225"/>
      <c r="BM21" s="1225"/>
      <c r="BN21" s="1225"/>
      <c r="BO21" s="1225"/>
      <c r="BP21" s="1225"/>
      <c r="BQ21" s="1225"/>
      <c r="BR21" s="1225"/>
      <c r="BS21" s="1225"/>
      <c r="BT21" s="1225"/>
      <c r="BU21" s="1225"/>
      <c r="BV21" s="1225"/>
      <c r="BW21" s="1225"/>
      <c r="BX21" s="1225"/>
      <c r="BY21" s="1225"/>
      <c r="BZ21" s="1225"/>
      <c r="CA21" s="1225"/>
      <c r="CB21" s="1225"/>
      <c r="CC21" s="1225"/>
      <c r="CD21" s="1225"/>
      <c r="CE21" s="1225"/>
      <c r="CF21" s="1225"/>
      <c r="CG21" s="1225"/>
      <c r="CH21" s="1225"/>
      <c r="CI21" s="1225"/>
      <c r="CJ21" s="1225"/>
      <c r="CK21" s="1225"/>
      <c r="CL21" s="1225"/>
      <c r="CM21" s="1225"/>
      <c r="CN21" s="1225"/>
      <c r="CO21" s="1225"/>
      <c r="CP21" s="1225"/>
      <c r="CQ21" s="1225"/>
      <c r="CR21" s="1225"/>
      <c r="CS21" s="1225"/>
      <c r="CT21" s="1225"/>
      <c r="CU21" s="1225"/>
      <c r="CV21" s="1225"/>
      <c r="CW21" s="1225"/>
      <c r="CX21" s="1225"/>
      <c r="CY21" s="1225"/>
      <c r="CZ21" s="1225"/>
      <c r="DA21" s="1225"/>
      <c r="DB21" s="1225"/>
      <c r="DC21" s="1225"/>
      <c r="DD21" s="1225"/>
      <c r="DE21" s="1225"/>
      <c r="DF21" s="1225"/>
      <c r="DG21" s="1225"/>
      <c r="DH21" s="1225"/>
      <c r="DI21" s="1225"/>
      <c r="DJ21" s="1225"/>
      <c r="DK21" s="1225"/>
      <c r="DL21" s="1225"/>
      <c r="DM21" s="1225"/>
      <c r="DN21" s="1225"/>
      <c r="DO21" s="1225"/>
      <c r="DP21" s="1225"/>
      <c r="DQ21" s="1225"/>
      <c r="DR21" s="1225"/>
      <c r="DS21" s="1225"/>
      <c r="DT21" s="1225"/>
      <c r="DU21" s="1225"/>
      <c r="DV21" s="1225"/>
      <c r="DW21" s="1225"/>
      <c r="DX21" s="1225"/>
      <c r="DY21" s="1225"/>
      <c r="DZ21" s="1225"/>
      <c r="EA21" s="1225"/>
      <c r="EB21" s="1225"/>
      <c r="EC21" s="1225"/>
      <c r="ED21" s="1225"/>
      <c r="EE21" s="1225"/>
      <c r="EF21" s="1225"/>
      <c r="EG21" s="1225"/>
      <c r="EH21" s="1225"/>
      <c r="EI21" s="1225"/>
      <c r="EJ21" s="1225"/>
      <c r="EK21" s="1225"/>
      <c r="EL21" s="1225"/>
      <c r="EM21" s="1225"/>
      <c r="EN21" s="1225"/>
      <c r="EO21" s="1225"/>
      <c r="EP21" s="1225"/>
      <c r="EQ21" s="1225"/>
      <c r="ER21" s="1225"/>
      <c r="ES21" s="1225"/>
      <c r="ET21" s="1225"/>
      <c r="EU21" s="1225"/>
      <c r="EV21" s="1225"/>
      <c r="EW21" s="1225"/>
      <c r="EX21" s="1225"/>
      <c r="EY21" s="1225"/>
      <c r="EZ21" s="1225"/>
      <c r="FA21" s="1225"/>
      <c r="FB21" s="1225"/>
      <c r="FC21" s="1225"/>
      <c r="FD21" s="1225"/>
      <c r="FE21" s="1225"/>
      <c r="FF21" s="1225"/>
      <c r="FG21" s="1225"/>
      <c r="FH21" s="1225"/>
      <c r="FI21" s="1225"/>
      <c r="FJ21" s="1225"/>
      <c r="FK21" s="1225"/>
      <c r="FL21" s="1225"/>
      <c r="FM21" s="1225"/>
      <c r="FN21" s="1225"/>
      <c r="FO21" s="1225"/>
      <c r="FP21" s="1225"/>
      <c r="FQ21" s="1225"/>
      <c r="FR21" s="1225"/>
      <c r="FS21" s="1225"/>
      <c r="FT21" s="1225"/>
      <c r="FU21" s="1225"/>
      <c r="FV21" s="1225"/>
      <c r="FW21" s="1225"/>
      <c r="FX21" s="1225"/>
      <c r="FY21" s="1225"/>
      <c r="FZ21" s="1225"/>
      <c r="GA21" s="1225"/>
      <c r="GB21" s="1225"/>
      <c r="GC21" s="1225"/>
      <c r="GD21" s="1225"/>
      <c r="GE21" s="1225"/>
      <c r="GF21" s="1225"/>
      <c r="GG21" s="1225"/>
      <c r="GH21" s="1225"/>
      <c r="GI21" s="1225"/>
      <c r="GJ21" s="1225"/>
      <c r="GK21" s="1225"/>
      <c r="GL21" s="1225"/>
      <c r="GM21" s="1225"/>
      <c r="GN21" s="1225"/>
      <c r="GO21" s="1225"/>
      <c r="GP21" s="1225"/>
      <c r="GQ21" s="1225"/>
      <c r="GR21" s="1225"/>
      <c r="GS21" s="1225"/>
      <c r="GT21" s="1225"/>
      <c r="GU21" s="1225"/>
      <c r="GV21" s="1225"/>
      <c r="GW21" s="1225"/>
      <c r="GX21" s="1225"/>
      <c r="GY21" s="1225"/>
      <c r="GZ21" s="1225"/>
      <c r="HA21" s="1225"/>
      <c r="HB21" s="1225"/>
      <c r="HC21" s="1225"/>
      <c r="HD21" s="1225"/>
      <c r="HE21" s="1225"/>
      <c r="HF21" s="1225"/>
      <c r="HG21" s="1225"/>
      <c r="HH21" s="1225"/>
      <c r="HI21" s="1225"/>
      <c r="HJ21" s="1225"/>
      <c r="HK21" s="1225"/>
      <c r="HL21" s="1225"/>
      <c r="HM21" s="1225"/>
      <c r="HN21" s="1225"/>
      <c r="HO21" s="1225"/>
      <c r="HP21" s="1225"/>
      <c r="HQ21" s="1225"/>
      <c r="HR21" s="1225"/>
      <c r="HS21" s="1225"/>
      <c r="HT21" s="1225"/>
      <c r="HU21" s="1225"/>
      <c r="HV21" s="1225"/>
      <c r="HW21" s="1225"/>
      <c r="HX21" s="1225"/>
      <c r="HY21" s="1225"/>
      <c r="HZ21" s="1225"/>
      <c r="IA21" s="1225"/>
      <c r="IB21" s="1225"/>
      <c r="IC21" s="1225"/>
    </row>
    <row r="22" spans="1:237" s="1226" customFormat="1" ht="10" customHeight="1">
      <c r="A22" s="1220" t="s">
        <v>1333</v>
      </c>
      <c r="B22" s="1225"/>
      <c r="C22" s="1225"/>
      <c r="D22" s="1225"/>
      <c r="E22" s="1225"/>
      <c r="F22" s="1225"/>
      <c r="G22" s="1225"/>
      <c r="H22" s="1225"/>
      <c r="I22" s="1252"/>
      <c r="J22" s="1252"/>
      <c r="K22" s="1252"/>
      <c r="L22" s="1252"/>
      <c r="M22" s="1252"/>
      <c r="N22" s="1252"/>
      <c r="O22" s="1227"/>
      <c r="P22" s="1225"/>
      <c r="Q22" s="1225"/>
      <c r="R22" s="1225"/>
      <c r="S22" s="1225"/>
      <c r="T22" s="1225"/>
      <c r="U22" s="1225"/>
      <c r="V22" s="1225"/>
      <c r="W22" s="1225"/>
      <c r="X22" s="1225"/>
      <c r="Y22" s="1225"/>
      <c r="Z22" s="1225"/>
      <c r="AA22" s="1225"/>
      <c r="AB22" s="1225"/>
      <c r="AC22" s="1225"/>
      <c r="AD22" s="1225"/>
      <c r="AE22" s="1225"/>
      <c r="AF22" s="1225"/>
      <c r="AG22" s="1225"/>
      <c r="AH22" s="1225"/>
      <c r="AI22" s="1225"/>
      <c r="AJ22" s="1225"/>
      <c r="AK22" s="1225"/>
      <c r="AL22" s="1225"/>
      <c r="AM22" s="1225"/>
      <c r="AN22" s="1225"/>
      <c r="AO22" s="1225"/>
      <c r="AP22" s="1225"/>
      <c r="AQ22" s="1225"/>
      <c r="AR22" s="1225"/>
      <c r="AS22" s="1225"/>
      <c r="AT22" s="1225"/>
      <c r="AU22" s="1225"/>
      <c r="AV22" s="1225"/>
      <c r="AW22" s="1225"/>
      <c r="AX22" s="1225"/>
      <c r="AY22" s="1225"/>
      <c r="AZ22" s="1225"/>
      <c r="BA22" s="1225"/>
      <c r="BB22" s="1225"/>
      <c r="BC22" s="1225"/>
      <c r="BD22" s="1225"/>
      <c r="BE22" s="1225"/>
      <c r="BF22" s="1225"/>
      <c r="BG22" s="1225"/>
      <c r="BH22" s="1225"/>
      <c r="BI22" s="1225"/>
      <c r="BJ22" s="1225"/>
      <c r="BK22" s="1225"/>
      <c r="BL22" s="1225"/>
      <c r="BM22" s="1225"/>
      <c r="BN22" s="1225"/>
      <c r="BO22" s="1225"/>
      <c r="BP22" s="1225"/>
      <c r="BQ22" s="1225"/>
      <c r="BR22" s="1225"/>
      <c r="BS22" s="1225"/>
      <c r="BT22" s="1225"/>
      <c r="BU22" s="1225"/>
      <c r="BV22" s="1225"/>
      <c r="BW22" s="1225"/>
      <c r="BX22" s="1225"/>
      <c r="BY22" s="1225"/>
      <c r="BZ22" s="1225"/>
      <c r="CA22" s="1225"/>
      <c r="CB22" s="1225"/>
      <c r="CC22" s="1225"/>
      <c r="CD22" s="1225"/>
      <c r="CE22" s="1225"/>
      <c r="CF22" s="1225"/>
      <c r="CG22" s="1225"/>
      <c r="CH22" s="1225"/>
      <c r="CI22" s="1225"/>
      <c r="CJ22" s="1225"/>
      <c r="CK22" s="1225"/>
      <c r="CL22" s="1225"/>
      <c r="CM22" s="1225"/>
      <c r="CN22" s="1225"/>
      <c r="CO22" s="1225"/>
      <c r="CP22" s="1225"/>
      <c r="CQ22" s="1225"/>
      <c r="CR22" s="1225"/>
      <c r="CS22" s="1225"/>
      <c r="CT22" s="1225"/>
      <c r="CU22" s="1225"/>
      <c r="CV22" s="1225"/>
      <c r="CW22" s="1225"/>
      <c r="CX22" s="1225"/>
      <c r="CY22" s="1225"/>
      <c r="CZ22" s="1225"/>
      <c r="DA22" s="1225"/>
      <c r="DB22" s="1225"/>
      <c r="DC22" s="1225"/>
      <c r="DD22" s="1225"/>
      <c r="DE22" s="1225"/>
      <c r="DF22" s="1225"/>
      <c r="DG22" s="1225"/>
      <c r="DH22" s="1225"/>
      <c r="DI22" s="1225"/>
      <c r="DJ22" s="1225"/>
      <c r="DK22" s="1225"/>
      <c r="DL22" s="1225"/>
      <c r="DM22" s="1225"/>
      <c r="DN22" s="1225"/>
      <c r="DO22" s="1225"/>
      <c r="DP22" s="1225"/>
      <c r="DQ22" s="1225"/>
      <c r="DR22" s="1225"/>
      <c r="DS22" s="1225"/>
      <c r="DT22" s="1225"/>
      <c r="DU22" s="1225"/>
      <c r="DV22" s="1225"/>
      <c r="DW22" s="1225"/>
      <c r="DX22" s="1225"/>
      <c r="DY22" s="1225"/>
      <c r="DZ22" s="1225"/>
      <c r="EA22" s="1225"/>
      <c r="EB22" s="1225"/>
      <c r="EC22" s="1225"/>
      <c r="ED22" s="1225"/>
      <c r="EE22" s="1225"/>
      <c r="EF22" s="1225"/>
      <c r="EG22" s="1225"/>
      <c r="EH22" s="1225"/>
      <c r="EI22" s="1225"/>
      <c r="EJ22" s="1225"/>
      <c r="EK22" s="1225"/>
      <c r="EL22" s="1225"/>
      <c r="EM22" s="1225"/>
      <c r="EN22" s="1225"/>
      <c r="EO22" s="1225"/>
      <c r="EP22" s="1225"/>
      <c r="EQ22" s="1225"/>
      <c r="ER22" s="1225"/>
      <c r="ES22" s="1225"/>
      <c r="ET22" s="1225"/>
      <c r="EU22" s="1225"/>
      <c r="EV22" s="1225"/>
      <c r="EW22" s="1225"/>
      <c r="EX22" s="1225"/>
      <c r="EY22" s="1225"/>
      <c r="EZ22" s="1225"/>
      <c r="FA22" s="1225"/>
      <c r="FB22" s="1225"/>
      <c r="FC22" s="1225"/>
      <c r="FD22" s="1225"/>
      <c r="FE22" s="1225"/>
      <c r="FF22" s="1225"/>
      <c r="FG22" s="1225"/>
      <c r="FH22" s="1225"/>
      <c r="FI22" s="1225"/>
      <c r="FJ22" s="1225"/>
      <c r="FK22" s="1225"/>
      <c r="FL22" s="1225"/>
      <c r="FM22" s="1225"/>
      <c r="FN22" s="1225"/>
      <c r="FO22" s="1225"/>
      <c r="FP22" s="1225"/>
      <c r="FQ22" s="1225"/>
      <c r="FR22" s="1225"/>
      <c r="FS22" s="1225"/>
      <c r="FT22" s="1225"/>
      <c r="FU22" s="1225"/>
      <c r="FV22" s="1225"/>
      <c r="FW22" s="1225"/>
      <c r="FX22" s="1225"/>
      <c r="FY22" s="1225"/>
      <c r="FZ22" s="1225"/>
      <c r="GA22" s="1225"/>
      <c r="GB22" s="1225"/>
      <c r="GC22" s="1225"/>
      <c r="GD22" s="1225"/>
      <c r="GE22" s="1225"/>
      <c r="GF22" s="1225"/>
      <c r="GG22" s="1225"/>
      <c r="GH22" s="1225"/>
      <c r="GI22" s="1225"/>
      <c r="GJ22" s="1225"/>
      <c r="GK22" s="1225"/>
      <c r="GL22" s="1225"/>
      <c r="GM22" s="1225"/>
      <c r="GN22" s="1225"/>
      <c r="GO22" s="1225"/>
      <c r="GP22" s="1225"/>
      <c r="GQ22" s="1225"/>
      <c r="GR22" s="1225"/>
      <c r="GS22" s="1225"/>
      <c r="GT22" s="1225"/>
      <c r="GU22" s="1225"/>
      <c r="GV22" s="1225"/>
      <c r="GW22" s="1225"/>
      <c r="GX22" s="1225"/>
      <c r="GY22" s="1225"/>
      <c r="GZ22" s="1225"/>
      <c r="HA22" s="1225"/>
      <c r="HB22" s="1225"/>
      <c r="HC22" s="1225"/>
      <c r="HD22" s="1225"/>
      <c r="HE22" s="1225"/>
      <c r="HF22" s="1225"/>
      <c r="HG22" s="1225"/>
      <c r="HH22" s="1225"/>
      <c r="HI22" s="1225"/>
      <c r="HJ22" s="1225"/>
      <c r="HK22" s="1225"/>
      <c r="HL22" s="1225"/>
      <c r="HM22" s="1225"/>
      <c r="HN22" s="1225"/>
      <c r="HO22" s="1225"/>
      <c r="HP22" s="1225"/>
      <c r="HQ22" s="1225"/>
      <c r="HR22" s="1225"/>
      <c r="HS22" s="1225"/>
      <c r="HT22" s="1225"/>
      <c r="HU22" s="1225"/>
      <c r="HV22" s="1225"/>
      <c r="HW22" s="1225"/>
      <c r="HX22" s="1225"/>
      <c r="HY22" s="1225"/>
      <c r="HZ22" s="1225"/>
      <c r="IA22" s="1225"/>
      <c r="IB22" s="1225"/>
      <c r="IC22" s="1225"/>
    </row>
    <row r="23" spans="1:237" s="1226" customFormat="1" ht="10" customHeight="1">
      <c r="A23" s="1446" t="s">
        <v>1273</v>
      </c>
      <c r="B23" s="1228"/>
      <c r="C23" s="1228"/>
      <c r="D23" s="1228"/>
      <c r="E23" s="1228"/>
      <c r="F23" s="1228"/>
      <c r="G23" s="1228"/>
      <c r="H23" s="1228"/>
      <c r="I23" s="1692"/>
      <c r="J23" s="1692"/>
      <c r="K23" s="1252"/>
      <c r="L23" s="1693"/>
      <c r="M23" s="1693"/>
      <c r="N23" s="1693"/>
      <c r="O23" s="1227"/>
      <c r="P23" s="1225"/>
      <c r="Q23" s="1225"/>
      <c r="R23" s="1225"/>
      <c r="S23" s="1225"/>
      <c r="T23" s="1225"/>
      <c r="U23" s="1225"/>
      <c r="V23" s="1225"/>
      <c r="W23" s="1225"/>
      <c r="X23" s="1225"/>
      <c r="Y23" s="1225"/>
      <c r="Z23" s="1225"/>
      <c r="AA23" s="1225"/>
      <c r="AB23" s="1225"/>
      <c r="AC23" s="1225"/>
      <c r="AD23" s="1225"/>
      <c r="AE23" s="1225"/>
      <c r="AF23" s="1225"/>
      <c r="AG23" s="1225"/>
      <c r="AH23" s="1225"/>
      <c r="AI23" s="1225"/>
      <c r="AJ23" s="1225"/>
      <c r="AK23" s="1225"/>
      <c r="AL23" s="1225"/>
      <c r="AM23" s="1225"/>
      <c r="AN23" s="1225"/>
      <c r="AO23" s="1225"/>
      <c r="AP23" s="1225"/>
      <c r="AQ23" s="1225"/>
      <c r="AR23" s="1225"/>
      <c r="AS23" s="1225"/>
      <c r="AT23" s="1225"/>
      <c r="AU23" s="1225"/>
      <c r="AV23" s="1225"/>
      <c r="AW23" s="1225"/>
      <c r="AX23" s="1225"/>
      <c r="AY23" s="1225"/>
      <c r="AZ23" s="1225"/>
      <c r="BA23" s="1225"/>
      <c r="BB23" s="1225"/>
      <c r="BC23" s="1225"/>
      <c r="BD23" s="1225"/>
      <c r="BE23" s="1225"/>
      <c r="BF23" s="1225"/>
      <c r="BG23" s="1225"/>
      <c r="BH23" s="1225"/>
      <c r="BI23" s="1225"/>
      <c r="BJ23" s="1225"/>
      <c r="BK23" s="1225"/>
      <c r="BL23" s="1225"/>
      <c r="BM23" s="1225"/>
      <c r="BN23" s="1225"/>
      <c r="BO23" s="1225"/>
      <c r="BP23" s="1225"/>
      <c r="BQ23" s="1225"/>
      <c r="BR23" s="1225"/>
      <c r="BS23" s="1225"/>
      <c r="BT23" s="1225"/>
      <c r="BU23" s="1225"/>
      <c r="BV23" s="1225"/>
      <c r="BW23" s="1225"/>
      <c r="BX23" s="1225"/>
      <c r="BY23" s="1225"/>
      <c r="BZ23" s="1225"/>
      <c r="CA23" s="1225"/>
      <c r="CB23" s="1225"/>
      <c r="CC23" s="1225"/>
      <c r="CD23" s="1225"/>
      <c r="CE23" s="1225"/>
      <c r="CF23" s="1225"/>
      <c r="CG23" s="1225"/>
      <c r="CH23" s="1225"/>
      <c r="CI23" s="1225"/>
      <c r="CJ23" s="1225"/>
      <c r="CK23" s="1225"/>
      <c r="CL23" s="1225"/>
      <c r="CM23" s="1225"/>
      <c r="CN23" s="1225"/>
      <c r="CO23" s="1225"/>
      <c r="CP23" s="1225"/>
      <c r="CQ23" s="1225"/>
      <c r="CR23" s="1225"/>
      <c r="CS23" s="1225"/>
      <c r="CT23" s="1225"/>
      <c r="CU23" s="1225"/>
      <c r="CV23" s="1225"/>
      <c r="CW23" s="1225"/>
      <c r="CX23" s="1225"/>
      <c r="CY23" s="1225"/>
      <c r="CZ23" s="1225"/>
      <c r="DA23" s="1225"/>
      <c r="DB23" s="1225"/>
      <c r="DC23" s="1225"/>
      <c r="DD23" s="1225"/>
      <c r="DE23" s="1225"/>
      <c r="DF23" s="1225"/>
      <c r="DG23" s="1225"/>
      <c r="DH23" s="1225"/>
      <c r="DI23" s="1225"/>
      <c r="DJ23" s="1225"/>
      <c r="DK23" s="1225"/>
      <c r="DL23" s="1225"/>
      <c r="DM23" s="1225"/>
      <c r="DN23" s="1225"/>
      <c r="DO23" s="1225"/>
      <c r="DP23" s="1225"/>
      <c r="DQ23" s="1225"/>
      <c r="DR23" s="1225"/>
      <c r="DS23" s="1225"/>
      <c r="DT23" s="1225"/>
      <c r="DU23" s="1225"/>
      <c r="DV23" s="1225"/>
      <c r="DW23" s="1225"/>
      <c r="DX23" s="1225"/>
      <c r="DY23" s="1225"/>
      <c r="DZ23" s="1225"/>
      <c r="EA23" s="1225"/>
      <c r="EB23" s="1225"/>
      <c r="EC23" s="1225"/>
      <c r="ED23" s="1225"/>
      <c r="EE23" s="1225"/>
      <c r="EF23" s="1225"/>
      <c r="EG23" s="1225"/>
      <c r="EH23" s="1225"/>
      <c r="EI23" s="1225"/>
      <c r="EJ23" s="1225"/>
      <c r="EK23" s="1225"/>
      <c r="EL23" s="1225"/>
      <c r="EM23" s="1225"/>
      <c r="EN23" s="1225"/>
      <c r="EO23" s="1225"/>
      <c r="EP23" s="1225"/>
      <c r="EQ23" s="1225"/>
      <c r="ER23" s="1225"/>
      <c r="ES23" s="1225"/>
      <c r="ET23" s="1225"/>
      <c r="EU23" s="1225"/>
      <c r="EV23" s="1225"/>
      <c r="EW23" s="1225"/>
      <c r="EX23" s="1225"/>
      <c r="EY23" s="1225"/>
      <c r="EZ23" s="1225"/>
      <c r="FA23" s="1225"/>
      <c r="FB23" s="1225"/>
      <c r="FC23" s="1225"/>
      <c r="FD23" s="1225"/>
      <c r="FE23" s="1225"/>
      <c r="FF23" s="1225"/>
      <c r="FG23" s="1225"/>
      <c r="FH23" s="1225"/>
      <c r="FI23" s="1225"/>
      <c r="FJ23" s="1225"/>
      <c r="FK23" s="1225"/>
      <c r="FL23" s="1225"/>
      <c r="FM23" s="1225"/>
      <c r="FN23" s="1225"/>
      <c r="FO23" s="1225"/>
      <c r="FP23" s="1225"/>
      <c r="FQ23" s="1225"/>
      <c r="FR23" s="1225"/>
      <c r="FS23" s="1225"/>
      <c r="FT23" s="1225"/>
      <c r="FU23" s="1225"/>
      <c r="FV23" s="1225"/>
      <c r="FW23" s="1225"/>
      <c r="FX23" s="1225"/>
      <c r="FY23" s="1225"/>
      <c r="FZ23" s="1225"/>
      <c r="GA23" s="1225"/>
      <c r="GB23" s="1225"/>
      <c r="GC23" s="1225"/>
      <c r="GD23" s="1225"/>
      <c r="GE23" s="1225"/>
      <c r="GF23" s="1225"/>
      <c r="GG23" s="1225"/>
      <c r="GH23" s="1225"/>
      <c r="GI23" s="1225"/>
      <c r="GJ23" s="1225"/>
      <c r="GK23" s="1225"/>
      <c r="GL23" s="1225"/>
      <c r="GM23" s="1225"/>
      <c r="GN23" s="1225"/>
      <c r="GO23" s="1225"/>
      <c r="GP23" s="1225"/>
      <c r="GQ23" s="1225"/>
      <c r="GR23" s="1225"/>
      <c r="GS23" s="1225"/>
      <c r="GT23" s="1225"/>
      <c r="GU23" s="1225"/>
      <c r="GV23" s="1225"/>
      <c r="GW23" s="1225"/>
      <c r="GX23" s="1225"/>
      <c r="GY23" s="1225"/>
      <c r="GZ23" s="1225"/>
      <c r="HA23" s="1225"/>
      <c r="HB23" s="1225"/>
      <c r="HC23" s="1225"/>
      <c r="HD23" s="1225"/>
      <c r="HE23" s="1225"/>
      <c r="HF23" s="1225"/>
      <c r="HG23" s="1225"/>
      <c r="HH23" s="1225"/>
      <c r="HI23" s="1225"/>
      <c r="HJ23" s="1225"/>
      <c r="HK23" s="1225"/>
      <c r="HL23" s="1225"/>
      <c r="HM23" s="1225"/>
      <c r="HN23" s="1225"/>
      <c r="HO23" s="1225"/>
      <c r="HP23" s="1225"/>
      <c r="HQ23" s="1225"/>
      <c r="HR23" s="1225"/>
      <c r="HS23" s="1225"/>
      <c r="HT23" s="1225"/>
      <c r="HU23" s="1225"/>
      <c r="HV23" s="1225"/>
      <c r="HW23" s="1225"/>
      <c r="HX23" s="1225"/>
      <c r="HY23" s="1225"/>
      <c r="HZ23" s="1225"/>
      <c r="IA23" s="1225"/>
      <c r="IB23" s="1225"/>
      <c r="IC23" s="1225"/>
    </row>
    <row r="24" spans="1:237" s="1226" customFormat="1" ht="10" customHeight="1">
      <c r="A24" s="1220" t="s">
        <v>791</v>
      </c>
      <c r="B24" s="1228"/>
      <c r="C24" s="1228"/>
      <c r="D24" s="1228"/>
      <c r="E24" s="1228"/>
      <c r="F24" s="1228"/>
      <c r="G24" s="1228"/>
      <c r="H24" s="1228"/>
      <c r="I24" s="1692"/>
      <c r="J24" s="1692"/>
      <c r="K24" s="1252"/>
      <c r="L24" s="1693"/>
      <c r="M24" s="1693"/>
      <c r="N24" s="1693"/>
      <c r="O24" s="1227"/>
      <c r="P24" s="1225"/>
      <c r="Q24" s="1225"/>
      <c r="R24" s="1225"/>
      <c r="S24" s="1225"/>
      <c r="T24" s="1225"/>
      <c r="U24" s="1225"/>
      <c r="V24" s="1225"/>
      <c r="W24" s="1225"/>
      <c r="X24" s="1225"/>
      <c r="Y24" s="1225"/>
      <c r="Z24" s="1225"/>
      <c r="AA24" s="1225"/>
      <c r="AB24" s="1225"/>
      <c r="AC24" s="1225"/>
      <c r="AD24" s="1225"/>
      <c r="AE24" s="1225"/>
      <c r="AF24" s="1225"/>
      <c r="AG24" s="1225"/>
      <c r="AH24" s="1225"/>
      <c r="AI24" s="1225"/>
      <c r="AJ24" s="1225"/>
      <c r="AK24" s="1225"/>
      <c r="AL24" s="1225"/>
      <c r="AM24" s="1225"/>
      <c r="AN24" s="1225"/>
      <c r="AO24" s="1225"/>
      <c r="AP24" s="1225"/>
      <c r="AQ24" s="1225"/>
      <c r="AR24" s="1225"/>
      <c r="AS24" s="1225"/>
      <c r="AT24" s="1225"/>
      <c r="AU24" s="1225"/>
      <c r="AV24" s="1225"/>
      <c r="AW24" s="1225"/>
      <c r="AX24" s="1225"/>
      <c r="AY24" s="1225"/>
      <c r="AZ24" s="1225"/>
      <c r="BA24" s="1225"/>
      <c r="BB24" s="1225"/>
      <c r="BC24" s="1225"/>
      <c r="BD24" s="1225"/>
      <c r="BE24" s="1225"/>
      <c r="BF24" s="1225"/>
      <c r="BG24" s="1225"/>
      <c r="BH24" s="1225"/>
      <c r="BI24" s="1225"/>
      <c r="BJ24" s="1225"/>
      <c r="BK24" s="1225"/>
      <c r="BL24" s="1225"/>
      <c r="BM24" s="1225"/>
      <c r="BN24" s="1225"/>
      <c r="BO24" s="1225"/>
      <c r="BP24" s="1225"/>
      <c r="BQ24" s="1225"/>
      <c r="BR24" s="1225"/>
      <c r="BS24" s="1225"/>
      <c r="BT24" s="1225"/>
      <c r="BU24" s="1225"/>
      <c r="BV24" s="1225"/>
      <c r="BW24" s="1225"/>
      <c r="BX24" s="1225"/>
      <c r="BY24" s="1225"/>
      <c r="BZ24" s="1225"/>
      <c r="CA24" s="1225"/>
      <c r="CB24" s="1225"/>
      <c r="CC24" s="1225"/>
      <c r="CD24" s="1225"/>
      <c r="CE24" s="1225"/>
      <c r="CF24" s="1225"/>
      <c r="CG24" s="1225"/>
      <c r="CH24" s="1225"/>
      <c r="CI24" s="1225"/>
      <c r="CJ24" s="1225"/>
      <c r="CK24" s="1225"/>
      <c r="CL24" s="1225"/>
      <c r="CM24" s="1225"/>
      <c r="CN24" s="1225"/>
      <c r="CO24" s="1225"/>
      <c r="CP24" s="1225"/>
      <c r="CQ24" s="1225"/>
      <c r="CR24" s="1225"/>
      <c r="CS24" s="1225"/>
      <c r="CT24" s="1225"/>
      <c r="CU24" s="1225"/>
      <c r="CV24" s="1225"/>
      <c r="CW24" s="1225"/>
      <c r="CX24" s="1225"/>
      <c r="CY24" s="1225"/>
      <c r="CZ24" s="1225"/>
      <c r="DA24" s="1225"/>
      <c r="DB24" s="1225"/>
      <c r="DC24" s="1225"/>
      <c r="DD24" s="1225"/>
      <c r="DE24" s="1225"/>
      <c r="DF24" s="1225"/>
      <c r="DG24" s="1225"/>
      <c r="DH24" s="1225"/>
      <c r="DI24" s="1225"/>
      <c r="DJ24" s="1225"/>
      <c r="DK24" s="1225"/>
      <c r="DL24" s="1225"/>
      <c r="DM24" s="1225"/>
      <c r="DN24" s="1225"/>
      <c r="DO24" s="1225"/>
      <c r="DP24" s="1225"/>
      <c r="DQ24" s="1225"/>
      <c r="DR24" s="1225"/>
      <c r="DS24" s="1225"/>
      <c r="DT24" s="1225"/>
      <c r="DU24" s="1225"/>
      <c r="DV24" s="1225"/>
      <c r="DW24" s="1225"/>
      <c r="DX24" s="1225"/>
      <c r="DY24" s="1225"/>
      <c r="DZ24" s="1225"/>
      <c r="EA24" s="1225"/>
      <c r="EB24" s="1225"/>
      <c r="EC24" s="1225"/>
      <c r="ED24" s="1225"/>
      <c r="EE24" s="1225"/>
      <c r="EF24" s="1225"/>
      <c r="EG24" s="1225"/>
      <c r="EH24" s="1225"/>
      <c r="EI24" s="1225"/>
      <c r="EJ24" s="1225"/>
      <c r="EK24" s="1225"/>
      <c r="EL24" s="1225"/>
      <c r="EM24" s="1225"/>
      <c r="EN24" s="1225"/>
      <c r="EO24" s="1225"/>
      <c r="EP24" s="1225"/>
      <c r="EQ24" s="1225"/>
      <c r="ER24" s="1225"/>
      <c r="ES24" s="1225"/>
      <c r="ET24" s="1225"/>
      <c r="EU24" s="1225"/>
      <c r="EV24" s="1225"/>
      <c r="EW24" s="1225"/>
      <c r="EX24" s="1225"/>
      <c r="EY24" s="1225"/>
      <c r="EZ24" s="1225"/>
      <c r="FA24" s="1225"/>
      <c r="FB24" s="1225"/>
      <c r="FC24" s="1225"/>
      <c r="FD24" s="1225"/>
      <c r="FE24" s="1225"/>
      <c r="FF24" s="1225"/>
      <c r="FG24" s="1225"/>
      <c r="FH24" s="1225"/>
      <c r="FI24" s="1225"/>
      <c r="FJ24" s="1225"/>
      <c r="FK24" s="1225"/>
      <c r="FL24" s="1225"/>
      <c r="FM24" s="1225"/>
      <c r="FN24" s="1225"/>
      <c r="FO24" s="1225"/>
      <c r="FP24" s="1225"/>
      <c r="FQ24" s="1225"/>
      <c r="FR24" s="1225"/>
      <c r="FS24" s="1225"/>
      <c r="FT24" s="1225"/>
      <c r="FU24" s="1225"/>
      <c r="FV24" s="1225"/>
      <c r="FW24" s="1225"/>
      <c r="FX24" s="1225"/>
      <c r="FY24" s="1225"/>
      <c r="FZ24" s="1225"/>
      <c r="GA24" s="1225"/>
      <c r="GB24" s="1225"/>
      <c r="GC24" s="1225"/>
      <c r="GD24" s="1225"/>
      <c r="GE24" s="1225"/>
      <c r="GF24" s="1225"/>
      <c r="GG24" s="1225"/>
      <c r="GH24" s="1225"/>
      <c r="GI24" s="1225"/>
      <c r="GJ24" s="1225"/>
      <c r="GK24" s="1225"/>
      <c r="GL24" s="1225"/>
      <c r="GM24" s="1225"/>
      <c r="GN24" s="1225"/>
      <c r="GO24" s="1225"/>
      <c r="GP24" s="1225"/>
      <c r="GQ24" s="1225"/>
      <c r="GR24" s="1225"/>
      <c r="GS24" s="1225"/>
      <c r="GT24" s="1225"/>
      <c r="GU24" s="1225"/>
      <c r="GV24" s="1225"/>
      <c r="GW24" s="1225"/>
      <c r="GX24" s="1225"/>
      <c r="GY24" s="1225"/>
      <c r="GZ24" s="1225"/>
      <c r="HA24" s="1225"/>
      <c r="HB24" s="1225"/>
      <c r="HC24" s="1225"/>
      <c r="HD24" s="1225"/>
      <c r="HE24" s="1225"/>
      <c r="HF24" s="1225"/>
      <c r="HG24" s="1225"/>
      <c r="HH24" s="1225"/>
      <c r="HI24" s="1225"/>
      <c r="HJ24" s="1225"/>
      <c r="HK24" s="1225"/>
      <c r="HL24" s="1225"/>
      <c r="HM24" s="1225"/>
      <c r="HN24" s="1225"/>
      <c r="HO24" s="1225"/>
      <c r="HP24" s="1225"/>
      <c r="HQ24" s="1225"/>
      <c r="HR24" s="1225"/>
      <c r="HS24" s="1225"/>
      <c r="HT24" s="1225"/>
      <c r="HU24" s="1225"/>
      <c r="HV24" s="1225"/>
      <c r="HW24" s="1225"/>
      <c r="HX24" s="1225"/>
      <c r="HY24" s="1225"/>
      <c r="HZ24" s="1225"/>
      <c r="IA24" s="1225"/>
      <c r="IB24" s="1225"/>
      <c r="IC24" s="1225"/>
    </row>
    <row r="25" spans="1:237" ht="12.75" customHeight="1">
      <c r="A25" s="7"/>
      <c r="B25" s="136"/>
      <c r="C25" s="136"/>
      <c r="D25" s="136"/>
      <c r="E25" s="136"/>
      <c r="F25" s="136"/>
      <c r="G25" s="136"/>
      <c r="H25" s="136"/>
      <c r="I25" s="1520"/>
      <c r="J25" s="1520"/>
      <c r="K25" s="1"/>
      <c r="L25" s="6"/>
      <c r="M25" s="6"/>
      <c r="N25" s="6"/>
      <c r="O25" s="523"/>
      <c r="P25" s="408"/>
      <c r="Q25" s="408"/>
      <c r="R25" s="408"/>
      <c r="S25" s="408"/>
      <c r="T25" s="408"/>
      <c r="U25" s="408"/>
      <c r="V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46"/>
      <c r="CE25" s="446"/>
      <c r="CF25" s="446"/>
      <c r="CG25" s="446"/>
      <c r="CH25" s="446"/>
      <c r="CI25" s="446"/>
      <c r="CJ25" s="446"/>
      <c r="CK25" s="446"/>
      <c r="CL25" s="446"/>
      <c r="CM25" s="446"/>
      <c r="CN25" s="446"/>
      <c r="CO25" s="446"/>
      <c r="CP25" s="446"/>
      <c r="CQ25" s="446"/>
      <c r="CR25" s="446"/>
      <c r="CS25" s="446"/>
      <c r="CT25" s="446"/>
      <c r="CU25" s="446"/>
      <c r="CV25" s="446"/>
      <c r="CW25" s="446"/>
      <c r="CX25" s="446"/>
      <c r="CY25" s="446"/>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row>
    <row r="26" spans="1:237" ht="12.75" customHeight="1">
      <c r="A26" s="1"/>
      <c r="B26" s="136"/>
      <c r="C26" s="136"/>
      <c r="D26" s="136"/>
      <c r="E26" s="136"/>
      <c r="F26" s="136"/>
      <c r="G26" s="136"/>
      <c r="H26" s="136"/>
      <c r="I26" s="1520"/>
      <c r="J26" s="1520"/>
      <c r="K26" s="1"/>
      <c r="L26" s="6"/>
      <c r="M26" s="6"/>
      <c r="N26" s="6"/>
      <c r="O26" s="523"/>
      <c r="P26" s="408"/>
      <c r="Q26" s="408"/>
      <c r="R26" s="408"/>
      <c r="S26" s="408"/>
      <c r="T26" s="408"/>
      <c r="U26" s="408"/>
      <c r="V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c r="BC26" s="446"/>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6"/>
      <c r="CE26" s="446"/>
      <c r="CF26" s="446"/>
      <c r="CG26" s="446"/>
      <c r="CH26" s="446"/>
      <c r="CI26" s="446"/>
      <c r="CJ26" s="446"/>
      <c r="CK26" s="446"/>
      <c r="CL26" s="446"/>
      <c r="CM26" s="446"/>
      <c r="CN26" s="446"/>
      <c r="CO26" s="446"/>
      <c r="CP26" s="446"/>
      <c r="CQ26" s="446"/>
      <c r="CR26" s="446"/>
      <c r="CS26" s="446"/>
      <c r="CT26" s="446"/>
      <c r="CU26" s="446"/>
      <c r="CV26" s="446"/>
      <c r="CW26" s="446"/>
      <c r="CX26" s="446"/>
      <c r="CY26" s="446"/>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row>
    <row r="27" spans="1:237" ht="12.75" customHeight="1">
      <c r="A27" s="1"/>
      <c r="B27" s="1"/>
      <c r="C27" s="1"/>
      <c r="D27" s="1"/>
      <c r="E27" s="1"/>
      <c r="F27" s="1"/>
      <c r="G27" s="1"/>
      <c r="H27" s="1"/>
      <c r="I27" s="1"/>
      <c r="J27" s="1"/>
      <c r="K27" s="1"/>
      <c r="L27" s="6"/>
      <c r="M27" s="6"/>
      <c r="N27" s="6"/>
      <c r="O27" s="523"/>
      <c r="P27" s="408"/>
      <c r="Q27" s="408"/>
      <c r="R27" s="408"/>
      <c r="S27" s="408"/>
      <c r="T27" s="408"/>
      <c r="U27" s="408"/>
      <c r="V27" s="195"/>
      <c r="W27" s="470"/>
      <c r="X27" s="470"/>
      <c r="Y27" s="470"/>
      <c r="Z27" s="195"/>
      <c r="AA27" s="244"/>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c r="BT27" s="446"/>
      <c r="BU27" s="446"/>
      <c r="BV27" s="446"/>
      <c r="BW27" s="446"/>
      <c r="BX27" s="446"/>
      <c r="BY27" s="446"/>
      <c r="BZ27" s="446"/>
      <c r="CA27" s="446"/>
      <c r="CB27" s="446"/>
      <c r="CC27" s="446"/>
      <c r="CD27" s="446"/>
      <c r="CE27" s="446"/>
      <c r="CF27" s="446"/>
      <c r="CG27" s="446"/>
      <c r="CH27" s="446"/>
      <c r="CI27" s="446"/>
      <c r="CJ27" s="446"/>
      <c r="CK27" s="446"/>
      <c r="CL27" s="446"/>
      <c r="CM27" s="446"/>
      <c r="CN27" s="446"/>
      <c r="CO27" s="446"/>
      <c r="CP27" s="446"/>
      <c r="CQ27" s="446"/>
      <c r="CR27" s="446"/>
      <c r="CS27" s="446"/>
      <c r="CT27" s="446"/>
      <c r="CU27" s="446"/>
      <c r="CV27" s="446"/>
      <c r="CW27" s="446"/>
      <c r="CX27" s="446"/>
      <c r="CY27" s="446"/>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row>
    <row r="28" spans="1:237" ht="12.75" customHeight="1">
      <c r="A28" s="469"/>
      <c r="B28" s="761"/>
      <c r="C28" s="761"/>
      <c r="D28" s="761"/>
      <c r="E28" s="761"/>
      <c r="F28" s="761"/>
      <c r="G28" s="761"/>
      <c r="H28" s="761"/>
      <c r="I28" s="761"/>
      <c r="J28" s="761"/>
      <c r="K28" s="761"/>
      <c r="L28" s="6"/>
      <c r="M28" s="6"/>
      <c r="N28" s="6"/>
      <c r="O28" s="523"/>
      <c r="P28" s="408"/>
      <c r="Q28" s="408"/>
      <c r="R28" s="408"/>
      <c r="S28" s="408"/>
      <c r="T28" s="408"/>
      <c r="U28" s="408"/>
      <c r="V28" s="195"/>
      <c r="W28" s="470"/>
      <c r="X28" s="461"/>
      <c r="Y28" s="461"/>
      <c r="Z28" s="244" t="s">
        <v>729</v>
      </c>
      <c r="AA28" s="244" t="s">
        <v>733</v>
      </c>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6"/>
      <c r="BA28" s="446"/>
      <c r="BB28" s="446"/>
      <c r="BC28" s="446"/>
      <c r="BD28" s="446"/>
      <c r="BE28" s="446"/>
      <c r="BF28" s="446"/>
      <c r="BG28" s="446"/>
      <c r="BH28" s="446"/>
      <c r="BI28" s="446"/>
      <c r="BJ28" s="446"/>
      <c r="BK28" s="446"/>
      <c r="BL28" s="446"/>
      <c r="BM28" s="446"/>
      <c r="BN28" s="446"/>
      <c r="BO28" s="446"/>
      <c r="BP28" s="446"/>
      <c r="BQ28" s="446"/>
      <c r="BR28" s="446"/>
      <c r="BS28" s="446"/>
      <c r="BT28" s="446"/>
      <c r="BU28" s="446"/>
      <c r="BV28" s="446"/>
      <c r="BW28" s="446"/>
      <c r="BX28" s="446"/>
      <c r="BY28" s="446"/>
      <c r="BZ28" s="446"/>
      <c r="CA28" s="446"/>
      <c r="CB28" s="446"/>
      <c r="CC28" s="446"/>
      <c r="CD28" s="446"/>
      <c r="CE28" s="446"/>
      <c r="CF28" s="446"/>
      <c r="CG28" s="446"/>
      <c r="CH28" s="446"/>
      <c r="CI28" s="446"/>
      <c r="CJ28" s="446"/>
      <c r="CK28" s="446"/>
      <c r="CL28" s="446"/>
      <c r="CM28" s="446"/>
      <c r="CN28" s="446"/>
      <c r="CO28" s="446"/>
      <c r="CP28" s="446"/>
      <c r="CQ28" s="446"/>
      <c r="CR28" s="446"/>
      <c r="CS28" s="446"/>
      <c r="CT28" s="446"/>
      <c r="CU28" s="446"/>
      <c r="CV28" s="446"/>
      <c r="CW28" s="446"/>
      <c r="CX28" s="446"/>
      <c r="CY28" s="446"/>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row>
    <row r="29" spans="1:237" ht="14.15" customHeight="1">
      <c r="A29" s="995" t="s">
        <v>11</v>
      </c>
      <c r="B29" s="761"/>
      <c r="C29" s="761"/>
      <c r="D29" s="761"/>
      <c r="E29" s="761"/>
      <c r="F29" s="761"/>
      <c r="G29" s="761"/>
      <c r="H29" s="761"/>
      <c r="I29" s="761"/>
      <c r="J29" s="761"/>
      <c r="K29" s="761"/>
      <c r="L29" s="6"/>
      <c r="M29" s="6"/>
      <c r="N29" s="6"/>
      <c r="O29" s="523"/>
      <c r="P29" s="408"/>
      <c r="Q29" s="408"/>
      <c r="T29" s="408"/>
      <c r="U29" s="408"/>
      <c r="V29" s="195"/>
      <c r="W29" s="470"/>
      <c r="X29" s="461" t="s">
        <v>726</v>
      </c>
      <c r="Y29" s="462">
        <f>J11/1000000000</f>
        <v>27.976482000000001</v>
      </c>
      <c r="Z29" s="463" t="e">
        <f>Y29/#REF!</f>
        <v>#REF!</v>
      </c>
      <c r="AA29" s="244">
        <v>40</v>
      </c>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c r="BC29" s="446"/>
      <c r="BD29" s="446"/>
      <c r="BE29" s="446"/>
      <c r="BF29" s="446"/>
      <c r="BG29" s="446"/>
      <c r="BH29" s="446"/>
      <c r="BI29" s="446"/>
      <c r="BJ29" s="446"/>
      <c r="BK29" s="446"/>
      <c r="BL29" s="446"/>
      <c r="BM29" s="446"/>
      <c r="BN29" s="446"/>
      <c r="BO29" s="446"/>
      <c r="BP29" s="446"/>
      <c r="BQ29" s="446"/>
      <c r="BR29" s="446"/>
      <c r="BS29" s="446"/>
      <c r="BT29" s="446"/>
      <c r="BU29" s="446"/>
      <c r="BV29" s="446"/>
      <c r="BW29" s="446"/>
      <c r="BX29" s="446"/>
      <c r="BY29" s="446"/>
      <c r="BZ29" s="446"/>
      <c r="CA29" s="446"/>
      <c r="CB29" s="446"/>
      <c r="CC29" s="446"/>
      <c r="CD29" s="446"/>
      <c r="CE29" s="446"/>
      <c r="CF29" s="446"/>
      <c r="CG29" s="446"/>
      <c r="CH29" s="446"/>
      <c r="CI29" s="446"/>
      <c r="CJ29" s="446"/>
      <c r="CK29" s="446"/>
      <c r="CL29" s="446"/>
      <c r="CM29" s="446"/>
      <c r="CN29" s="446"/>
      <c r="CO29" s="446"/>
      <c r="CP29" s="446"/>
      <c r="CQ29" s="446"/>
      <c r="CR29" s="446"/>
      <c r="CS29" s="446"/>
      <c r="CT29" s="446"/>
      <c r="CU29" s="446"/>
      <c r="CV29" s="446"/>
      <c r="CW29" s="446"/>
      <c r="CX29" s="446"/>
      <c r="CY29" s="446"/>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row>
    <row r="30" spans="1:237" ht="14.15" customHeight="1">
      <c r="A30" s="762"/>
      <c r="B30" s="761"/>
      <c r="C30" s="761"/>
      <c r="D30" s="761"/>
      <c r="E30" s="761"/>
      <c r="F30" s="761"/>
      <c r="G30" s="761"/>
      <c r="H30" s="761"/>
      <c r="I30" s="761"/>
      <c r="J30" s="761"/>
      <c r="K30" s="761"/>
      <c r="L30" s="6"/>
      <c r="M30" s="6"/>
      <c r="N30" s="6"/>
      <c r="O30" s="523"/>
      <c r="P30" s="408"/>
      <c r="Q30" s="408"/>
      <c r="R30" s="669"/>
      <c r="S30" s="669"/>
      <c r="T30" s="408"/>
      <c r="U30" s="408"/>
      <c r="V30" s="195"/>
      <c r="W30" s="470"/>
      <c r="X30" s="461" t="s">
        <v>727</v>
      </c>
      <c r="Y30" s="462">
        <f>J12/1000000000</f>
        <v>1.6673819999999999</v>
      </c>
      <c r="Z30" s="463" t="e">
        <f>Y30/#REF!</f>
        <v>#REF!</v>
      </c>
      <c r="AA30" s="244">
        <v>2</v>
      </c>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c r="BC30" s="446"/>
      <c r="BD30" s="446"/>
      <c r="BE30" s="446"/>
      <c r="BF30" s="446"/>
      <c r="BG30" s="446"/>
      <c r="BH30" s="446"/>
      <c r="BI30" s="446"/>
      <c r="BJ30" s="446"/>
      <c r="BK30" s="446"/>
      <c r="BL30" s="446"/>
      <c r="BM30" s="446"/>
      <c r="BN30" s="446"/>
      <c r="BO30" s="446"/>
      <c r="BP30" s="446"/>
      <c r="BQ30" s="446"/>
      <c r="BR30" s="446"/>
      <c r="BS30" s="446"/>
      <c r="BT30" s="446"/>
      <c r="BU30" s="446"/>
      <c r="BV30" s="446"/>
      <c r="BW30" s="446"/>
      <c r="BX30" s="446"/>
      <c r="BY30" s="446"/>
      <c r="BZ30" s="446"/>
      <c r="CA30" s="446"/>
      <c r="CB30" s="446"/>
      <c r="CC30" s="446"/>
      <c r="CD30" s="446"/>
      <c r="CE30" s="446"/>
      <c r="CF30" s="446"/>
      <c r="CG30" s="446"/>
      <c r="CH30" s="446"/>
      <c r="CI30" s="446"/>
      <c r="CJ30" s="446"/>
      <c r="CK30" s="446"/>
      <c r="CL30" s="446"/>
      <c r="CM30" s="446"/>
      <c r="CN30" s="446"/>
      <c r="CO30" s="446"/>
      <c r="CP30" s="446"/>
      <c r="CQ30" s="446"/>
      <c r="CR30" s="446"/>
      <c r="CS30" s="446"/>
      <c r="CT30" s="446"/>
      <c r="CU30" s="446"/>
      <c r="CV30" s="446"/>
      <c r="CW30" s="446"/>
      <c r="CX30" s="446"/>
      <c r="CY30" s="446"/>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row>
    <row r="31" spans="1:237" ht="15.75" customHeight="1">
      <c r="A31" s="764" t="s">
        <v>12</v>
      </c>
      <c r="B31" s="763">
        <f t="shared" ref="B31:J31" si="8">B3</f>
        <v>2014</v>
      </c>
      <c r="C31" s="763" t="str">
        <f t="shared" si="8"/>
        <v>FY 2015</v>
      </c>
      <c r="D31" s="763" t="str">
        <f t="shared" si="8"/>
        <v>FY 2016</v>
      </c>
      <c r="E31" s="763" t="str">
        <f t="shared" si="8"/>
        <v>FY 2017</v>
      </c>
      <c r="F31" s="763" t="str">
        <f t="shared" si="8"/>
        <v>FY 2018</v>
      </c>
      <c r="G31" s="1176" t="str">
        <f t="shared" si="8"/>
        <v>FY 2019</v>
      </c>
      <c r="H31" s="1176" t="str">
        <f t="shared" si="8"/>
        <v>FY 2020</v>
      </c>
      <c r="I31" s="653" t="str">
        <f t="shared" si="8"/>
        <v>FY 2021</v>
      </c>
      <c r="J31" s="653" t="str">
        <f t="shared" si="8"/>
        <v>FY 2022</v>
      </c>
      <c r="K31" s="1694"/>
      <c r="L31" s="6"/>
      <c r="M31" s="6"/>
      <c r="N31" s="6"/>
      <c r="O31" s="523"/>
      <c r="P31" s="408"/>
      <c r="Q31" s="408"/>
      <c r="R31" s="669"/>
      <c r="S31" s="669"/>
      <c r="T31" s="408"/>
      <c r="U31" s="408"/>
      <c r="V31" s="195"/>
      <c r="W31" s="470"/>
      <c r="X31" s="461" t="s">
        <v>728</v>
      </c>
      <c r="Y31" s="462">
        <f>J17/1000000000</f>
        <v>44.303398000000001</v>
      </c>
      <c r="Z31" s="463" t="e">
        <f>Y31/#REF!</f>
        <v>#REF!</v>
      </c>
      <c r="AA31" s="244">
        <v>56</v>
      </c>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6"/>
      <c r="BV31" s="446"/>
      <c r="BW31" s="446"/>
      <c r="BX31" s="446"/>
      <c r="BY31" s="446"/>
      <c r="BZ31" s="446"/>
      <c r="CA31" s="446"/>
      <c r="CB31" s="446"/>
      <c r="CC31" s="446"/>
      <c r="CD31" s="446"/>
      <c r="CE31" s="446"/>
      <c r="CF31" s="446"/>
      <c r="CG31" s="446"/>
      <c r="CH31" s="446"/>
      <c r="CI31" s="446"/>
      <c r="CJ31" s="446"/>
      <c r="CK31" s="446"/>
      <c r="CL31" s="446"/>
      <c r="CM31" s="446"/>
      <c r="CN31" s="446"/>
      <c r="CO31" s="446"/>
      <c r="CP31" s="446"/>
      <c r="CQ31" s="446"/>
      <c r="CR31" s="446"/>
      <c r="CS31" s="446"/>
      <c r="CT31" s="446"/>
      <c r="CU31" s="446"/>
      <c r="CV31" s="446"/>
      <c r="CW31" s="446"/>
      <c r="CX31" s="446"/>
      <c r="CY31" s="446"/>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row>
    <row r="32" spans="1:237" ht="24" customHeight="1">
      <c r="A32" s="761" t="s">
        <v>13</v>
      </c>
      <c r="B32" s="765"/>
      <c r="C32" s="765"/>
      <c r="D32" s="765"/>
      <c r="E32" s="765"/>
      <c r="F32" s="765"/>
      <c r="G32" s="765"/>
      <c r="H32" s="765">
        <f>46141801.78</f>
        <v>46141801.780000001</v>
      </c>
      <c r="I32" s="765">
        <v>49790482.079999998</v>
      </c>
      <c r="J32" s="765">
        <v>53009157.850000001</v>
      </c>
      <c r="K32" s="1695"/>
      <c r="L32" s="1696"/>
      <c r="M32" s="1696"/>
      <c r="N32" s="1696"/>
      <c r="O32" s="523"/>
      <c r="P32" s="408"/>
      <c r="Q32" s="408"/>
      <c r="R32" s="670"/>
      <c r="S32" s="670"/>
      <c r="T32" s="408"/>
      <c r="U32" s="408"/>
      <c r="V32" s="195"/>
      <c r="W32" s="470"/>
      <c r="X32" s="461"/>
      <c r="Y32" s="461">
        <f>34.3+1.4+1.6+62.7</f>
        <v>100</v>
      </c>
      <c r="Z32" s="244"/>
      <c r="AA32" s="244"/>
      <c r="AB32" s="446"/>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c r="AZ32" s="446"/>
      <c r="BA32" s="446"/>
      <c r="BB32" s="446"/>
      <c r="BC32" s="446"/>
      <c r="BD32" s="446"/>
      <c r="BE32" s="446"/>
      <c r="BF32" s="446"/>
      <c r="BG32" s="446"/>
      <c r="BH32" s="446"/>
      <c r="BI32" s="446"/>
      <c r="BJ32" s="446"/>
      <c r="BK32" s="446"/>
      <c r="BL32" s="446"/>
      <c r="BM32" s="446"/>
      <c r="BN32" s="446"/>
      <c r="BO32" s="446"/>
      <c r="BP32" s="446"/>
      <c r="BQ32" s="446"/>
      <c r="BR32" s="446"/>
      <c r="BS32" s="446"/>
      <c r="BT32" s="446"/>
      <c r="BU32" s="446"/>
      <c r="BV32" s="446"/>
      <c r="BW32" s="446"/>
      <c r="BX32" s="446"/>
      <c r="BY32" s="446"/>
      <c r="BZ32" s="446"/>
      <c r="CA32" s="446"/>
      <c r="CB32" s="446"/>
      <c r="CC32" s="446"/>
      <c r="CD32" s="446"/>
      <c r="CE32" s="446"/>
      <c r="CF32" s="446"/>
      <c r="CG32" s="446"/>
      <c r="CH32" s="446"/>
      <c r="CI32" s="446"/>
      <c r="CJ32" s="446"/>
      <c r="CK32" s="446"/>
      <c r="CL32" s="446"/>
      <c r="CM32" s="446"/>
      <c r="CN32" s="446"/>
      <c r="CO32" s="446"/>
      <c r="CP32" s="446"/>
      <c r="CQ32" s="446"/>
      <c r="CR32" s="446"/>
      <c r="CS32" s="446"/>
      <c r="CT32" s="446"/>
      <c r="CU32" s="446"/>
      <c r="CV32" s="446"/>
      <c r="CW32" s="446"/>
      <c r="CX32" s="446"/>
      <c r="CY32" s="446"/>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row>
    <row r="33" spans="1:237" ht="15" customHeight="1">
      <c r="A33" s="761" t="s">
        <v>14</v>
      </c>
      <c r="B33" s="766"/>
      <c r="C33" s="766"/>
      <c r="D33" s="766"/>
      <c r="E33" s="766"/>
      <c r="F33" s="766"/>
      <c r="G33" s="766"/>
      <c r="H33" s="766">
        <f>4532077.97</f>
        <v>4532077.97</v>
      </c>
      <c r="I33" s="766">
        <v>4206599.4400000004</v>
      </c>
      <c r="J33" s="766">
        <v>4272472.38</v>
      </c>
      <c r="K33" s="1695"/>
      <c r="L33" s="1696"/>
      <c r="M33" s="1696"/>
      <c r="N33" s="1696"/>
      <c r="O33" s="523"/>
      <c r="P33" s="408"/>
      <c r="Q33" s="408"/>
      <c r="R33" s="671"/>
      <c r="S33" s="671"/>
      <c r="T33" s="408"/>
      <c r="U33" s="408"/>
      <c r="V33" s="195"/>
      <c r="W33" s="470"/>
      <c r="X33" s="470"/>
      <c r="Y33" s="470"/>
      <c r="Z33" s="195"/>
      <c r="AA33" s="244"/>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446"/>
      <c r="BD33" s="446"/>
      <c r="BE33" s="446"/>
      <c r="BF33" s="446"/>
      <c r="BG33" s="446"/>
      <c r="BH33" s="446"/>
      <c r="BI33" s="446"/>
      <c r="BJ33" s="446"/>
      <c r="BK33" s="446"/>
      <c r="BL33" s="446"/>
      <c r="BM33" s="446"/>
      <c r="BN33" s="446"/>
      <c r="BO33" s="446"/>
      <c r="BP33" s="446"/>
      <c r="BQ33" s="446"/>
      <c r="BR33" s="446"/>
      <c r="BS33" s="446"/>
      <c r="BT33" s="446"/>
      <c r="BU33" s="446"/>
      <c r="BV33" s="446"/>
      <c r="BW33" s="446"/>
      <c r="BX33" s="446"/>
      <c r="BY33" s="446"/>
      <c r="BZ33" s="446"/>
      <c r="CA33" s="446"/>
      <c r="CB33" s="446"/>
      <c r="CC33" s="446"/>
      <c r="CD33" s="446"/>
      <c r="CE33" s="446"/>
      <c r="CF33" s="446"/>
      <c r="CG33" s="446"/>
      <c r="CH33" s="446"/>
      <c r="CI33" s="446"/>
      <c r="CJ33" s="446"/>
      <c r="CK33" s="446"/>
      <c r="CL33" s="446"/>
      <c r="CM33" s="446"/>
      <c r="CN33" s="446"/>
      <c r="CO33" s="446"/>
      <c r="CP33" s="446"/>
      <c r="CQ33" s="446"/>
      <c r="CR33" s="446"/>
      <c r="CS33" s="446"/>
      <c r="CT33" s="446"/>
      <c r="CU33" s="446"/>
      <c r="CV33" s="446"/>
      <c r="CW33" s="446"/>
      <c r="CX33" s="446"/>
      <c r="CY33" s="446"/>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row>
    <row r="34" spans="1:237" ht="15" customHeight="1">
      <c r="A34" s="464" t="s">
        <v>820</v>
      </c>
      <c r="B34" s="767"/>
      <c r="C34" s="767"/>
      <c r="D34" s="767"/>
      <c r="E34" s="767"/>
      <c r="F34" s="767"/>
      <c r="G34" s="767"/>
      <c r="H34" s="767">
        <f>754884.83-223900</f>
        <v>530984.82999999996</v>
      </c>
      <c r="I34" s="766">
        <f>690221.06-93078.62</f>
        <v>597142.44000000006</v>
      </c>
      <c r="J34" s="766">
        <v>556301.28999999992</v>
      </c>
      <c r="K34" s="1695"/>
      <c r="L34" s="1696"/>
      <c r="M34" s="1696"/>
      <c r="N34" s="1696"/>
      <c r="O34" s="523"/>
      <c r="P34" s="408"/>
      <c r="Q34" s="408"/>
      <c r="R34" s="672"/>
      <c r="S34" s="672"/>
      <c r="T34" s="408"/>
      <c r="U34" s="408"/>
      <c r="V34" s="195"/>
      <c r="W34" s="470"/>
      <c r="X34" s="470"/>
      <c r="Y34" s="470"/>
      <c r="Z34" s="195"/>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6"/>
      <c r="BJ34" s="446"/>
      <c r="BK34" s="446"/>
      <c r="BL34" s="446"/>
      <c r="BM34" s="446"/>
      <c r="BN34" s="446"/>
      <c r="BO34" s="446"/>
      <c r="BP34" s="446"/>
      <c r="BQ34" s="446"/>
      <c r="BR34" s="446"/>
      <c r="BS34" s="446"/>
      <c r="BT34" s="446"/>
      <c r="BU34" s="446"/>
      <c r="BV34" s="446"/>
      <c r="BW34" s="446"/>
      <c r="BX34" s="446"/>
      <c r="BY34" s="446"/>
      <c r="BZ34" s="446"/>
      <c r="CA34" s="446"/>
      <c r="CB34" s="446"/>
      <c r="CC34" s="446"/>
      <c r="CD34" s="446"/>
      <c r="CE34" s="446"/>
      <c r="CF34" s="446"/>
      <c r="CG34" s="446"/>
      <c r="CH34" s="446"/>
      <c r="CI34" s="446"/>
      <c r="CJ34" s="446"/>
      <c r="CK34" s="446"/>
      <c r="CL34" s="446"/>
      <c r="CM34" s="446"/>
      <c r="CN34" s="446"/>
      <c r="CO34" s="446"/>
      <c r="CP34" s="446"/>
      <c r="CQ34" s="446"/>
      <c r="CR34" s="446"/>
      <c r="CS34" s="446"/>
      <c r="CT34" s="446"/>
      <c r="CU34" s="446"/>
      <c r="CV34" s="446"/>
      <c r="CW34" s="446"/>
      <c r="CX34" s="446"/>
      <c r="CY34" s="446"/>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row>
    <row r="35" spans="1:237" ht="24" customHeight="1">
      <c r="A35" s="1177" t="s">
        <v>15</v>
      </c>
      <c r="B35" s="1178"/>
      <c r="C35" s="1178"/>
      <c r="D35" s="1178"/>
      <c r="E35" s="1178"/>
      <c r="F35" s="1178"/>
      <c r="G35" s="1178"/>
      <c r="H35" s="1178">
        <f>50055446.57</f>
        <v>50055446.57</v>
      </c>
      <c r="I35" s="1178">
        <v>45005355.57</v>
      </c>
      <c r="J35" s="1178">
        <v>50107750.920000002</v>
      </c>
      <c r="K35" s="1695"/>
      <c r="L35" s="1696"/>
      <c r="M35" s="1696"/>
      <c r="N35" s="1696"/>
      <c r="O35" s="523"/>
      <c r="P35" s="408"/>
      <c r="Q35" s="408"/>
      <c r="R35" s="672"/>
      <c r="S35" s="672"/>
      <c r="T35" s="408"/>
      <c r="U35" s="408"/>
      <c r="V35" s="195"/>
      <c r="W35" s="470"/>
      <c r="X35" s="470"/>
      <c r="Y35" s="470"/>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6"/>
      <c r="AW35" s="446"/>
      <c r="AX35" s="446"/>
      <c r="AY35" s="446"/>
      <c r="AZ35" s="446"/>
      <c r="BA35" s="446"/>
      <c r="BB35" s="446"/>
      <c r="BC35" s="446"/>
      <c r="BD35" s="446"/>
      <c r="BE35" s="446"/>
      <c r="BF35" s="446"/>
      <c r="BG35" s="446"/>
      <c r="BH35" s="446"/>
      <c r="BI35" s="446"/>
      <c r="BJ35" s="446"/>
      <c r="BK35" s="446"/>
      <c r="BL35" s="446"/>
      <c r="BM35" s="446"/>
      <c r="BN35" s="446"/>
      <c r="BO35" s="446"/>
      <c r="BP35" s="446"/>
      <c r="BQ35" s="446"/>
      <c r="BR35" s="446"/>
      <c r="BS35" s="446"/>
      <c r="BT35" s="446"/>
      <c r="BU35" s="446"/>
      <c r="BV35" s="446"/>
      <c r="BW35" s="446"/>
      <c r="BX35" s="446"/>
      <c r="BY35" s="446"/>
      <c r="BZ35" s="446"/>
      <c r="CA35" s="446"/>
      <c r="CB35" s="446"/>
      <c r="CC35" s="446"/>
      <c r="CD35" s="446"/>
      <c r="CE35" s="446"/>
      <c r="CF35" s="446"/>
      <c r="CG35" s="446"/>
      <c r="CH35" s="446"/>
      <c r="CI35" s="446"/>
      <c r="CJ35" s="446"/>
      <c r="CK35" s="446"/>
      <c r="CL35" s="446"/>
      <c r="CM35" s="446"/>
      <c r="CN35" s="446"/>
      <c r="CO35" s="446"/>
      <c r="CP35" s="446"/>
      <c r="CQ35" s="446"/>
      <c r="CR35" s="446"/>
      <c r="CS35" s="446"/>
      <c r="CT35" s="446"/>
      <c r="CU35" s="446"/>
      <c r="CV35" s="446"/>
      <c r="CW35" s="446"/>
      <c r="CX35" s="446"/>
      <c r="CY35" s="446"/>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row>
    <row r="36" spans="1:237" ht="15.75" customHeight="1" thickBot="1">
      <c r="A36" s="768" t="s">
        <v>16</v>
      </c>
      <c r="B36" s="1164">
        <f t="shared" ref="B36:J36" si="9">SUM(B32:B35)</f>
        <v>0</v>
      </c>
      <c r="C36" s="1164">
        <f t="shared" si="9"/>
        <v>0</v>
      </c>
      <c r="D36" s="1164">
        <f t="shared" si="9"/>
        <v>0</v>
      </c>
      <c r="E36" s="1164">
        <f t="shared" si="9"/>
        <v>0</v>
      </c>
      <c r="F36" s="1164">
        <f t="shared" si="9"/>
        <v>0</v>
      </c>
      <c r="G36" s="1164">
        <f t="shared" si="9"/>
        <v>0</v>
      </c>
      <c r="H36" s="1164">
        <f t="shared" ref="H36" si="10">SUM(H32:H35)</f>
        <v>101260311.15000001</v>
      </c>
      <c r="I36" s="1697">
        <f t="shared" si="9"/>
        <v>99599579.530000001</v>
      </c>
      <c r="J36" s="1697">
        <f t="shared" si="9"/>
        <v>107945682.44</v>
      </c>
      <c r="K36" s="765"/>
      <c r="L36" s="1698"/>
      <c r="M36" s="1698"/>
      <c r="N36" s="1698"/>
      <c r="O36" s="523"/>
      <c r="P36" s="408"/>
      <c r="Q36" s="408"/>
      <c r="R36" s="672"/>
      <c r="S36" s="672"/>
      <c r="T36" s="408"/>
      <c r="U36" s="408"/>
      <c r="V36" s="195"/>
      <c r="W36" s="470"/>
      <c r="X36" s="470"/>
      <c r="Y36" s="470"/>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46"/>
      <c r="BA36" s="446"/>
      <c r="BB36" s="446"/>
      <c r="BC36" s="446"/>
      <c r="BD36" s="446"/>
      <c r="BE36" s="446"/>
      <c r="BF36" s="446"/>
      <c r="BG36" s="446"/>
      <c r="BH36" s="446"/>
      <c r="BI36" s="446"/>
      <c r="BJ36" s="446"/>
      <c r="BK36" s="446"/>
      <c r="BL36" s="446"/>
      <c r="BM36" s="446"/>
      <c r="BN36" s="446"/>
      <c r="BO36" s="446"/>
      <c r="BP36" s="446"/>
      <c r="BQ36" s="446"/>
      <c r="BR36" s="446"/>
      <c r="BS36" s="446"/>
      <c r="BT36" s="446"/>
      <c r="BU36" s="446"/>
      <c r="BV36" s="446"/>
      <c r="BW36" s="446"/>
      <c r="BX36" s="446"/>
      <c r="BY36" s="446"/>
      <c r="BZ36" s="446"/>
      <c r="CA36" s="446"/>
      <c r="CB36" s="446"/>
      <c r="CC36" s="446"/>
      <c r="CD36" s="446"/>
      <c r="CE36" s="446"/>
      <c r="CF36" s="446"/>
      <c r="CG36" s="446"/>
      <c r="CH36" s="446"/>
      <c r="CI36" s="446"/>
      <c r="CJ36" s="446"/>
      <c r="CK36" s="446"/>
      <c r="CL36" s="446"/>
      <c r="CM36" s="446"/>
      <c r="CN36" s="446"/>
      <c r="CO36" s="446"/>
      <c r="CP36" s="446"/>
      <c r="CQ36" s="446"/>
      <c r="CR36" s="446"/>
      <c r="CS36" s="446"/>
      <c r="CT36" s="446"/>
      <c r="CU36" s="446"/>
      <c r="CV36" s="446"/>
      <c r="CW36" s="446"/>
      <c r="CX36" s="446"/>
      <c r="CY36" s="446"/>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row>
    <row r="37" spans="1:237" ht="14.15" customHeight="1" thickTop="1">
      <c r="A37" s="769"/>
      <c r="B37" s="1165"/>
      <c r="C37" s="1165"/>
      <c r="D37" s="1165"/>
      <c r="E37" s="1165"/>
      <c r="F37" s="1165"/>
      <c r="G37" s="1165"/>
      <c r="H37" s="1165"/>
      <c r="I37" s="1699"/>
      <c r="J37" s="1699"/>
      <c r="K37" s="765"/>
      <c r="L37" s="6"/>
      <c r="M37" s="6"/>
      <c r="N37" s="6"/>
      <c r="O37" s="523"/>
      <c r="P37" s="408"/>
      <c r="Q37" s="408"/>
      <c r="R37" s="669"/>
      <c r="S37" s="669"/>
      <c r="T37" s="408"/>
      <c r="U37" s="408"/>
      <c r="V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6"/>
      <c r="BC37" s="446"/>
      <c r="BD37" s="446"/>
      <c r="BE37" s="446"/>
      <c r="BF37" s="446"/>
      <c r="BG37" s="446"/>
      <c r="BH37" s="446"/>
      <c r="BI37" s="446"/>
      <c r="BJ37" s="446"/>
      <c r="BK37" s="446"/>
      <c r="BL37" s="446"/>
      <c r="BM37" s="446"/>
      <c r="BN37" s="446"/>
      <c r="BO37" s="446"/>
      <c r="BP37" s="446"/>
      <c r="BQ37" s="446"/>
      <c r="BR37" s="446"/>
      <c r="BS37" s="446"/>
      <c r="BT37" s="446"/>
      <c r="BU37" s="446"/>
      <c r="BV37" s="446"/>
      <c r="BW37" s="446"/>
      <c r="BX37" s="446"/>
      <c r="BY37" s="446"/>
      <c r="BZ37" s="446"/>
      <c r="CA37" s="446"/>
      <c r="CB37" s="446"/>
      <c r="CC37" s="446"/>
      <c r="CD37" s="446"/>
      <c r="CE37" s="446"/>
      <c r="CF37" s="446"/>
      <c r="CG37" s="446"/>
      <c r="CH37" s="446"/>
      <c r="CI37" s="446"/>
      <c r="CJ37" s="446"/>
      <c r="CK37" s="446"/>
      <c r="CL37" s="446"/>
      <c r="CM37" s="446"/>
      <c r="CN37" s="446"/>
      <c r="CO37" s="446"/>
      <c r="CP37" s="446"/>
      <c r="CQ37" s="446"/>
      <c r="CR37" s="446"/>
      <c r="CS37" s="446"/>
      <c r="CT37" s="446"/>
      <c r="CU37" s="446"/>
      <c r="CV37" s="446"/>
      <c r="CW37" s="446"/>
      <c r="CX37" s="446"/>
      <c r="CY37" s="446"/>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row>
    <row r="38" spans="1:237" ht="15.75" customHeight="1">
      <c r="A38" s="764" t="s">
        <v>17</v>
      </c>
      <c r="B38" s="1166">
        <f t="shared" ref="B38:J38" si="11">B36/B13*100</f>
        <v>0</v>
      </c>
      <c r="C38" s="1166">
        <f t="shared" si="11"/>
        <v>0</v>
      </c>
      <c r="D38" s="1166">
        <f t="shared" si="11"/>
        <v>0</v>
      </c>
      <c r="E38" s="1166">
        <f t="shared" si="11"/>
        <v>0</v>
      </c>
      <c r="F38" s="1166">
        <f t="shared" si="11"/>
        <v>0</v>
      </c>
      <c r="G38" s="1166">
        <f t="shared" si="11"/>
        <v>0</v>
      </c>
      <c r="H38" s="1166">
        <f t="shared" si="11"/>
        <v>0.45535122302893066</v>
      </c>
      <c r="I38" s="1700">
        <f t="shared" si="11"/>
        <v>0.38966023412888784</v>
      </c>
      <c r="J38" s="1700">
        <f t="shared" si="11"/>
        <v>0.36414174090125362</v>
      </c>
      <c r="K38" s="1701"/>
      <c r="L38" s="6"/>
      <c r="M38" s="6"/>
      <c r="N38" s="6"/>
      <c r="O38" s="523"/>
      <c r="P38" s="408"/>
      <c r="T38" s="408"/>
      <c r="U38" s="408"/>
      <c r="V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c r="BB38" s="446"/>
      <c r="BC38" s="446"/>
      <c r="BD38" s="446"/>
      <c r="BE38" s="446"/>
      <c r="BF38" s="446"/>
      <c r="BG38" s="446"/>
      <c r="BH38" s="446"/>
      <c r="BI38" s="446"/>
      <c r="BJ38" s="446"/>
      <c r="BK38" s="446"/>
      <c r="BL38" s="446"/>
      <c r="BM38" s="446"/>
      <c r="BN38" s="446"/>
      <c r="BO38" s="446"/>
      <c r="BP38" s="446"/>
      <c r="BQ38" s="446"/>
      <c r="BR38" s="446"/>
      <c r="BS38" s="446"/>
      <c r="BT38" s="446"/>
      <c r="BU38" s="446"/>
      <c r="BV38" s="446"/>
      <c r="BW38" s="446"/>
      <c r="BX38" s="446"/>
      <c r="BY38" s="446"/>
      <c r="BZ38" s="446"/>
      <c r="CA38" s="446"/>
      <c r="CB38" s="446"/>
      <c r="CC38" s="446"/>
      <c r="CD38" s="446"/>
      <c r="CE38" s="446"/>
      <c r="CF38" s="446"/>
      <c r="CG38" s="446"/>
      <c r="CH38" s="446"/>
      <c r="CI38" s="446"/>
      <c r="CJ38" s="446"/>
      <c r="CK38" s="446"/>
      <c r="CL38" s="446"/>
      <c r="CM38" s="446"/>
      <c r="CN38" s="446"/>
      <c r="CO38" s="446"/>
      <c r="CP38" s="446"/>
      <c r="CQ38" s="446"/>
      <c r="CR38" s="446"/>
      <c r="CS38" s="446"/>
      <c r="CT38" s="446"/>
      <c r="CU38" s="446"/>
      <c r="CV38" s="446"/>
      <c r="CW38" s="446"/>
      <c r="CX38" s="446"/>
      <c r="CY38" s="446"/>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row>
    <row r="39" spans="1:237" ht="14.15" customHeight="1">
      <c r="A39" s="8"/>
      <c r="B39" s="7"/>
      <c r="C39" s="7"/>
      <c r="D39" s="7"/>
      <c r="E39" s="7"/>
      <c r="F39" s="7"/>
      <c r="G39" s="7"/>
      <c r="H39" s="7"/>
      <c r="I39" s="7"/>
      <c r="J39" s="7"/>
      <c r="K39" s="7"/>
      <c r="L39" s="6"/>
      <c r="M39" s="6"/>
      <c r="N39" s="6"/>
      <c r="O39" s="523"/>
      <c r="P39" s="408"/>
      <c r="T39" s="408"/>
      <c r="U39" s="408"/>
      <c r="V39" s="446"/>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6"/>
      <c r="AW39" s="446"/>
      <c r="AX39" s="446"/>
      <c r="AY39" s="446"/>
      <c r="AZ39" s="446"/>
      <c r="BA39" s="446"/>
      <c r="BB39" s="446"/>
      <c r="BC39" s="446"/>
      <c r="BD39" s="446"/>
      <c r="BE39" s="446"/>
      <c r="BF39" s="446"/>
      <c r="BG39" s="446"/>
      <c r="BH39" s="446"/>
      <c r="BI39" s="446"/>
      <c r="BJ39" s="446"/>
      <c r="BK39" s="446"/>
      <c r="BL39" s="446"/>
      <c r="BM39" s="446"/>
      <c r="BN39" s="446"/>
      <c r="BO39" s="446"/>
      <c r="BP39" s="446"/>
      <c r="BQ39" s="446"/>
      <c r="BR39" s="446"/>
      <c r="BS39" s="446"/>
      <c r="BT39" s="446"/>
      <c r="BU39" s="446"/>
      <c r="BV39" s="446"/>
      <c r="BW39" s="446"/>
      <c r="BX39" s="446"/>
      <c r="BY39" s="446"/>
      <c r="BZ39" s="446"/>
      <c r="CA39" s="446"/>
      <c r="CB39" s="446"/>
      <c r="CC39" s="446"/>
      <c r="CD39" s="446"/>
      <c r="CE39" s="446"/>
      <c r="CF39" s="446"/>
      <c r="CG39" s="446"/>
      <c r="CH39" s="446"/>
      <c r="CI39" s="446"/>
      <c r="CJ39" s="446"/>
      <c r="CK39" s="446"/>
      <c r="CL39" s="446"/>
      <c r="CM39" s="446"/>
      <c r="CN39" s="446"/>
      <c r="CO39" s="446"/>
      <c r="CP39" s="446"/>
      <c r="CQ39" s="446"/>
      <c r="CR39" s="446"/>
      <c r="CS39" s="446"/>
      <c r="CT39" s="446"/>
      <c r="CU39" s="446"/>
      <c r="CV39" s="446"/>
      <c r="CW39" s="446"/>
      <c r="CX39" s="446"/>
      <c r="CY39" s="446"/>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row>
    <row r="40" spans="1:237" s="1226" customFormat="1" ht="10" customHeight="1">
      <c r="A40" s="1220" t="s">
        <v>18</v>
      </c>
      <c r="B40" s="1225"/>
      <c r="C40" s="1225"/>
      <c r="D40" s="1225"/>
      <c r="E40" s="1225"/>
      <c r="F40" s="1225"/>
      <c r="G40" s="1225"/>
      <c r="H40" s="1225"/>
      <c r="I40" s="1259"/>
      <c r="J40" s="1259"/>
      <c r="K40" s="1259"/>
      <c r="L40" s="1693"/>
      <c r="M40" s="1693"/>
      <c r="N40" s="1693"/>
      <c r="O40" s="1227"/>
      <c r="P40" s="1225"/>
      <c r="Q40" s="1225"/>
      <c r="R40" s="1225"/>
      <c r="S40" s="1225"/>
      <c r="T40" s="1225"/>
      <c r="U40" s="1225"/>
      <c r="V40" s="1225"/>
      <c r="W40" s="1225"/>
      <c r="X40" s="1225"/>
      <c r="Y40" s="1225"/>
      <c r="Z40" s="1225"/>
      <c r="AA40" s="1225"/>
      <c r="AB40" s="1225"/>
      <c r="AC40" s="1225"/>
      <c r="AD40" s="1225"/>
      <c r="AE40" s="1225"/>
      <c r="AF40" s="1225"/>
      <c r="AG40" s="1225"/>
      <c r="AH40" s="1225"/>
      <c r="AI40" s="1225"/>
      <c r="AJ40" s="1225"/>
      <c r="AK40" s="1225"/>
      <c r="AL40" s="1225"/>
      <c r="AM40" s="1225"/>
      <c r="AN40" s="1225"/>
      <c r="AO40" s="1225"/>
      <c r="AP40" s="1225"/>
      <c r="AQ40" s="1225"/>
      <c r="AR40" s="1225"/>
      <c r="AS40" s="1225"/>
      <c r="AT40" s="1225"/>
      <c r="AU40" s="1225"/>
      <c r="AV40" s="1225"/>
      <c r="AW40" s="1225"/>
      <c r="AX40" s="1225"/>
      <c r="AY40" s="1225"/>
      <c r="AZ40" s="1225"/>
      <c r="BA40" s="1225"/>
      <c r="BB40" s="1225"/>
      <c r="BC40" s="1225"/>
      <c r="BD40" s="1225"/>
      <c r="BE40" s="1225"/>
      <c r="BF40" s="1225"/>
      <c r="BG40" s="1225"/>
      <c r="BH40" s="1225"/>
      <c r="BI40" s="1225"/>
      <c r="BJ40" s="1225"/>
      <c r="BK40" s="1225"/>
      <c r="BL40" s="1225"/>
      <c r="BM40" s="1225"/>
      <c r="BN40" s="1225"/>
      <c r="BO40" s="1225"/>
      <c r="BP40" s="1225"/>
      <c r="BQ40" s="1225"/>
      <c r="BR40" s="1225"/>
      <c r="BS40" s="1225"/>
      <c r="BT40" s="1225"/>
      <c r="BU40" s="1225"/>
      <c r="BV40" s="1225"/>
      <c r="BW40" s="1225"/>
      <c r="BX40" s="1225"/>
      <c r="BY40" s="1225"/>
      <c r="BZ40" s="1225"/>
      <c r="CA40" s="1225"/>
      <c r="CB40" s="1225"/>
      <c r="CC40" s="1225"/>
      <c r="CD40" s="1225"/>
      <c r="CE40" s="1225"/>
      <c r="CF40" s="1225"/>
      <c r="CG40" s="1225"/>
      <c r="CH40" s="1225"/>
      <c r="CI40" s="1225"/>
      <c r="CJ40" s="1225"/>
      <c r="CK40" s="1225"/>
      <c r="CL40" s="1225"/>
      <c r="CM40" s="1225"/>
      <c r="CN40" s="1225"/>
      <c r="CO40" s="1225"/>
      <c r="CP40" s="1225"/>
      <c r="CQ40" s="1225"/>
      <c r="CR40" s="1225"/>
      <c r="CS40" s="1225"/>
      <c r="CT40" s="1225"/>
      <c r="CU40" s="1225"/>
      <c r="CV40" s="1225"/>
      <c r="CW40" s="1225"/>
      <c r="CX40" s="1225"/>
      <c r="CY40" s="1225"/>
      <c r="CZ40" s="1225"/>
      <c r="DA40" s="1225"/>
      <c r="DB40" s="1225"/>
      <c r="DC40" s="1225"/>
      <c r="DD40" s="1225"/>
      <c r="DE40" s="1225"/>
      <c r="DF40" s="1225"/>
      <c r="DG40" s="1225"/>
      <c r="DH40" s="1225"/>
      <c r="DI40" s="1225"/>
      <c r="DJ40" s="1225"/>
      <c r="DK40" s="1225"/>
      <c r="DL40" s="1225"/>
      <c r="DM40" s="1225"/>
      <c r="DN40" s="1225"/>
      <c r="DO40" s="1225"/>
      <c r="DP40" s="1225"/>
      <c r="DQ40" s="1225"/>
      <c r="DR40" s="1225"/>
      <c r="DS40" s="1225"/>
      <c r="DT40" s="1225"/>
      <c r="DU40" s="1225"/>
      <c r="DV40" s="1225"/>
      <c r="DW40" s="1225"/>
      <c r="DX40" s="1225"/>
      <c r="DY40" s="1225"/>
      <c r="DZ40" s="1225"/>
      <c r="EA40" s="1225"/>
      <c r="EB40" s="1225"/>
      <c r="EC40" s="1225"/>
      <c r="ED40" s="1225"/>
      <c r="EE40" s="1225"/>
      <c r="EF40" s="1225"/>
      <c r="EG40" s="1225"/>
      <c r="EH40" s="1225"/>
      <c r="EI40" s="1225"/>
      <c r="EJ40" s="1225"/>
      <c r="EK40" s="1225"/>
      <c r="EL40" s="1225"/>
      <c r="EM40" s="1225"/>
      <c r="EN40" s="1225"/>
      <c r="EO40" s="1225"/>
      <c r="EP40" s="1225"/>
      <c r="EQ40" s="1225"/>
      <c r="ER40" s="1225"/>
      <c r="ES40" s="1225"/>
      <c r="ET40" s="1225"/>
      <c r="EU40" s="1225"/>
      <c r="EV40" s="1225"/>
      <c r="EW40" s="1225"/>
      <c r="EX40" s="1225"/>
      <c r="EY40" s="1225"/>
      <c r="EZ40" s="1225"/>
      <c r="FA40" s="1225"/>
      <c r="FB40" s="1225"/>
      <c r="FC40" s="1225"/>
      <c r="FD40" s="1225"/>
      <c r="FE40" s="1225"/>
      <c r="FF40" s="1225"/>
      <c r="FG40" s="1225"/>
      <c r="FH40" s="1225"/>
      <c r="FI40" s="1225"/>
      <c r="FJ40" s="1225"/>
      <c r="FK40" s="1225"/>
      <c r="FL40" s="1225"/>
      <c r="FM40" s="1225"/>
      <c r="FN40" s="1225"/>
      <c r="FO40" s="1225"/>
      <c r="FP40" s="1225"/>
      <c r="FQ40" s="1225"/>
      <c r="FR40" s="1225"/>
      <c r="FS40" s="1225"/>
      <c r="FT40" s="1225"/>
      <c r="FU40" s="1225"/>
      <c r="FV40" s="1225"/>
      <c r="FW40" s="1225"/>
      <c r="FX40" s="1225"/>
      <c r="FY40" s="1225"/>
      <c r="FZ40" s="1225"/>
      <c r="GA40" s="1225"/>
      <c r="GB40" s="1225"/>
      <c r="GC40" s="1225"/>
      <c r="GD40" s="1225"/>
      <c r="GE40" s="1225"/>
      <c r="GF40" s="1225"/>
      <c r="GG40" s="1225"/>
      <c r="GH40" s="1225"/>
      <c r="GI40" s="1225"/>
      <c r="GJ40" s="1225"/>
      <c r="GK40" s="1225"/>
      <c r="GL40" s="1225"/>
      <c r="GM40" s="1225"/>
      <c r="GN40" s="1225"/>
      <c r="GO40" s="1225"/>
      <c r="GP40" s="1225"/>
      <c r="GQ40" s="1225"/>
      <c r="GR40" s="1225"/>
      <c r="GS40" s="1225"/>
      <c r="GT40" s="1225"/>
      <c r="GU40" s="1225"/>
      <c r="GV40" s="1225"/>
      <c r="GW40" s="1225"/>
      <c r="GX40" s="1225"/>
      <c r="GY40" s="1225"/>
      <c r="GZ40" s="1225"/>
      <c r="HA40" s="1225"/>
      <c r="HB40" s="1225"/>
      <c r="HC40" s="1225"/>
      <c r="HD40" s="1225"/>
      <c r="HE40" s="1225"/>
      <c r="HF40" s="1225"/>
      <c r="HG40" s="1225"/>
      <c r="HH40" s="1225"/>
      <c r="HI40" s="1225"/>
      <c r="HJ40" s="1225"/>
      <c r="HK40" s="1225"/>
      <c r="HL40" s="1225"/>
      <c r="HM40" s="1225"/>
      <c r="HN40" s="1225"/>
      <c r="HO40" s="1225"/>
      <c r="HP40" s="1225"/>
      <c r="HQ40" s="1225"/>
      <c r="HR40" s="1225"/>
      <c r="HS40" s="1225"/>
      <c r="HT40" s="1225"/>
      <c r="HU40" s="1225"/>
      <c r="HV40" s="1225"/>
      <c r="HW40" s="1225"/>
      <c r="HX40" s="1225"/>
      <c r="HY40" s="1225"/>
      <c r="HZ40" s="1225"/>
      <c r="IA40" s="1225"/>
      <c r="IB40" s="1225"/>
      <c r="IC40" s="1225"/>
    </row>
    <row r="41" spans="1:237" s="1226" customFormat="1" ht="10" customHeight="1">
      <c r="A41" s="1229" t="s">
        <v>1275</v>
      </c>
      <c r="B41" s="1225"/>
      <c r="C41" s="1225"/>
      <c r="D41" s="1225"/>
      <c r="E41" s="1225"/>
      <c r="F41" s="1225"/>
      <c r="G41" s="1225"/>
      <c r="H41" s="1225"/>
      <c r="I41" s="1259"/>
      <c r="J41" s="1259"/>
      <c r="K41" s="1259"/>
      <c r="L41" s="1693"/>
      <c r="M41" s="1693"/>
      <c r="N41" s="1693"/>
      <c r="O41" s="1227"/>
      <c r="P41" s="1225"/>
      <c r="Q41" s="1225"/>
      <c r="R41" s="1225"/>
      <c r="S41" s="1225"/>
      <c r="T41" s="1225"/>
      <c r="U41" s="1225"/>
      <c r="V41" s="1225"/>
      <c r="W41" s="1225"/>
      <c r="X41" s="1225"/>
      <c r="Y41" s="1225"/>
      <c r="Z41" s="1225"/>
      <c r="AA41" s="1225"/>
      <c r="AB41" s="1225"/>
      <c r="AC41" s="1225"/>
      <c r="AD41" s="1225"/>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25"/>
      <c r="BB41" s="1225"/>
      <c r="BC41" s="1225"/>
      <c r="BD41" s="1225"/>
      <c r="BE41" s="1225"/>
      <c r="BF41" s="1225"/>
      <c r="BG41" s="1225"/>
      <c r="BH41" s="1225"/>
      <c r="BI41" s="1225"/>
      <c r="BJ41" s="1225"/>
      <c r="BK41" s="1225"/>
      <c r="BL41" s="1225"/>
      <c r="BM41" s="1225"/>
      <c r="BN41" s="1225"/>
      <c r="BO41" s="1225"/>
      <c r="BP41" s="1225"/>
      <c r="BQ41" s="1225"/>
      <c r="BR41" s="1225"/>
      <c r="BS41" s="1225"/>
      <c r="BT41" s="1225"/>
      <c r="BU41" s="1225"/>
      <c r="BV41" s="1225"/>
      <c r="BW41" s="1225"/>
      <c r="BX41" s="1225"/>
      <c r="BY41" s="1225"/>
      <c r="BZ41" s="1225"/>
      <c r="CA41" s="1225"/>
      <c r="CB41" s="1225"/>
      <c r="CC41" s="1225"/>
      <c r="CD41" s="1225"/>
      <c r="CE41" s="1225"/>
      <c r="CF41" s="1225"/>
      <c r="CG41" s="1225"/>
      <c r="CH41" s="1225"/>
      <c r="CI41" s="1225"/>
      <c r="CJ41" s="1225"/>
      <c r="CK41" s="1225"/>
      <c r="CL41" s="1225"/>
      <c r="CM41" s="1225"/>
      <c r="CN41" s="1225"/>
      <c r="CO41" s="1225"/>
      <c r="CP41" s="1225"/>
      <c r="CQ41" s="1225"/>
      <c r="CR41" s="1225"/>
      <c r="CS41" s="1225"/>
      <c r="CT41" s="1225"/>
      <c r="CU41" s="1225"/>
      <c r="CV41" s="1225"/>
      <c r="CW41" s="1225"/>
      <c r="CX41" s="1225"/>
      <c r="CY41" s="1225"/>
      <c r="CZ41" s="1225"/>
      <c r="DA41" s="1225"/>
      <c r="DB41" s="1225"/>
      <c r="DC41" s="1225"/>
      <c r="DD41" s="1225"/>
      <c r="DE41" s="1225"/>
      <c r="DF41" s="1225"/>
      <c r="DG41" s="1225"/>
      <c r="DH41" s="1225"/>
      <c r="DI41" s="1225"/>
      <c r="DJ41" s="1225"/>
      <c r="DK41" s="1225"/>
      <c r="DL41" s="1225"/>
      <c r="DM41" s="1225"/>
      <c r="DN41" s="1225"/>
      <c r="DO41" s="1225"/>
      <c r="DP41" s="1225"/>
      <c r="DQ41" s="1225"/>
      <c r="DR41" s="1225"/>
      <c r="DS41" s="1225"/>
      <c r="DT41" s="1225"/>
      <c r="DU41" s="1225"/>
      <c r="DV41" s="1225"/>
      <c r="DW41" s="1225"/>
      <c r="DX41" s="1225"/>
      <c r="DY41" s="1225"/>
      <c r="DZ41" s="1225"/>
      <c r="EA41" s="1225"/>
      <c r="EB41" s="1225"/>
      <c r="EC41" s="1225"/>
      <c r="ED41" s="1225"/>
      <c r="EE41" s="1225"/>
      <c r="EF41" s="1225"/>
      <c r="EG41" s="1225"/>
      <c r="EH41" s="1225"/>
      <c r="EI41" s="1225"/>
      <c r="EJ41" s="1225"/>
      <c r="EK41" s="1225"/>
      <c r="EL41" s="1225"/>
      <c r="EM41" s="1225"/>
      <c r="EN41" s="1225"/>
      <c r="EO41" s="1225"/>
      <c r="EP41" s="1225"/>
      <c r="EQ41" s="1225"/>
      <c r="ER41" s="1225"/>
      <c r="ES41" s="1225"/>
      <c r="ET41" s="1225"/>
      <c r="EU41" s="1225"/>
      <c r="EV41" s="1225"/>
      <c r="EW41" s="1225"/>
      <c r="EX41" s="1225"/>
      <c r="EY41" s="1225"/>
      <c r="EZ41" s="1225"/>
      <c r="FA41" s="1225"/>
      <c r="FB41" s="1225"/>
      <c r="FC41" s="1225"/>
      <c r="FD41" s="1225"/>
      <c r="FE41" s="1225"/>
      <c r="FF41" s="1225"/>
      <c r="FG41" s="1225"/>
      <c r="FH41" s="1225"/>
      <c r="FI41" s="1225"/>
      <c r="FJ41" s="1225"/>
      <c r="FK41" s="1225"/>
      <c r="FL41" s="1225"/>
      <c r="FM41" s="1225"/>
      <c r="FN41" s="1225"/>
      <c r="FO41" s="1225"/>
      <c r="FP41" s="1225"/>
      <c r="FQ41" s="1225"/>
      <c r="FR41" s="1225"/>
      <c r="FS41" s="1225"/>
      <c r="FT41" s="1225"/>
      <c r="FU41" s="1225"/>
      <c r="FV41" s="1225"/>
      <c r="FW41" s="1225"/>
      <c r="FX41" s="1225"/>
      <c r="FY41" s="1225"/>
      <c r="FZ41" s="1225"/>
      <c r="GA41" s="1225"/>
      <c r="GB41" s="1225"/>
      <c r="GC41" s="1225"/>
      <c r="GD41" s="1225"/>
      <c r="GE41" s="1225"/>
      <c r="GF41" s="1225"/>
      <c r="GG41" s="1225"/>
      <c r="GH41" s="1225"/>
      <c r="GI41" s="1225"/>
      <c r="GJ41" s="1225"/>
      <c r="GK41" s="1225"/>
      <c r="GL41" s="1225"/>
      <c r="GM41" s="1225"/>
      <c r="GN41" s="1225"/>
      <c r="GO41" s="1225"/>
      <c r="GP41" s="1225"/>
      <c r="GQ41" s="1225"/>
      <c r="GR41" s="1225"/>
      <c r="GS41" s="1225"/>
      <c r="GT41" s="1225"/>
      <c r="GU41" s="1225"/>
      <c r="GV41" s="1225"/>
      <c r="GW41" s="1225"/>
      <c r="GX41" s="1225"/>
      <c r="GY41" s="1225"/>
      <c r="GZ41" s="1225"/>
      <c r="HA41" s="1225"/>
      <c r="HB41" s="1225"/>
      <c r="HC41" s="1225"/>
      <c r="HD41" s="1225"/>
      <c r="HE41" s="1225"/>
      <c r="HF41" s="1225"/>
      <c r="HG41" s="1225"/>
      <c r="HH41" s="1225"/>
      <c r="HI41" s="1225"/>
      <c r="HJ41" s="1225"/>
      <c r="HK41" s="1225"/>
      <c r="HL41" s="1225"/>
      <c r="HM41" s="1225"/>
      <c r="HN41" s="1225"/>
      <c r="HO41" s="1225"/>
      <c r="HP41" s="1225"/>
      <c r="HQ41" s="1225"/>
      <c r="HR41" s="1225"/>
      <c r="HS41" s="1225"/>
      <c r="HT41" s="1225"/>
      <c r="HU41" s="1225"/>
      <c r="HV41" s="1225"/>
      <c r="HW41" s="1225"/>
      <c r="HX41" s="1225"/>
      <c r="HY41" s="1225"/>
      <c r="HZ41" s="1225"/>
      <c r="IA41" s="1225"/>
      <c r="IB41" s="1225"/>
      <c r="IC41" s="1225"/>
    </row>
    <row r="42" spans="1:237" s="1226" customFormat="1" ht="10" customHeight="1">
      <c r="A42" s="1220" t="s">
        <v>821</v>
      </c>
      <c r="B42" s="1225"/>
      <c r="C42" s="1225"/>
      <c r="D42" s="1225"/>
      <c r="E42" s="1225"/>
      <c r="F42" s="1225"/>
      <c r="G42" s="1225"/>
      <c r="H42" s="1225"/>
      <c r="I42" s="1259"/>
      <c r="J42" s="1259"/>
      <c r="K42" s="1259"/>
      <c r="L42" s="1693"/>
      <c r="M42" s="1693"/>
      <c r="N42" s="1693"/>
      <c r="O42" s="1227"/>
      <c r="P42" s="1225"/>
      <c r="Q42" s="1225"/>
      <c r="R42" s="1225"/>
      <c r="S42" s="1225"/>
      <c r="T42" s="1225"/>
      <c r="U42" s="1225"/>
      <c r="V42" s="1225"/>
      <c r="W42" s="1225"/>
      <c r="X42" s="1225"/>
      <c r="Y42" s="1225"/>
      <c r="Z42" s="1225"/>
      <c r="AA42" s="1225"/>
      <c r="AB42" s="1225"/>
      <c r="AC42" s="1225"/>
      <c r="AD42" s="1225"/>
      <c r="AE42" s="1225"/>
      <c r="AF42" s="1225"/>
      <c r="AG42" s="1225"/>
      <c r="AH42" s="1225"/>
      <c r="AI42" s="1225"/>
      <c r="AJ42" s="1225"/>
      <c r="AK42" s="1225"/>
      <c r="AL42" s="1225"/>
      <c r="AM42" s="1225"/>
      <c r="AN42" s="1225"/>
      <c r="AO42" s="1225"/>
      <c r="AP42" s="1225"/>
      <c r="AQ42" s="1225"/>
      <c r="AR42" s="1225"/>
      <c r="AS42" s="1225"/>
      <c r="AT42" s="1225"/>
      <c r="AU42" s="1225"/>
      <c r="AV42" s="1225"/>
      <c r="AW42" s="1225"/>
      <c r="AX42" s="1225"/>
      <c r="AY42" s="1225"/>
      <c r="AZ42" s="1225"/>
      <c r="BA42" s="1225"/>
      <c r="BB42" s="1225"/>
      <c r="BC42" s="1225"/>
      <c r="BD42" s="1225"/>
      <c r="BE42" s="1225"/>
      <c r="BF42" s="1225"/>
      <c r="BG42" s="1225"/>
      <c r="BH42" s="1225"/>
      <c r="BI42" s="1225"/>
      <c r="BJ42" s="1225"/>
      <c r="BK42" s="1225"/>
      <c r="BL42" s="1225"/>
      <c r="BM42" s="1225"/>
      <c r="BN42" s="1225"/>
      <c r="BO42" s="1225"/>
      <c r="BP42" s="1225"/>
      <c r="BQ42" s="1225"/>
      <c r="BR42" s="1225"/>
      <c r="BS42" s="1225"/>
      <c r="BT42" s="1225"/>
      <c r="BU42" s="1225"/>
      <c r="BV42" s="1225"/>
      <c r="BW42" s="1225"/>
      <c r="BX42" s="1225"/>
      <c r="BY42" s="1225"/>
      <c r="BZ42" s="1225"/>
      <c r="CA42" s="1225"/>
      <c r="CB42" s="1225"/>
      <c r="CC42" s="1225"/>
      <c r="CD42" s="1225"/>
      <c r="CE42" s="1225"/>
      <c r="CF42" s="1225"/>
      <c r="CG42" s="1225"/>
      <c r="CH42" s="1225"/>
      <c r="CI42" s="1225"/>
      <c r="CJ42" s="1225"/>
      <c r="CK42" s="1225"/>
      <c r="CL42" s="1225"/>
      <c r="CM42" s="1225"/>
      <c r="CN42" s="1225"/>
      <c r="CO42" s="1225"/>
      <c r="CP42" s="1225"/>
      <c r="CQ42" s="1225"/>
      <c r="CR42" s="1225"/>
      <c r="CS42" s="1225"/>
      <c r="CT42" s="1225"/>
      <c r="CU42" s="1225"/>
      <c r="CV42" s="1225"/>
      <c r="CW42" s="1225"/>
      <c r="CX42" s="1225"/>
      <c r="CY42" s="1225"/>
      <c r="CZ42" s="1225"/>
      <c r="DA42" s="1225"/>
      <c r="DB42" s="1225"/>
      <c r="DC42" s="1225"/>
      <c r="DD42" s="1225"/>
      <c r="DE42" s="1225"/>
      <c r="DF42" s="1225"/>
      <c r="DG42" s="1225"/>
      <c r="DH42" s="1225"/>
      <c r="DI42" s="1225"/>
      <c r="DJ42" s="1225"/>
      <c r="DK42" s="1225"/>
      <c r="DL42" s="1225"/>
      <c r="DM42" s="1225"/>
      <c r="DN42" s="1225"/>
      <c r="DO42" s="1225"/>
      <c r="DP42" s="1225"/>
      <c r="DQ42" s="1225"/>
      <c r="DR42" s="1225"/>
      <c r="DS42" s="1225"/>
      <c r="DT42" s="1225"/>
      <c r="DU42" s="1225"/>
      <c r="DV42" s="1225"/>
      <c r="DW42" s="1225"/>
      <c r="DX42" s="1225"/>
      <c r="DY42" s="1225"/>
      <c r="DZ42" s="1225"/>
      <c r="EA42" s="1225"/>
      <c r="EB42" s="1225"/>
      <c r="EC42" s="1225"/>
      <c r="ED42" s="1225"/>
      <c r="EE42" s="1225"/>
      <c r="EF42" s="1225"/>
      <c r="EG42" s="1225"/>
      <c r="EH42" s="1225"/>
      <c r="EI42" s="1225"/>
      <c r="EJ42" s="1225"/>
      <c r="EK42" s="1225"/>
      <c r="EL42" s="1225"/>
      <c r="EM42" s="1225"/>
      <c r="EN42" s="1225"/>
      <c r="EO42" s="1225"/>
      <c r="EP42" s="1225"/>
      <c r="EQ42" s="1225"/>
      <c r="ER42" s="1225"/>
      <c r="ES42" s="1225"/>
      <c r="ET42" s="1225"/>
      <c r="EU42" s="1225"/>
      <c r="EV42" s="1225"/>
      <c r="EW42" s="1225"/>
      <c r="EX42" s="1225"/>
      <c r="EY42" s="1225"/>
      <c r="EZ42" s="1225"/>
      <c r="FA42" s="1225"/>
      <c r="FB42" s="1225"/>
      <c r="FC42" s="1225"/>
      <c r="FD42" s="1225"/>
      <c r="FE42" s="1225"/>
      <c r="FF42" s="1225"/>
      <c r="FG42" s="1225"/>
      <c r="FH42" s="1225"/>
      <c r="FI42" s="1225"/>
      <c r="FJ42" s="1225"/>
      <c r="FK42" s="1225"/>
      <c r="FL42" s="1225"/>
      <c r="FM42" s="1225"/>
      <c r="FN42" s="1225"/>
      <c r="FO42" s="1225"/>
      <c r="FP42" s="1225"/>
      <c r="FQ42" s="1225"/>
      <c r="FR42" s="1225"/>
      <c r="FS42" s="1225"/>
      <c r="FT42" s="1225"/>
      <c r="FU42" s="1225"/>
      <c r="FV42" s="1225"/>
      <c r="FW42" s="1225"/>
      <c r="FX42" s="1225"/>
      <c r="FY42" s="1225"/>
      <c r="FZ42" s="1225"/>
      <c r="GA42" s="1225"/>
      <c r="GB42" s="1225"/>
      <c r="GC42" s="1225"/>
      <c r="GD42" s="1225"/>
      <c r="GE42" s="1225"/>
      <c r="GF42" s="1225"/>
      <c r="GG42" s="1225"/>
      <c r="GH42" s="1225"/>
      <c r="GI42" s="1225"/>
      <c r="GJ42" s="1225"/>
      <c r="GK42" s="1225"/>
      <c r="GL42" s="1225"/>
      <c r="GM42" s="1225"/>
      <c r="GN42" s="1225"/>
      <c r="GO42" s="1225"/>
      <c r="GP42" s="1225"/>
      <c r="GQ42" s="1225"/>
      <c r="GR42" s="1225"/>
      <c r="GS42" s="1225"/>
      <c r="GT42" s="1225"/>
      <c r="GU42" s="1225"/>
      <c r="GV42" s="1225"/>
      <c r="GW42" s="1225"/>
      <c r="GX42" s="1225"/>
      <c r="GY42" s="1225"/>
      <c r="GZ42" s="1225"/>
      <c r="HA42" s="1225"/>
      <c r="HB42" s="1225"/>
      <c r="HC42" s="1225"/>
      <c r="HD42" s="1225"/>
      <c r="HE42" s="1225"/>
      <c r="HF42" s="1225"/>
      <c r="HG42" s="1225"/>
      <c r="HH42" s="1225"/>
      <c r="HI42" s="1225"/>
      <c r="HJ42" s="1225"/>
      <c r="HK42" s="1225"/>
      <c r="HL42" s="1225"/>
      <c r="HM42" s="1225"/>
      <c r="HN42" s="1225"/>
      <c r="HO42" s="1225"/>
      <c r="HP42" s="1225"/>
      <c r="HQ42" s="1225"/>
      <c r="HR42" s="1225"/>
      <c r="HS42" s="1225"/>
      <c r="HT42" s="1225"/>
      <c r="HU42" s="1225"/>
      <c r="HV42" s="1225"/>
      <c r="HW42" s="1225"/>
      <c r="HX42" s="1225"/>
      <c r="HY42" s="1225"/>
      <c r="HZ42" s="1225"/>
      <c r="IA42" s="1225"/>
      <c r="IB42" s="1225"/>
      <c r="IC42" s="1225"/>
    </row>
    <row r="43" spans="1:237" s="1226" customFormat="1" ht="10" customHeight="1">
      <c r="A43" s="1220" t="s">
        <v>1244</v>
      </c>
      <c r="B43" s="1225"/>
      <c r="C43" s="1225"/>
      <c r="D43" s="1225"/>
      <c r="E43" s="1225"/>
      <c r="F43" s="1225"/>
      <c r="G43" s="1225"/>
      <c r="H43" s="1225"/>
      <c r="I43" s="1259"/>
      <c r="J43" s="1259"/>
      <c r="K43" s="1259"/>
      <c r="L43" s="1693"/>
      <c r="M43" s="1693"/>
      <c r="N43" s="1693"/>
      <c r="O43" s="1227"/>
      <c r="P43" s="1225"/>
      <c r="Q43" s="1225"/>
      <c r="R43" s="1225"/>
      <c r="S43" s="1225"/>
      <c r="T43" s="1225"/>
      <c r="U43" s="1225"/>
      <c r="V43" s="1225"/>
      <c r="W43" s="1225"/>
      <c r="X43" s="1225"/>
      <c r="Y43" s="1225"/>
      <c r="Z43" s="1225"/>
      <c r="AA43" s="1225"/>
      <c r="AB43" s="1225"/>
      <c r="AC43" s="1225"/>
      <c r="AD43" s="1225"/>
      <c r="AE43" s="1225"/>
      <c r="AF43" s="1225"/>
      <c r="AG43" s="1225"/>
      <c r="AH43" s="1225"/>
      <c r="AI43" s="1225"/>
      <c r="AJ43" s="1225"/>
      <c r="AK43" s="1225"/>
      <c r="AL43" s="1225"/>
      <c r="AM43" s="1225"/>
      <c r="AN43" s="1225"/>
      <c r="AO43" s="1225"/>
      <c r="AP43" s="1225"/>
      <c r="AQ43" s="1225"/>
      <c r="AR43" s="1225"/>
      <c r="AS43" s="1225"/>
      <c r="AT43" s="1225"/>
      <c r="AU43" s="1225"/>
      <c r="AV43" s="1225"/>
      <c r="AW43" s="1225"/>
      <c r="AX43" s="1225"/>
      <c r="AY43" s="1225"/>
      <c r="AZ43" s="1225"/>
      <c r="BA43" s="1225"/>
      <c r="BB43" s="1225"/>
      <c r="BC43" s="1225"/>
      <c r="BD43" s="1225"/>
      <c r="BE43" s="1225"/>
      <c r="BF43" s="1225"/>
      <c r="BG43" s="1225"/>
      <c r="BH43" s="1225"/>
      <c r="BI43" s="1225"/>
      <c r="BJ43" s="1225"/>
      <c r="BK43" s="1225"/>
      <c r="BL43" s="1225"/>
      <c r="BM43" s="1225"/>
      <c r="BN43" s="1225"/>
      <c r="BO43" s="1225"/>
      <c r="BP43" s="1225"/>
      <c r="BQ43" s="1225"/>
      <c r="BR43" s="1225"/>
      <c r="BS43" s="1225"/>
      <c r="BT43" s="1225"/>
      <c r="BU43" s="1225"/>
      <c r="BV43" s="1225"/>
      <c r="BW43" s="1225"/>
      <c r="BX43" s="1225"/>
      <c r="BY43" s="1225"/>
      <c r="BZ43" s="1225"/>
      <c r="CA43" s="1225"/>
      <c r="CB43" s="1225"/>
      <c r="CC43" s="1225"/>
      <c r="CD43" s="1225"/>
      <c r="CE43" s="1225"/>
      <c r="CF43" s="1225"/>
      <c r="CG43" s="1225"/>
      <c r="CH43" s="1225"/>
      <c r="CI43" s="1225"/>
      <c r="CJ43" s="1225"/>
      <c r="CK43" s="1225"/>
      <c r="CL43" s="1225"/>
      <c r="CM43" s="1225"/>
      <c r="CN43" s="1225"/>
      <c r="CO43" s="1225"/>
      <c r="CP43" s="1225"/>
      <c r="CQ43" s="1225"/>
      <c r="CR43" s="1225"/>
      <c r="CS43" s="1225"/>
      <c r="CT43" s="1225"/>
      <c r="CU43" s="1225"/>
      <c r="CV43" s="1225"/>
      <c r="CW43" s="1225"/>
      <c r="CX43" s="1225"/>
      <c r="CY43" s="1225"/>
      <c r="CZ43" s="1225"/>
      <c r="DA43" s="1225"/>
      <c r="DB43" s="1225"/>
      <c r="DC43" s="1225"/>
      <c r="DD43" s="1225"/>
      <c r="DE43" s="1225"/>
      <c r="DF43" s="1225"/>
      <c r="DG43" s="1225"/>
      <c r="DH43" s="1225"/>
      <c r="DI43" s="1225"/>
      <c r="DJ43" s="1225"/>
      <c r="DK43" s="1225"/>
      <c r="DL43" s="1225"/>
      <c r="DM43" s="1225"/>
      <c r="DN43" s="1225"/>
      <c r="DO43" s="1225"/>
      <c r="DP43" s="1225"/>
      <c r="DQ43" s="1225"/>
      <c r="DR43" s="1225"/>
      <c r="DS43" s="1225"/>
      <c r="DT43" s="1225"/>
      <c r="DU43" s="1225"/>
      <c r="DV43" s="1225"/>
      <c r="DW43" s="1225"/>
      <c r="DX43" s="1225"/>
      <c r="DY43" s="1225"/>
      <c r="DZ43" s="1225"/>
      <c r="EA43" s="1225"/>
      <c r="EB43" s="1225"/>
      <c r="EC43" s="1225"/>
      <c r="ED43" s="1225"/>
      <c r="EE43" s="1225"/>
      <c r="EF43" s="1225"/>
      <c r="EG43" s="1225"/>
      <c r="EH43" s="1225"/>
      <c r="EI43" s="1225"/>
      <c r="EJ43" s="1225"/>
      <c r="EK43" s="1225"/>
      <c r="EL43" s="1225"/>
      <c r="EM43" s="1225"/>
      <c r="EN43" s="1225"/>
      <c r="EO43" s="1225"/>
      <c r="EP43" s="1225"/>
      <c r="EQ43" s="1225"/>
      <c r="ER43" s="1225"/>
      <c r="ES43" s="1225"/>
      <c r="ET43" s="1225"/>
      <c r="EU43" s="1225"/>
      <c r="EV43" s="1225"/>
      <c r="EW43" s="1225"/>
      <c r="EX43" s="1225"/>
      <c r="EY43" s="1225"/>
      <c r="EZ43" s="1225"/>
      <c r="FA43" s="1225"/>
      <c r="FB43" s="1225"/>
      <c r="FC43" s="1225"/>
      <c r="FD43" s="1225"/>
      <c r="FE43" s="1225"/>
      <c r="FF43" s="1225"/>
      <c r="FG43" s="1225"/>
      <c r="FH43" s="1225"/>
      <c r="FI43" s="1225"/>
      <c r="FJ43" s="1225"/>
      <c r="FK43" s="1225"/>
      <c r="FL43" s="1225"/>
      <c r="FM43" s="1225"/>
      <c r="FN43" s="1225"/>
      <c r="FO43" s="1225"/>
      <c r="FP43" s="1225"/>
      <c r="FQ43" s="1225"/>
      <c r="FR43" s="1225"/>
      <c r="FS43" s="1225"/>
      <c r="FT43" s="1225"/>
      <c r="FU43" s="1225"/>
      <c r="FV43" s="1225"/>
      <c r="FW43" s="1225"/>
      <c r="FX43" s="1225"/>
      <c r="FY43" s="1225"/>
      <c r="FZ43" s="1225"/>
      <c r="GA43" s="1225"/>
      <c r="GB43" s="1225"/>
      <c r="GC43" s="1225"/>
      <c r="GD43" s="1225"/>
      <c r="GE43" s="1225"/>
      <c r="GF43" s="1225"/>
      <c r="GG43" s="1225"/>
      <c r="GH43" s="1225"/>
      <c r="GI43" s="1225"/>
      <c r="GJ43" s="1225"/>
      <c r="GK43" s="1225"/>
      <c r="GL43" s="1225"/>
      <c r="GM43" s="1225"/>
      <c r="GN43" s="1225"/>
      <c r="GO43" s="1225"/>
      <c r="GP43" s="1225"/>
      <c r="GQ43" s="1225"/>
      <c r="GR43" s="1225"/>
      <c r="GS43" s="1225"/>
      <c r="GT43" s="1225"/>
      <c r="GU43" s="1225"/>
      <c r="GV43" s="1225"/>
      <c r="GW43" s="1225"/>
      <c r="GX43" s="1225"/>
      <c r="GY43" s="1225"/>
      <c r="GZ43" s="1225"/>
      <c r="HA43" s="1225"/>
      <c r="HB43" s="1225"/>
      <c r="HC43" s="1225"/>
      <c r="HD43" s="1225"/>
      <c r="HE43" s="1225"/>
      <c r="HF43" s="1225"/>
      <c r="HG43" s="1225"/>
      <c r="HH43" s="1225"/>
      <c r="HI43" s="1225"/>
      <c r="HJ43" s="1225"/>
      <c r="HK43" s="1225"/>
      <c r="HL43" s="1225"/>
      <c r="HM43" s="1225"/>
      <c r="HN43" s="1225"/>
      <c r="HO43" s="1225"/>
      <c r="HP43" s="1225"/>
      <c r="HQ43" s="1225"/>
      <c r="HR43" s="1225"/>
      <c r="HS43" s="1225"/>
      <c r="HT43" s="1225"/>
      <c r="HU43" s="1225"/>
      <c r="HV43" s="1225"/>
      <c r="HW43" s="1225"/>
      <c r="HX43" s="1225"/>
      <c r="HY43" s="1225"/>
      <c r="HZ43" s="1225"/>
      <c r="IA43" s="1225"/>
      <c r="IB43" s="1225"/>
      <c r="IC43" s="1225"/>
    </row>
    <row r="44" spans="1:237" ht="10" customHeight="1">
      <c r="A44" s="1220" t="s">
        <v>1381</v>
      </c>
      <c r="B44" s="530"/>
      <c r="C44" s="530"/>
      <c r="D44" s="530"/>
      <c r="E44" s="530"/>
      <c r="F44" s="530"/>
      <c r="G44" s="530"/>
      <c r="H44" s="530"/>
      <c r="I44" s="1661"/>
      <c r="J44" s="7"/>
      <c r="K44" s="7"/>
      <c r="L44" s="17"/>
      <c r="M44" s="17"/>
      <c r="N44" s="17"/>
      <c r="O44" s="673"/>
      <c r="P44" s="408"/>
      <c r="T44" s="408"/>
      <c r="U44" s="408"/>
      <c r="V44" s="446"/>
      <c r="W44" s="446"/>
      <c r="X44" s="446"/>
      <c r="Y44" s="446"/>
      <c r="Z44" s="446"/>
      <c r="AA44" s="446"/>
      <c r="AB44" s="446"/>
      <c r="AC44" s="446"/>
      <c r="AD44" s="446"/>
      <c r="AE44" s="446"/>
      <c r="AF44" s="446"/>
      <c r="AG44" s="446"/>
      <c r="AH44" s="446"/>
      <c r="AI44" s="446"/>
      <c r="AJ44" s="446"/>
      <c r="AK44" s="446"/>
      <c r="AL44" s="446"/>
      <c r="AM44" s="446"/>
      <c r="AN44" s="446"/>
      <c r="AO44" s="446"/>
      <c r="AP44" s="446"/>
      <c r="AQ44" s="446"/>
      <c r="AR44" s="446"/>
      <c r="AS44" s="446"/>
      <c r="AT44" s="446"/>
      <c r="AU44" s="446"/>
      <c r="AV44" s="446"/>
      <c r="AW44" s="446"/>
      <c r="AX44" s="446"/>
      <c r="AY44" s="446"/>
      <c r="AZ44" s="446"/>
      <c r="BA44" s="446"/>
      <c r="BB44" s="446"/>
      <c r="BC44" s="446"/>
      <c r="BD44" s="446"/>
      <c r="BE44" s="446"/>
      <c r="BF44" s="446"/>
      <c r="BG44" s="446"/>
      <c r="BH44" s="446"/>
      <c r="BI44" s="446"/>
      <c r="BJ44" s="446"/>
      <c r="BK44" s="446"/>
      <c r="BL44" s="446"/>
      <c r="BM44" s="446"/>
      <c r="BN44" s="446"/>
      <c r="BO44" s="446"/>
      <c r="BP44" s="446"/>
      <c r="BQ44" s="446"/>
      <c r="BR44" s="446"/>
      <c r="BS44" s="446"/>
      <c r="BT44" s="446"/>
      <c r="BU44" s="446"/>
      <c r="BV44" s="446"/>
      <c r="BW44" s="446"/>
      <c r="BX44" s="446"/>
      <c r="BY44" s="446"/>
      <c r="BZ44" s="446"/>
      <c r="CA44" s="446"/>
      <c r="CB44" s="446"/>
      <c r="CC44" s="446"/>
      <c r="CD44" s="446"/>
      <c r="CE44" s="446"/>
      <c r="CF44" s="446"/>
      <c r="CG44" s="446"/>
      <c r="CH44" s="446"/>
      <c r="CI44" s="446"/>
      <c r="CJ44" s="446"/>
      <c r="CK44" s="446"/>
      <c r="CL44" s="446"/>
      <c r="CM44" s="446"/>
      <c r="CN44" s="446"/>
      <c r="CO44" s="446"/>
      <c r="CP44" s="446"/>
      <c r="CQ44" s="446"/>
      <c r="CR44" s="446"/>
      <c r="CS44" s="446"/>
      <c r="CT44" s="446"/>
      <c r="CU44" s="446"/>
      <c r="CV44" s="446"/>
      <c r="CW44" s="446"/>
      <c r="CX44" s="446"/>
      <c r="CY44" s="446"/>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row>
    <row r="45" spans="1:237" ht="10" customHeight="1">
      <c r="A45" s="1446" t="s">
        <v>1382</v>
      </c>
      <c r="L45" s="17"/>
      <c r="M45" s="17"/>
      <c r="N45" s="17"/>
      <c r="O45" s="673"/>
      <c r="P45" s="408"/>
      <c r="T45" s="408"/>
      <c r="U45" s="408"/>
      <c r="V45" s="446"/>
      <c r="W45" s="446"/>
      <c r="X45" s="446"/>
      <c r="Y45" s="446"/>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6"/>
      <c r="AV45" s="446"/>
      <c r="AW45" s="446"/>
      <c r="AX45" s="446"/>
      <c r="AY45" s="446"/>
      <c r="AZ45" s="446"/>
      <c r="BA45" s="446"/>
      <c r="BB45" s="446"/>
      <c r="BC45" s="446"/>
      <c r="BD45" s="446"/>
      <c r="BE45" s="446"/>
      <c r="BF45" s="446"/>
      <c r="BG45" s="446"/>
      <c r="BH45" s="446"/>
      <c r="BI45" s="446"/>
      <c r="BJ45" s="446"/>
      <c r="BK45" s="446"/>
      <c r="BL45" s="446"/>
      <c r="BM45" s="446"/>
      <c r="BN45" s="446"/>
      <c r="BO45" s="446"/>
      <c r="BP45" s="446"/>
      <c r="BQ45" s="446"/>
      <c r="BR45" s="446"/>
      <c r="BS45" s="446"/>
      <c r="BT45" s="446"/>
      <c r="BU45" s="446"/>
      <c r="BV45" s="446"/>
      <c r="BW45" s="446"/>
      <c r="BX45" s="446"/>
      <c r="BY45" s="446"/>
      <c r="BZ45" s="446"/>
      <c r="CA45" s="446"/>
      <c r="CB45" s="446"/>
      <c r="CC45" s="446"/>
      <c r="CD45" s="446"/>
      <c r="CE45" s="446"/>
      <c r="CF45" s="446"/>
      <c r="CG45" s="446"/>
      <c r="CH45" s="446"/>
      <c r="CI45" s="446"/>
      <c r="CJ45" s="446"/>
      <c r="CK45" s="446"/>
      <c r="CL45" s="446"/>
      <c r="CM45" s="446"/>
      <c r="CN45" s="446"/>
      <c r="CO45" s="446"/>
      <c r="CP45" s="446"/>
      <c r="CQ45" s="446"/>
      <c r="CR45" s="446"/>
      <c r="CS45" s="446"/>
      <c r="CT45" s="446"/>
      <c r="CU45" s="446"/>
      <c r="CV45" s="446"/>
      <c r="CW45" s="446"/>
      <c r="CX45" s="446"/>
      <c r="CY45" s="446"/>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row>
    <row r="46" spans="1:237">
      <c r="A46" s="435"/>
      <c r="L46" s="17"/>
      <c r="M46" s="17"/>
      <c r="N46" s="17"/>
      <c r="O46" s="673"/>
      <c r="P46" s="408"/>
      <c r="T46" s="408"/>
      <c r="U46" s="408"/>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6"/>
      <c r="AW46" s="446"/>
      <c r="AX46" s="446"/>
      <c r="AY46" s="446"/>
      <c r="AZ46" s="446"/>
      <c r="BA46" s="446"/>
      <c r="BB46" s="446"/>
      <c r="BC46" s="446"/>
      <c r="BD46" s="446"/>
      <c r="BE46" s="446"/>
      <c r="BF46" s="446"/>
      <c r="BG46" s="446"/>
      <c r="BH46" s="446"/>
      <c r="BI46" s="446"/>
      <c r="BJ46" s="446"/>
      <c r="BK46" s="446"/>
      <c r="BL46" s="446"/>
      <c r="BM46" s="446"/>
      <c r="BN46" s="446"/>
      <c r="BO46" s="446"/>
      <c r="BP46" s="446"/>
      <c r="BQ46" s="446"/>
      <c r="BR46" s="446"/>
      <c r="BS46" s="446"/>
      <c r="BT46" s="446"/>
      <c r="BU46" s="446"/>
      <c r="BV46" s="446"/>
      <c r="BW46" s="446"/>
      <c r="BX46" s="446"/>
      <c r="BY46" s="446"/>
      <c r="BZ46" s="446"/>
      <c r="CA46" s="446"/>
      <c r="CB46" s="446"/>
      <c r="CC46" s="446"/>
      <c r="CD46" s="446"/>
      <c r="CE46" s="446"/>
      <c r="CF46" s="446"/>
      <c r="CG46" s="446"/>
      <c r="CH46" s="446"/>
      <c r="CI46" s="446"/>
      <c r="CJ46" s="446"/>
      <c r="CK46" s="446"/>
      <c r="CL46" s="446"/>
      <c r="CM46" s="446"/>
      <c r="CN46" s="446"/>
      <c r="CO46" s="446"/>
      <c r="CP46" s="446"/>
      <c r="CQ46" s="446"/>
      <c r="CR46" s="446"/>
      <c r="CS46" s="446"/>
      <c r="CT46" s="446"/>
      <c r="CU46" s="446"/>
      <c r="CV46" s="446"/>
      <c r="CW46" s="446"/>
      <c r="CX46" s="446"/>
      <c r="CY46" s="446"/>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row>
    <row r="47" spans="1:237">
      <c r="A47" s="7"/>
      <c r="L47" s="17"/>
      <c r="M47" s="17"/>
      <c r="N47" s="17"/>
      <c r="O47" s="673"/>
      <c r="P47" s="408"/>
      <c r="Q47" s="408"/>
      <c r="R47" s="672"/>
      <c r="S47" s="672"/>
      <c r="T47" s="408"/>
      <c r="U47" s="408"/>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6"/>
      <c r="AW47" s="446"/>
      <c r="AX47" s="446"/>
      <c r="AY47" s="446"/>
      <c r="AZ47" s="446"/>
      <c r="BA47" s="446"/>
      <c r="BB47" s="446"/>
      <c r="BC47" s="446"/>
      <c r="BD47" s="446"/>
      <c r="BE47" s="446"/>
      <c r="BF47" s="446"/>
      <c r="BG47" s="446"/>
      <c r="BH47" s="446"/>
      <c r="BI47" s="446"/>
      <c r="BJ47" s="446"/>
      <c r="BK47" s="446"/>
      <c r="BL47" s="446"/>
      <c r="BM47" s="446"/>
      <c r="BN47" s="446"/>
      <c r="BO47" s="446"/>
      <c r="BP47" s="446"/>
      <c r="BQ47" s="446"/>
      <c r="BR47" s="446"/>
      <c r="BS47" s="446"/>
      <c r="BT47" s="446"/>
      <c r="BU47" s="446"/>
      <c r="BV47" s="446"/>
      <c r="BW47" s="446"/>
      <c r="BX47" s="446"/>
      <c r="BY47" s="446"/>
      <c r="BZ47" s="446"/>
      <c r="CA47" s="446"/>
      <c r="CB47" s="446"/>
      <c r="CC47" s="446"/>
      <c r="CD47" s="446"/>
      <c r="CE47" s="446"/>
      <c r="CF47" s="446"/>
      <c r="CG47" s="446"/>
      <c r="CH47" s="446"/>
      <c r="CI47" s="446"/>
      <c r="CJ47" s="446"/>
      <c r="CK47" s="446"/>
      <c r="CL47" s="446"/>
      <c r="CM47" s="446"/>
      <c r="CN47" s="446"/>
      <c r="CO47" s="446"/>
      <c r="CP47" s="446"/>
      <c r="CQ47" s="446"/>
      <c r="CR47" s="446"/>
      <c r="CS47" s="446"/>
      <c r="CT47" s="446"/>
      <c r="CU47" s="446"/>
      <c r="CV47" s="446"/>
      <c r="CW47" s="446"/>
      <c r="CX47" s="446"/>
      <c r="CY47" s="446"/>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row>
    <row r="48" spans="1:237" s="772" customFormat="1" ht="12.75" customHeight="1">
      <c r="A48" s="862" t="s">
        <v>1239</v>
      </c>
      <c r="B48" s="773"/>
      <c r="C48" s="773"/>
      <c r="D48" s="773"/>
      <c r="E48" s="774"/>
      <c r="I48" s="1561"/>
      <c r="J48" s="1561"/>
      <c r="K48" s="1561"/>
      <c r="L48" s="1561"/>
      <c r="M48" s="1561"/>
      <c r="N48" s="1561"/>
    </row>
    <row r="49" spans="1:235" ht="13">
      <c r="A49" s="862" t="s">
        <v>1240</v>
      </c>
      <c r="B49" s="465"/>
      <c r="C49" s="465"/>
      <c r="D49" s="465"/>
      <c r="E49" s="465"/>
      <c r="F49" s="465"/>
      <c r="G49" s="465"/>
      <c r="H49" s="465"/>
      <c r="I49" s="465"/>
      <c r="J49" s="465"/>
      <c r="K49" s="465"/>
      <c r="L49" s="465"/>
      <c r="M49" s="465"/>
      <c r="N49" s="465"/>
      <c r="O49" s="674"/>
      <c r="P49" s="674"/>
      <c r="Q49" s="674"/>
      <c r="R49" s="674"/>
      <c r="S49" s="408"/>
      <c r="T49" s="408"/>
      <c r="U49" s="408"/>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6"/>
      <c r="CE49" s="446"/>
      <c r="CF49" s="446"/>
      <c r="CG49" s="446"/>
      <c r="CH49" s="446"/>
      <c r="CI49" s="446"/>
      <c r="CJ49" s="446"/>
      <c r="CK49" s="446"/>
      <c r="CL49" s="446"/>
      <c r="CM49" s="446"/>
      <c r="CN49" s="446"/>
      <c r="CO49" s="446"/>
      <c r="CP49" s="446"/>
      <c r="CQ49" s="446"/>
      <c r="CR49" s="446"/>
      <c r="CS49" s="446"/>
      <c r="CT49" s="446"/>
      <c r="CU49" s="446"/>
      <c r="CV49" s="446"/>
      <c r="CW49" s="446"/>
      <c r="CX49" s="446"/>
      <c r="CY49" s="446"/>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row>
    <row r="50" spans="1:235" ht="15.5">
      <c r="A50" s="862" t="s">
        <v>1241</v>
      </c>
      <c r="B50" s="5"/>
      <c r="C50" s="5"/>
      <c r="D50" s="5"/>
      <c r="E50" s="5"/>
      <c r="F50" s="5"/>
      <c r="G50" s="5"/>
      <c r="H50" s="5"/>
      <c r="I50" s="5"/>
      <c r="J50" s="5"/>
      <c r="K50" s="5"/>
      <c r="L50" s="5"/>
      <c r="M50" s="5"/>
      <c r="N50" s="5"/>
      <c r="O50" s="581"/>
      <c r="P50" s="581"/>
      <c r="Q50" s="581"/>
      <c r="R50" s="581"/>
      <c r="S50" s="581"/>
      <c r="T50" s="581"/>
      <c r="U50" s="581"/>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6"/>
      <c r="BR50" s="446"/>
      <c r="BS50" s="446"/>
      <c r="BT50" s="446"/>
      <c r="BU50" s="446"/>
      <c r="BV50" s="446"/>
      <c r="BW50" s="446"/>
      <c r="BX50" s="446"/>
      <c r="BY50" s="446"/>
      <c r="BZ50" s="446"/>
      <c r="CA50" s="446"/>
      <c r="CB50" s="446"/>
      <c r="CC50" s="446"/>
      <c r="CD50" s="446"/>
      <c r="CE50" s="446"/>
      <c r="CF50" s="446"/>
      <c r="CG50" s="446"/>
      <c r="CH50" s="446"/>
      <c r="CI50" s="446"/>
      <c r="CJ50" s="446"/>
      <c r="CK50" s="446"/>
      <c r="CL50" s="446"/>
      <c r="CM50" s="446"/>
      <c r="CN50" s="446"/>
      <c r="CO50" s="446"/>
      <c r="CP50" s="446"/>
      <c r="CQ50" s="446"/>
      <c r="CR50" s="446"/>
      <c r="CS50" s="446"/>
      <c r="CT50" s="446"/>
      <c r="CU50" s="446"/>
      <c r="CV50" s="446"/>
      <c r="CW50" s="446"/>
      <c r="CX50" s="446"/>
      <c r="CY50" s="446"/>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row>
    <row r="51" spans="1:235" ht="14.15" customHeight="1">
      <c r="B51" s="7"/>
      <c r="C51" s="7"/>
      <c r="D51" s="7"/>
      <c r="E51" s="7"/>
      <c r="F51" s="7"/>
      <c r="G51" s="7"/>
      <c r="H51" s="7"/>
      <c r="I51" s="7"/>
      <c r="J51" s="7"/>
      <c r="K51" s="7"/>
      <c r="L51" s="17"/>
      <c r="M51" s="17"/>
      <c r="N51" s="17"/>
      <c r="O51" s="673"/>
      <c r="P51" s="408"/>
      <c r="Q51" s="408"/>
      <c r="R51" s="408"/>
      <c r="S51" s="408"/>
      <c r="T51" s="408"/>
      <c r="U51" s="408"/>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6"/>
      <c r="AV51" s="446"/>
      <c r="AW51" s="446"/>
      <c r="AX51" s="446"/>
      <c r="AY51" s="446"/>
      <c r="AZ51" s="446"/>
      <c r="BA51" s="446"/>
      <c r="BB51" s="446"/>
      <c r="BC51" s="446"/>
      <c r="BD51" s="446"/>
      <c r="BE51" s="446"/>
      <c r="BF51" s="446"/>
      <c r="BG51" s="446"/>
      <c r="BH51" s="446"/>
      <c r="BI51" s="446"/>
      <c r="BJ51" s="446"/>
      <c r="BK51" s="446"/>
      <c r="BL51" s="446"/>
      <c r="BM51" s="446"/>
      <c r="BN51" s="446"/>
      <c r="BO51" s="446"/>
      <c r="BP51" s="446"/>
      <c r="BQ51" s="446"/>
      <c r="BR51" s="446"/>
      <c r="BS51" s="446"/>
      <c r="BT51" s="446"/>
      <c r="BU51" s="446"/>
      <c r="BV51" s="446"/>
      <c r="BW51" s="446"/>
      <c r="BX51" s="446"/>
      <c r="BY51" s="446"/>
      <c r="BZ51" s="446"/>
      <c r="CA51" s="446"/>
      <c r="CB51" s="446"/>
      <c r="CC51" s="446"/>
      <c r="CD51" s="446"/>
      <c r="CE51" s="446"/>
      <c r="CF51" s="446"/>
      <c r="CG51" s="446"/>
      <c r="CH51" s="446"/>
      <c r="CI51" s="446"/>
      <c r="CJ51" s="446"/>
      <c r="CK51" s="446"/>
      <c r="CL51" s="446"/>
      <c r="CM51" s="446"/>
      <c r="CN51" s="446"/>
      <c r="CO51" s="446"/>
      <c r="CP51" s="446"/>
      <c r="CQ51" s="446"/>
      <c r="CR51" s="446"/>
      <c r="CS51" s="446"/>
      <c r="CT51" s="446"/>
      <c r="CU51" s="446"/>
      <c r="CV51" s="446"/>
      <c r="CW51" s="446"/>
      <c r="CX51" s="446"/>
      <c r="CY51" s="446"/>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row>
    <row r="52" spans="1:235" ht="14.15" customHeight="1">
      <c r="A52" s="7"/>
      <c r="B52" s="7"/>
      <c r="C52" s="7"/>
      <c r="D52" s="7"/>
      <c r="E52" s="7"/>
      <c r="F52" s="7"/>
      <c r="G52" s="7"/>
      <c r="H52" s="7"/>
      <c r="I52" s="1897"/>
      <c r="J52" s="1897"/>
      <c r="K52" s="7"/>
      <c r="L52" s="17"/>
      <c r="M52" s="17"/>
      <c r="N52" s="17"/>
      <c r="O52" s="673"/>
      <c r="P52" s="408"/>
      <c r="Q52" s="408"/>
      <c r="R52" s="408"/>
      <c r="S52" s="408"/>
      <c r="T52" s="408"/>
      <c r="U52" s="408"/>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6"/>
      <c r="AW52" s="446"/>
      <c r="AX52" s="446"/>
      <c r="AY52" s="446"/>
      <c r="AZ52" s="446"/>
      <c r="BA52" s="446"/>
      <c r="BB52" s="446"/>
      <c r="BC52" s="446"/>
      <c r="BD52" s="446"/>
      <c r="BE52" s="446"/>
      <c r="BF52" s="446"/>
      <c r="BG52" s="446"/>
      <c r="BH52" s="446"/>
      <c r="BI52" s="446"/>
      <c r="BJ52" s="446"/>
      <c r="BK52" s="446"/>
      <c r="BL52" s="446"/>
      <c r="BM52" s="446"/>
      <c r="BN52" s="446"/>
      <c r="BO52" s="446"/>
      <c r="BP52" s="446"/>
      <c r="BQ52" s="446"/>
      <c r="BR52" s="446"/>
      <c r="BS52" s="446"/>
      <c r="BT52" s="446"/>
      <c r="BU52" s="446"/>
      <c r="BV52" s="446"/>
      <c r="BW52" s="446"/>
      <c r="BX52" s="446"/>
      <c r="BY52" s="446"/>
      <c r="BZ52" s="446"/>
      <c r="CA52" s="446"/>
      <c r="CB52" s="446"/>
      <c r="CC52" s="446"/>
      <c r="CD52" s="446"/>
      <c r="CE52" s="446"/>
      <c r="CF52" s="446"/>
      <c r="CG52" s="446"/>
      <c r="CH52" s="446"/>
      <c r="CI52" s="446"/>
      <c r="CJ52" s="446"/>
      <c r="CK52" s="446"/>
      <c r="CL52" s="446"/>
      <c r="CM52" s="446"/>
      <c r="CN52" s="446"/>
      <c r="CO52" s="446"/>
      <c r="CP52" s="446"/>
      <c r="CQ52" s="446"/>
      <c r="CR52" s="446"/>
      <c r="CS52" s="446"/>
      <c r="CT52" s="446"/>
      <c r="CU52" s="446"/>
      <c r="CV52" s="446"/>
      <c r="CW52" s="446"/>
      <c r="CX52" s="446"/>
      <c r="CY52" s="446"/>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row>
    <row r="53" spans="1:235" ht="14.15" customHeight="1">
      <c r="A53" s="7"/>
      <c r="B53" s="7"/>
      <c r="C53" s="7"/>
      <c r="D53" s="7"/>
      <c r="E53" s="7"/>
      <c r="F53" s="7"/>
      <c r="G53" s="7"/>
      <c r="H53" s="7"/>
      <c r="I53" s="1897"/>
      <c r="J53" s="1897"/>
      <c r="K53" s="7"/>
      <c r="L53" s="17"/>
      <c r="M53" s="17"/>
      <c r="N53" s="17"/>
      <c r="O53" s="673"/>
      <c r="P53" s="408"/>
      <c r="Q53" s="408"/>
      <c r="R53" s="408"/>
      <c r="S53" s="408"/>
      <c r="T53" s="408"/>
      <c r="U53" s="408"/>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6"/>
      <c r="AW53" s="446"/>
      <c r="AX53" s="446"/>
      <c r="AY53" s="446"/>
      <c r="AZ53" s="446"/>
      <c r="BA53" s="446"/>
      <c r="BB53" s="446"/>
      <c r="BC53" s="446"/>
      <c r="BD53" s="446"/>
      <c r="BE53" s="446"/>
      <c r="BF53" s="446"/>
      <c r="BG53" s="446"/>
      <c r="BH53" s="446"/>
      <c r="BI53" s="446"/>
      <c r="BJ53" s="446"/>
      <c r="BK53" s="446"/>
      <c r="BL53" s="446"/>
      <c r="BM53" s="446"/>
      <c r="BN53" s="446"/>
      <c r="BO53" s="446"/>
      <c r="BP53" s="446"/>
      <c r="BQ53" s="446"/>
      <c r="BR53" s="446"/>
      <c r="BS53" s="446"/>
      <c r="BT53" s="446"/>
      <c r="BU53" s="446"/>
      <c r="BV53" s="446"/>
      <c r="BW53" s="446"/>
      <c r="BX53" s="446"/>
      <c r="BY53" s="446"/>
      <c r="BZ53" s="446"/>
      <c r="CA53" s="446"/>
      <c r="CB53" s="446"/>
      <c r="CC53" s="446"/>
      <c r="CD53" s="446"/>
      <c r="CE53" s="446"/>
      <c r="CF53" s="446"/>
      <c r="CG53" s="446"/>
      <c r="CH53" s="446"/>
      <c r="CI53" s="446"/>
      <c r="CJ53" s="446"/>
      <c r="CK53" s="446"/>
      <c r="CL53" s="446"/>
      <c r="CM53" s="446"/>
      <c r="CN53" s="446"/>
      <c r="CO53" s="446"/>
      <c r="CP53" s="446"/>
      <c r="CQ53" s="446"/>
      <c r="CR53" s="446"/>
      <c r="CS53" s="446"/>
      <c r="CT53" s="446"/>
      <c r="CU53" s="446"/>
      <c r="CV53" s="446"/>
      <c r="CW53" s="446"/>
      <c r="CX53" s="446"/>
      <c r="CY53" s="446"/>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row>
    <row r="54" spans="1:235" ht="14.15" customHeight="1">
      <c r="A54" s="7"/>
      <c r="B54" s="7"/>
      <c r="C54" s="7"/>
      <c r="D54" s="7"/>
      <c r="E54" s="7"/>
      <c r="F54" s="7"/>
      <c r="G54" s="7"/>
      <c r="H54" s="7"/>
      <c r="I54" s="7"/>
      <c r="J54" s="7"/>
      <c r="K54" s="7"/>
      <c r="L54" s="17"/>
      <c r="M54" s="17"/>
      <c r="N54" s="17"/>
      <c r="O54" s="673"/>
      <c r="P54" s="408"/>
      <c r="Q54" s="408"/>
      <c r="R54" s="408"/>
      <c r="S54" s="408"/>
      <c r="T54" s="408"/>
      <c r="U54" s="408"/>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6"/>
      <c r="AZ54" s="446"/>
      <c r="BA54" s="446"/>
      <c r="BB54" s="446"/>
      <c r="BC54" s="446"/>
      <c r="BD54" s="446"/>
      <c r="BE54" s="446"/>
      <c r="BF54" s="446"/>
      <c r="BG54" s="446"/>
      <c r="BH54" s="446"/>
      <c r="BI54" s="446"/>
      <c r="BJ54" s="446"/>
      <c r="BK54" s="446"/>
      <c r="BL54" s="446"/>
      <c r="BM54" s="446"/>
      <c r="BN54" s="446"/>
      <c r="BO54" s="446"/>
      <c r="BP54" s="446"/>
      <c r="BQ54" s="446"/>
      <c r="BR54" s="446"/>
      <c r="BS54" s="446"/>
      <c r="BT54" s="446"/>
      <c r="BU54" s="446"/>
      <c r="BV54" s="446"/>
      <c r="BW54" s="446"/>
      <c r="BX54" s="446"/>
      <c r="BY54" s="446"/>
      <c r="BZ54" s="446"/>
      <c r="CA54" s="446"/>
      <c r="CB54" s="446"/>
      <c r="CC54" s="446"/>
      <c r="CD54" s="446"/>
      <c r="CE54" s="446"/>
      <c r="CF54" s="446"/>
      <c r="CG54" s="446"/>
      <c r="CH54" s="446"/>
      <c r="CI54" s="446"/>
      <c r="CJ54" s="446"/>
      <c r="CK54" s="446"/>
      <c r="CL54" s="446"/>
      <c r="CM54" s="446"/>
      <c r="CN54" s="446"/>
      <c r="CO54" s="446"/>
      <c r="CP54" s="446"/>
      <c r="CQ54" s="446"/>
      <c r="CR54" s="446"/>
      <c r="CS54" s="446"/>
      <c r="CT54" s="446"/>
      <c r="CU54" s="446"/>
      <c r="CV54" s="446"/>
      <c r="CW54" s="446"/>
      <c r="CX54" s="446"/>
      <c r="CY54" s="446"/>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row>
    <row r="55" spans="1:235" ht="14.15" customHeight="1">
      <c r="A55" s="7"/>
      <c r="B55" s="7"/>
      <c r="C55" s="7"/>
      <c r="D55" s="7"/>
      <c r="E55" s="7"/>
      <c r="F55" s="7"/>
      <c r="G55" s="7"/>
      <c r="H55" s="7"/>
      <c r="I55" s="7"/>
      <c r="J55" s="7"/>
      <c r="K55" s="7"/>
      <c r="L55" s="17"/>
      <c r="M55" s="17"/>
      <c r="N55" s="17"/>
      <c r="O55" s="673"/>
      <c r="P55" s="408"/>
      <c r="Q55" s="408"/>
      <c r="R55" s="408"/>
      <c r="S55" s="408"/>
      <c r="T55" s="408"/>
      <c r="U55" s="408"/>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6"/>
      <c r="AW55" s="446"/>
      <c r="AX55" s="446"/>
      <c r="AY55" s="446"/>
      <c r="AZ55" s="446"/>
      <c r="BA55" s="446"/>
      <c r="BB55" s="446"/>
      <c r="BC55" s="446"/>
      <c r="BD55" s="446"/>
      <c r="BE55" s="446"/>
      <c r="BF55" s="446"/>
      <c r="BG55" s="446"/>
      <c r="BH55" s="446"/>
      <c r="BI55" s="446"/>
      <c r="BJ55" s="446"/>
      <c r="BK55" s="446"/>
      <c r="BL55" s="446"/>
      <c r="BM55" s="446"/>
      <c r="BN55" s="446"/>
      <c r="BO55" s="446"/>
      <c r="BP55" s="446"/>
      <c r="BQ55" s="446"/>
      <c r="BR55" s="446"/>
      <c r="BS55" s="446"/>
      <c r="BT55" s="446"/>
      <c r="BU55" s="446"/>
      <c r="BV55" s="446"/>
      <c r="BW55" s="446"/>
      <c r="BX55" s="446"/>
      <c r="BY55" s="446"/>
      <c r="BZ55" s="446"/>
      <c r="CA55" s="446"/>
      <c r="CB55" s="446"/>
      <c r="CC55" s="446"/>
      <c r="CD55" s="446"/>
      <c r="CE55" s="446"/>
      <c r="CF55" s="446"/>
      <c r="CG55" s="446"/>
      <c r="CH55" s="446"/>
      <c r="CI55" s="446"/>
      <c r="CJ55" s="446"/>
      <c r="CK55" s="446"/>
      <c r="CL55" s="446"/>
      <c r="CM55" s="446"/>
      <c r="CN55" s="446"/>
      <c r="CO55" s="446"/>
      <c r="CP55" s="446"/>
      <c r="CQ55" s="446"/>
      <c r="CR55" s="446"/>
      <c r="CS55" s="446"/>
      <c r="CT55" s="446"/>
      <c r="CU55" s="446"/>
      <c r="CV55" s="446"/>
      <c r="CW55" s="446"/>
      <c r="CX55" s="446"/>
      <c r="CY55" s="446"/>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row>
    <row r="56" spans="1:235" ht="14.15" customHeight="1">
      <c r="A56" s="7"/>
      <c r="B56" s="7"/>
      <c r="C56" s="7"/>
      <c r="D56" s="7"/>
      <c r="E56" s="7"/>
      <c r="F56" s="7"/>
      <c r="G56" s="7"/>
      <c r="H56" s="7"/>
      <c r="I56" s="7"/>
      <c r="J56" s="7"/>
      <c r="K56" s="7"/>
      <c r="L56" s="17"/>
      <c r="M56" s="17"/>
      <c r="N56" s="17"/>
      <c r="O56" s="673"/>
      <c r="P56" s="408"/>
      <c r="Q56" s="408"/>
      <c r="R56" s="408"/>
      <c r="S56" s="408"/>
      <c r="T56" s="408"/>
      <c r="U56" s="408"/>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446"/>
      <c r="BA56" s="446"/>
      <c r="BB56" s="446"/>
      <c r="BC56" s="446"/>
      <c r="BD56" s="446"/>
      <c r="BE56" s="446"/>
      <c r="BF56" s="446"/>
      <c r="BG56" s="446"/>
      <c r="BH56" s="446"/>
      <c r="BI56" s="446"/>
      <c r="BJ56" s="446"/>
      <c r="BK56" s="446"/>
      <c r="BL56" s="446"/>
      <c r="BM56" s="446"/>
      <c r="BN56" s="446"/>
      <c r="BO56" s="446"/>
      <c r="BP56" s="446"/>
      <c r="BQ56" s="446"/>
      <c r="BR56" s="446"/>
      <c r="BS56" s="446"/>
      <c r="BT56" s="446"/>
      <c r="BU56" s="446"/>
      <c r="BV56" s="446"/>
      <c r="BW56" s="446"/>
      <c r="BX56" s="446"/>
      <c r="BY56" s="446"/>
      <c r="BZ56" s="446"/>
      <c r="CA56" s="446"/>
      <c r="CB56" s="446"/>
      <c r="CC56" s="446"/>
      <c r="CD56" s="446"/>
      <c r="CE56" s="446"/>
      <c r="CF56" s="446"/>
      <c r="CG56" s="446"/>
      <c r="CH56" s="446"/>
      <c r="CI56" s="446"/>
      <c r="CJ56" s="446"/>
      <c r="CK56" s="446"/>
      <c r="CL56" s="446"/>
      <c r="CM56" s="446"/>
      <c r="CN56" s="446"/>
      <c r="CO56" s="446"/>
      <c r="CP56" s="446"/>
      <c r="CQ56" s="446"/>
      <c r="CR56" s="446"/>
      <c r="CS56" s="446"/>
      <c r="CT56" s="446"/>
      <c r="CU56" s="446"/>
      <c r="CV56" s="446"/>
      <c r="CW56" s="446"/>
      <c r="CX56" s="446"/>
      <c r="CY56" s="446"/>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row>
    <row r="57" spans="1:235" ht="14.15" customHeight="1">
      <c r="A57" s="7"/>
      <c r="B57" s="7"/>
      <c r="C57" s="7"/>
      <c r="D57" s="7"/>
      <c r="E57" s="7"/>
      <c r="F57" s="7"/>
      <c r="G57" s="7"/>
      <c r="H57" s="7"/>
      <c r="I57" s="7"/>
      <c r="J57" s="7"/>
      <c r="K57" s="7"/>
      <c r="L57" s="17"/>
      <c r="M57" s="17"/>
      <c r="N57" s="17"/>
      <c r="O57" s="673"/>
      <c r="P57" s="408"/>
      <c r="Q57" s="408"/>
      <c r="R57" s="408"/>
      <c r="S57" s="408"/>
      <c r="T57" s="408"/>
      <c r="U57" s="408"/>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446"/>
      <c r="AU57" s="446"/>
      <c r="AV57" s="446"/>
      <c r="AW57" s="446"/>
      <c r="AX57" s="446"/>
      <c r="AY57" s="446"/>
      <c r="AZ57" s="446"/>
      <c r="BA57" s="446"/>
      <c r="BB57" s="446"/>
      <c r="BC57" s="446"/>
      <c r="BD57" s="446"/>
      <c r="BE57" s="446"/>
      <c r="BF57" s="446"/>
      <c r="BG57" s="446"/>
      <c r="BH57" s="446"/>
      <c r="BI57" s="446"/>
      <c r="BJ57" s="446"/>
      <c r="BK57" s="446"/>
      <c r="BL57" s="446"/>
      <c r="BM57" s="446"/>
      <c r="BN57" s="446"/>
      <c r="BO57" s="446"/>
      <c r="BP57" s="446"/>
      <c r="BQ57" s="446"/>
      <c r="BR57" s="446"/>
      <c r="BS57" s="446"/>
      <c r="BT57" s="446"/>
      <c r="BU57" s="446"/>
      <c r="BV57" s="446"/>
      <c r="BW57" s="446"/>
      <c r="BX57" s="446"/>
      <c r="BY57" s="446"/>
      <c r="BZ57" s="446"/>
      <c r="CA57" s="446"/>
      <c r="CB57" s="446"/>
      <c r="CC57" s="446"/>
      <c r="CD57" s="446"/>
      <c r="CE57" s="446"/>
      <c r="CF57" s="446"/>
      <c r="CG57" s="446"/>
      <c r="CH57" s="446"/>
      <c r="CI57" s="446"/>
      <c r="CJ57" s="446"/>
      <c r="CK57" s="446"/>
      <c r="CL57" s="446"/>
      <c r="CM57" s="446"/>
      <c r="CN57" s="446"/>
      <c r="CO57" s="446"/>
      <c r="CP57" s="446"/>
      <c r="CQ57" s="446"/>
      <c r="CR57" s="446"/>
      <c r="CS57" s="446"/>
      <c r="CT57" s="446"/>
      <c r="CU57" s="446"/>
      <c r="CV57" s="446"/>
      <c r="CW57" s="446"/>
      <c r="CX57" s="446"/>
      <c r="CY57" s="446"/>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row>
    <row r="58" spans="1:235" ht="14.15" customHeight="1">
      <c r="A58" s="7"/>
      <c r="B58" s="19"/>
      <c r="C58" s="19"/>
      <c r="D58" s="19"/>
      <c r="E58" s="19"/>
      <c r="F58" s="19"/>
      <c r="G58" s="19"/>
      <c r="H58" s="19"/>
      <c r="I58" s="19"/>
      <c r="J58" s="19"/>
      <c r="K58" s="19"/>
      <c r="L58" s="17"/>
      <c r="M58" s="17"/>
      <c r="N58" s="17"/>
      <c r="O58" s="673"/>
      <c r="P58" s="408"/>
      <c r="Q58" s="408"/>
      <c r="R58" s="408"/>
      <c r="S58" s="408"/>
      <c r="T58" s="408"/>
      <c r="U58" s="408"/>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6"/>
      <c r="AW58" s="446"/>
      <c r="AX58" s="446"/>
      <c r="AY58" s="446"/>
      <c r="AZ58" s="446"/>
      <c r="BA58" s="446"/>
      <c r="BB58" s="446"/>
      <c r="BC58" s="446"/>
      <c r="BD58" s="446"/>
      <c r="BE58" s="446"/>
      <c r="BF58" s="446"/>
      <c r="BG58" s="446"/>
      <c r="BH58" s="446"/>
      <c r="BI58" s="446"/>
      <c r="BJ58" s="446"/>
      <c r="BK58" s="446"/>
      <c r="BL58" s="446"/>
      <c r="BM58" s="446"/>
      <c r="BN58" s="446"/>
      <c r="BO58" s="446"/>
      <c r="BP58" s="446"/>
      <c r="BQ58" s="446"/>
      <c r="BR58" s="446"/>
      <c r="BS58" s="446"/>
      <c r="BT58" s="446"/>
      <c r="BU58" s="446"/>
      <c r="BV58" s="446"/>
      <c r="BW58" s="446"/>
      <c r="BX58" s="446"/>
      <c r="BY58" s="446"/>
      <c r="BZ58" s="446"/>
      <c r="CA58" s="446"/>
      <c r="CB58" s="446"/>
      <c r="CC58" s="446"/>
      <c r="CD58" s="446"/>
      <c r="CE58" s="446"/>
      <c r="CF58" s="446"/>
      <c r="CG58" s="446"/>
      <c r="CH58" s="446"/>
      <c r="CI58" s="446"/>
      <c r="CJ58" s="446"/>
      <c r="CK58" s="446"/>
      <c r="CL58" s="446"/>
      <c r="CM58" s="446"/>
      <c r="CN58" s="446"/>
      <c r="CO58" s="446"/>
      <c r="CP58" s="446"/>
      <c r="CQ58" s="446"/>
      <c r="CR58" s="446"/>
      <c r="CS58" s="446"/>
      <c r="CT58" s="446"/>
      <c r="CU58" s="446"/>
      <c r="CV58" s="446"/>
      <c r="CW58" s="446"/>
      <c r="CX58" s="446"/>
      <c r="CY58" s="446"/>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row>
    <row r="59" spans="1:235" ht="14.15" customHeight="1">
      <c r="A59" s="7"/>
      <c r="B59" s="7"/>
      <c r="C59" s="7"/>
      <c r="D59" s="7"/>
      <c r="E59" s="7"/>
      <c r="F59" s="7"/>
      <c r="G59" s="7"/>
      <c r="H59" s="7"/>
      <c r="I59" s="7"/>
      <c r="J59" s="7"/>
      <c r="K59" s="7"/>
      <c r="L59" s="17"/>
      <c r="M59" s="17"/>
      <c r="N59" s="17"/>
      <c r="O59" s="673"/>
      <c r="P59" s="408"/>
      <c r="Q59" s="408"/>
      <c r="R59" s="408"/>
      <c r="S59" s="408"/>
      <c r="T59" s="408"/>
      <c r="U59" s="408"/>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446"/>
      <c r="BC59" s="446"/>
      <c r="BD59" s="446"/>
      <c r="BE59" s="446"/>
      <c r="BF59" s="446"/>
      <c r="BG59" s="446"/>
      <c r="BH59" s="446"/>
      <c r="BI59" s="446"/>
      <c r="BJ59" s="446"/>
      <c r="BK59" s="446"/>
      <c r="BL59" s="446"/>
      <c r="BM59" s="446"/>
      <c r="BN59" s="446"/>
      <c r="BO59" s="446"/>
      <c r="BP59" s="446"/>
      <c r="BQ59" s="446"/>
      <c r="BR59" s="446"/>
      <c r="BS59" s="446"/>
      <c r="BT59" s="446"/>
      <c r="BU59" s="446"/>
      <c r="BV59" s="446"/>
      <c r="BW59" s="446"/>
      <c r="BX59" s="446"/>
      <c r="BY59" s="446"/>
      <c r="BZ59" s="446"/>
      <c r="CA59" s="446"/>
      <c r="CB59" s="446"/>
      <c r="CC59" s="446"/>
      <c r="CD59" s="446"/>
      <c r="CE59" s="446"/>
      <c r="CF59" s="446"/>
      <c r="CG59" s="446"/>
      <c r="CH59" s="446"/>
      <c r="CI59" s="446"/>
      <c r="CJ59" s="446"/>
      <c r="CK59" s="446"/>
      <c r="CL59" s="446"/>
      <c r="CM59" s="446"/>
      <c r="CN59" s="446"/>
      <c r="CO59" s="446"/>
      <c r="CP59" s="446"/>
      <c r="CQ59" s="446"/>
      <c r="CR59" s="446"/>
      <c r="CS59" s="446"/>
      <c r="CT59" s="446"/>
      <c r="CU59" s="446"/>
      <c r="CV59" s="446"/>
      <c r="CW59" s="446"/>
      <c r="CX59" s="446"/>
      <c r="CY59" s="446"/>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row>
    <row r="60" spans="1:235" ht="14.15" customHeight="1">
      <c r="A60" s="7"/>
      <c r="B60" s="7"/>
      <c r="C60" s="7"/>
      <c r="D60" s="7"/>
      <c r="E60" s="7"/>
      <c r="F60" s="7"/>
      <c r="G60" s="7"/>
      <c r="H60" s="7"/>
      <c r="I60" s="7"/>
      <c r="J60" s="7"/>
      <c r="K60" s="7"/>
      <c r="L60" s="17"/>
      <c r="M60" s="17"/>
      <c r="N60" s="17"/>
      <c r="O60" s="673"/>
      <c r="P60" s="408"/>
      <c r="Q60" s="408"/>
      <c r="R60" s="408"/>
      <c r="S60" s="408"/>
      <c r="T60" s="408"/>
      <c r="U60" s="408"/>
      <c r="V60" s="446"/>
      <c r="W60" s="446"/>
      <c r="X60" s="457"/>
      <c r="Y60" s="458"/>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6"/>
      <c r="AW60" s="446"/>
      <c r="AX60" s="446"/>
      <c r="AY60" s="446"/>
      <c r="AZ60" s="446"/>
      <c r="BA60" s="446"/>
      <c r="BB60" s="446"/>
      <c r="BC60" s="446"/>
      <c r="BD60" s="446"/>
      <c r="BE60" s="446"/>
      <c r="BF60" s="446"/>
      <c r="BG60" s="446"/>
      <c r="BH60" s="446"/>
      <c r="BI60" s="446"/>
      <c r="BJ60" s="446"/>
      <c r="BK60" s="446"/>
      <c r="BL60" s="446"/>
      <c r="BM60" s="446"/>
      <c r="BN60" s="446"/>
      <c r="BO60" s="446"/>
      <c r="BP60" s="446"/>
      <c r="BQ60" s="446"/>
      <c r="BR60" s="446"/>
      <c r="BS60" s="446"/>
      <c r="BT60" s="446"/>
      <c r="BU60" s="446"/>
      <c r="BV60" s="446"/>
      <c r="BW60" s="446"/>
      <c r="BX60" s="446"/>
      <c r="BY60" s="446"/>
      <c r="BZ60" s="446"/>
      <c r="CA60" s="446"/>
      <c r="CB60" s="446"/>
      <c r="CC60" s="446"/>
      <c r="CD60" s="446"/>
      <c r="CE60" s="446"/>
      <c r="CF60" s="446"/>
      <c r="CG60" s="446"/>
      <c r="CH60" s="446"/>
      <c r="CI60" s="446"/>
      <c r="CJ60" s="446"/>
      <c r="CK60" s="446"/>
      <c r="CL60" s="446"/>
      <c r="CM60" s="446"/>
      <c r="CN60" s="446"/>
      <c r="CO60" s="446"/>
      <c r="CP60" s="446"/>
      <c r="CQ60" s="446"/>
      <c r="CR60" s="446"/>
      <c r="CS60" s="446"/>
      <c r="CT60" s="446"/>
      <c r="CU60" s="446"/>
      <c r="CV60" s="446"/>
      <c r="CW60" s="446"/>
      <c r="CX60" s="446"/>
      <c r="CY60" s="446"/>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row>
    <row r="61" spans="1:235" ht="14.15" customHeight="1">
      <c r="A61" s="20"/>
      <c r="B61" s="7"/>
      <c r="C61" s="7"/>
      <c r="D61" s="7"/>
      <c r="E61" s="7"/>
      <c r="F61" s="7"/>
      <c r="G61" s="7"/>
      <c r="H61" s="7"/>
      <c r="I61" s="7"/>
      <c r="J61" s="7"/>
      <c r="K61" s="7"/>
      <c r="L61" s="17"/>
      <c r="M61" s="17"/>
      <c r="N61" s="17"/>
      <c r="O61" s="673"/>
      <c r="P61" s="408"/>
      <c r="Q61" s="408"/>
      <c r="R61" s="408"/>
      <c r="S61" s="408"/>
      <c r="T61" s="408"/>
      <c r="U61" s="408"/>
      <c r="V61" s="446"/>
      <c r="W61" s="459"/>
      <c r="X61" s="460"/>
      <c r="Y61" s="460"/>
      <c r="Z61" s="446"/>
      <c r="AA61" s="446"/>
      <c r="AB61" s="446"/>
      <c r="AC61" s="446"/>
      <c r="AD61" s="446"/>
      <c r="AE61" s="446"/>
      <c r="AF61" s="446"/>
      <c r="AG61" s="446"/>
      <c r="AH61" s="446"/>
      <c r="AI61" s="446"/>
      <c r="AJ61" s="446"/>
      <c r="AK61" s="446"/>
      <c r="AL61" s="446"/>
      <c r="AM61" s="446"/>
      <c r="AN61" s="446"/>
      <c r="AO61" s="446"/>
      <c r="AP61" s="446"/>
      <c r="AQ61" s="446"/>
      <c r="AR61" s="446"/>
      <c r="AS61" s="446"/>
      <c r="AT61" s="446"/>
      <c r="AU61" s="446"/>
      <c r="AV61" s="446"/>
      <c r="AW61" s="446"/>
      <c r="AX61" s="446"/>
      <c r="AY61" s="446"/>
      <c r="AZ61" s="446"/>
      <c r="BA61" s="446"/>
      <c r="BB61" s="446"/>
      <c r="BC61" s="446"/>
      <c r="BD61" s="446"/>
      <c r="BE61" s="446"/>
      <c r="BF61" s="446"/>
      <c r="BG61" s="446"/>
      <c r="BH61" s="446"/>
      <c r="BI61" s="446"/>
      <c r="BJ61" s="446"/>
      <c r="BK61" s="446"/>
      <c r="BL61" s="446"/>
      <c r="BM61" s="446"/>
      <c r="BN61" s="446"/>
      <c r="BO61" s="446"/>
      <c r="BP61" s="446"/>
      <c r="BQ61" s="446"/>
      <c r="BR61" s="446"/>
      <c r="BS61" s="446"/>
      <c r="BT61" s="446"/>
      <c r="BU61" s="446"/>
      <c r="BV61" s="446"/>
      <c r="BW61" s="446"/>
      <c r="BX61" s="446"/>
      <c r="BY61" s="446"/>
      <c r="BZ61" s="446"/>
      <c r="CA61" s="446"/>
      <c r="CB61" s="446"/>
      <c r="CC61" s="446"/>
      <c r="CD61" s="446"/>
      <c r="CE61" s="446"/>
      <c r="CF61" s="446"/>
      <c r="CG61" s="446"/>
      <c r="CH61" s="446"/>
      <c r="CI61" s="446"/>
      <c r="CJ61" s="446"/>
      <c r="CK61" s="446"/>
      <c r="CL61" s="446"/>
      <c r="CM61" s="446"/>
      <c r="CN61" s="446"/>
      <c r="CO61" s="446"/>
      <c r="CP61" s="446"/>
      <c r="CQ61" s="446"/>
      <c r="CR61" s="446"/>
      <c r="CS61" s="446"/>
      <c r="CT61" s="446"/>
      <c r="CU61" s="446"/>
      <c r="CV61" s="446"/>
      <c r="CW61" s="446"/>
      <c r="CX61" s="446"/>
      <c r="CY61" s="446"/>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row>
    <row r="62" spans="1:235" ht="14.15" customHeight="1">
      <c r="A62" s="7"/>
      <c r="B62" s="7"/>
      <c r="C62" s="7"/>
      <c r="D62" s="7"/>
      <c r="E62" s="7"/>
      <c r="F62" s="7"/>
      <c r="G62" s="7"/>
      <c r="H62" s="7"/>
      <c r="I62" s="7"/>
      <c r="J62" s="7"/>
      <c r="K62" s="7"/>
      <c r="L62" s="17"/>
      <c r="M62" s="17"/>
      <c r="N62" s="17"/>
      <c r="O62" s="673"/>
      <c r="P62" s="408"/>
      <c r="Q62" s="408"/>
      <c r="R62" s="408"/>
      <c r="S62" s="408"/>
      <c r="T62" s="408"/>
      <c r="U62" s="408"/>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6"/>
      <c r="AW62" s="446"/>
      <c r="AX62" s="446"/>
      <c r="AY62" s="446"/>
      <c r="AZ62" s="446"/>
      <c r="BA62" s="446"/>
      <c r="BB62" s="446"/>
      <c r="BC62" s="446"/>
      <c r="BD62" s="446"/>
      <c r="BE62" s="446"/>
      <c r="BF62" s="446"/>
      <c r="BG62" s="446"/>
      <c r="BH62" s="446"/>
      <c r="BI62" s="446"/>
      <c r="BJ62" s="446"/>
      <c r="BK62" s="446"/>
      <c r="BL62" s="446"/>
      <c r="BM62" s="446"/>
      <c r="BN62" s="446"/>
      <c r="BO62" s="446"/>
      <c r="BP62" s="446"/>
      <c r="BQ62" s="446"/>
      <c r="BR62" s="446"/>
      <c r="BS62" s="446"/>
      <c r="BT62" s="446"/>
      <c r="BU62" s="446"/>
      <c r="BV62" s="446"/>
      <c r="BW62" s="446"/>
      <c r="BX62" s="446"/>
      <c r="BY62" s="446"/>
      <c r="BZ62" s="446"/>
      <c r="CA62" s="446"/>
      <c r="CB62" s="446"/>
      <c r="CC62" s="446"/>
      <c r="CD62" s="446"/>
      <c r="CE62" s="446"/>
      <c r="CF62" s="446"/>
      <c r="CG62" s="446"/>
      <c r="CH62" s="446"/>
      <c r="CI62" s="446"/>
      <c r="CJ62" s="446"/>
      <c r="CK62" s="446"/>
      <c r="CL62" s="446"/>
      <c r="CM62" s="446"/>
      <c r="CN62" s="446"/>
      <c r="CO62" s="446"/>
      <c r="CP62" s="446"/>
      <c r="CQ62" s="446"/>
      <c r="CR62" s="446"/>
      <c r="CS62" s="446"/>
      <c r="CT62" s="446"/>
      <c r="CU62" s="446"/>
      <c r="CV62" s="446"/>
      <c r="CW62" s="446"/>
      <c r="CX62" s="446"/>
      <c r="CY62" s="446"/>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row>
    <row r="63" spans="1:235" ht="14.15" customHeight="1">
      <c r="A63" s="7"/>
      <c r="B63" s="7"/>
      <c r="C63" s="7"/>
      <c r="D63" s="7"/>
      <c r="E63" s="7"/>
      <c r="F63" s="7"/>
      <c r="G63" s="7"/>
      <c r="H63" s="7"/>
      <c r="I63" s="7"/>
      <c r="J63" s="7"/>
      <c r="K63" s="7"/>
      <c r="L63" s="17"/>
      <c r="M63" s="17"/>
      <c r="N63" s="17"/>
      <c r="O63" s="673"/>
      <c r="P63" s="408"/>
      <c r="Q63" s="408"/>
      <c r="R63" s="408"/>
      <c r="S63" s="408"/>
      <c r="T63" s="408"/>
      <c r="U63" s="408"/>
      <c r="V63" s="446"/>
      <c r="W63" s="446"/>
      <c r="X63" s="446"/>
      <c r="Y63" s="446"/>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6"/>
      <c r="AW63" s="446"/>
      <c r="AX63" s="446"/>
      <c r="AY63" s="446"/>
      <c r="AZ63" s="446"/>
      <c r="BA63" s="446"/>
      <c r="BB63" s="446"/>
      <c r="BC63" s="446"/>
      <c r="BD63" s="446"/>
      <c r="BE63" s="446"/>
      <c r="BF63" s="446"/>
      <c r="BG63" s="446"/>
      <c r="BH63" s="446"/>
      <c r="BI63" s="446"/>
      <c r="BJ63" s="446"/>
      <c r="BK63" s="446"/>
      <c r="BL63" s="446"/>
      <c r="BM63" s="446"/>
      <c r="BN63" s="446"/>
      <c r="BO63" s="446"/>
      <c r="BP63" s="446"/>
      <c r="BQ63" s="446"/>
      <c r="BR63" s="446"/>
      <c r="BS63" s="446"/>
      <c r="BT63" s="446"/>
      <c r="BU63" s="446"/>
      <c r="BV63" s="446"/>
      <c r="BW63" s="446"/>
      <c r="BX63" s="446"/>
      <c r="BY63" s="446"/>
      <c r="BZ63" s="446"/>
      <c r="CA63" s="446"/>
      <c r="CB63" s="446"/>
      <c r="CC63" s="446"/>
      <c r="CD63" s="446"/>
      <c r="CE63" s="446"/>
      <c r="CF63" s="446"/>
      <c r="CG63" s="446"/>
      <c r="CH63" s="446"/>
      <c r="CI63" s="446"/>
      <c r="CJ63" s="446"/>
      <c r="CK63" s="446"/>
      <c r="CL63" s="446"/>
      <c r="CM63" s="446"/>
      <c r="CN63" s="446"/>
      <c r="CO63" s="446"/>
      <c r="CP63" s="446"/>
      <c r="CQ63" s="446"/>
      <c r="CR63" s="446"/>
      <c r="CS63" s="446"/>
      <c r="CT63" s="446"/>
      <c r="CU63" s="446"/>
      <c r="CV63" s="446"/>
      <c r="CW63" s="446"/>
      <c r="CX63" s="446"/>
      <c r="CY63" s="446"/>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row>
    <row r="64" spans="1:235" ht="14.15" customHeight="1">
      <c r="A64" s="7"/>
      <c r="B64" s="7"/>
      <c r="C64" s="7"/>
      <c r="D64" s="7"/>
      <c r="E64" s="7"/>
      <c r="F64" s="7"/>
      <c r="G64" s="7"/>
      <c r="H64" s="7"/>
      <c r="I64" s="7"/>
      <c r="J64" s="7"/>
      <c r="K64" s="7"/>
      <c r="L64" s="17"/>
      <c r="M64" s="17"/>
      <c r="N64" s="17"/>
      <c r="O64" s="673"/>
      <c r="P64" s="408"/>
      <c r="Q64" s="408"/>
      <c r="R64" s="408"/>
      <c r="S64" s="408"/>
      <c r="T64" s="408"/>
      <c r="U64" s="408"/>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6"/>
      <c r="AY64" s="446"/>
      <c r="AZ64" s="446"/>
      <c r="BA64" s="446"/>
      <c r="BB64" s="446"/>
      <c r="BC64" s="446"/>
      <c r="BD64" s="446"/>
      <c r="BE64" s="446"/>
      <c r="BF64" s="446"/>
      <c r="BG64" s="446"/>
      <c r="BH64" s="446"/>
      <c r="BI64" s="446"/>
      <c r="BJ64" s="446"/>
      <c r="BK64" s="446"/>
      <c r="BL64" s="446"/>
      <c r="BM64" s="446"/>
      <c r="BN64" s="446"/>
      <c r="BO64" s="446"/>
      <c r="BP64" s="446"/>
      <c r="BQ64" s="446"/>
      <c r="BR64" s="446"/>
      <c r="BS64" s="446"/>
      <c r="BT64" s="446"/>
      <c r="BU64" s="446"/>
      <c r="BV64" s="446"/>
      <c r="BW64" s="446"/>
      <c r="BX64" s="446"/>
      <c r="BY64" s="446"/>
      <c r="BZ64" s="446"/>
      <c r="CA64" s="446"/>
      <c r="CB64" s="446"/>
      <c r="CC64" s="446"/>
      <c r="CD64" s="446"/>
      <c r="CE64" s="446"/>
      <c r="CF64" s="446"/>
      <c r="CG64" s="446"/>
      <c r="CH64" s="446"/>
      <c r="CI64" s="446"/>
      <c r="CJ64" s="446"/>
      <c r="CK64" s="446"/>
      <c r="CL64" s="446"/>
      <c r="CM64" s="446"/>
      <c r="CN64" s="446"/>
      <c r="CO64" s="446"/>
      <c r="CP64" s="446"/>
      <c r="CQ64" s="446"/>
      <c r="CR64" s="446"/>
      <c r="CS64" s="446"/>
      <c r="CT64" s="446"/>
      <c r="CU64" s="446"/>
      <c r="CV64" s="446"/>
      <c r="CW64" s="446"/>
      <c r="CX64" s="446"/>
      <c r="CY64" s="446"/>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row>
    <row r="65" spans="1:235" ht="14.15" customHeight="1">
      <c r="A65" s="7"/>
      <c r="B65" s="7"/>
      <c r="C65" s="7"/>
      <c r="D65" s="7"/>
      <c r="E65" s="7"/>
      <c r="F65" s="7"/>
      <c r="G65" s="7"/>
      <c r="H65" s="7"/>
      <c r="I65" s="7"/>
      <c r="J65" s="7"/>
      <c r="K65" s="7"/>
      <c r="L65" s="17"/>
      <c r="M65" s="17"/>
      <c r="N65" s="17"/>
      <c r="O65" s="673"/>
      <c r="P65" s="408"/>
      <c r="Q65" s="408"/>
      <c r="R65" s="408"/>
      <c r="S65" s="408"/>
      <c r="T65" s="408"/>
      <c r="U65" s="408"/>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6"/>
      <c r="AY65" s="446"/>
      <c r="AZ65" s="446"/>
      <c r="BA65" s="446"/>
      <c r="BB65" s="446"/>
      <c r="BC65" s="446"/>
      <c r="BD65" s="446"/>
      <c r="BE65" s="446"/>
      <c r="BF65" s="446"/>
      <c r="BG65" s="446"/>
      <c r="BH65" s="446"/>
      <c r="BI65" s="446"/>
      <c r="BJ65" s="446"/>
      <c r="BK65" s="446"/>
      <c r="BL65" s="446"/>
      <c r="BM65" s="446"/>
      <c r="BN65" s="446"/>
      <c r="BO65" s="446"/>
      <c r="BP65" s="446"/>
      <c r="BQ65" s="446"/>
      <c r="BR65" s="446"/>
      <c r="BS65" s="446"/>
      <c r="BT65" s="446"/>
      <c r="BU65" s="446"/>
      <c r="BV65" s="446"/>
      <c r="BW65" s="446"/>
      <c r="BX65" s="446"/>
      <c r="BY65" s="446"/>
      <c r="BZ65" s="446"/>
      <c r="CA65" s="446"/>
      <c r="CB65" s="446"/>
      <c r="CC65" s="446"/>
      <c r="CD65" s="446"/>
      <c r="CE65" s="446"/>
      <c r="CF65" s="446"/>
      <c r="CG65" s="446"/>
      <c r="CH65" s="446"/>
      <c r="CI65" s="446"/>
      <c r="CJ65" s="446"/>
      <c r="CK65" s="446"/>
      <c r="CL65" s="446"/>
      <c r="CM65" s="446"/>
      <c r="CN65" s="446"/>
      <c r="CO65" s="446"/>
      <c r="CP65" s="446"/>
      <c r="CQ65" s="446"/>
      <c r="CR65" s="446"/>
      <c r="CS65" s="446"/>
      <c r="CT65" s="446"/>
      <c r="CU65" s="446"/>
      <c r="CV65" s="446"/>
      <c r="CW65" s="446"/>
      <c r="CX65" s="446"/>
      <c r="CY65" s="446"/>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row>
    <row r="66" spans="1:235" ht="14.15" customHeight="1">
      <c r="A66" s="7"/>
      <c r="B66" s="7"/>
      <c r="C66" s="7"/>
      <c r="D66" s="7"/>
      <c r="E66" s="7"/>
      <c r="F66" s="7"/>
      <c r="G66" s="7"/>
      <c r="H66" s="7"/>
      <c r="I66" s="7"/>
      <c r="J66" s="7"/>
      <c r="K66" s="7"/>
      <c r="L66" s="17"/>
      <c r="M66" s="17"/>
      <c r="N66" s="17"/>
      <c r="O66" s="673"/>
      <c r="P66" s="408"/>
      <c r="Q66" s="408"/>
      <c r="R66" s="408"/>
      <c r="S66" s="408"/>
      <c r="T66" s="408"/>
      <c r="U66" s="408"/>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6"/>
      <c r="AY66" s="446"/>
      <c r="AZ66" s="446"/>
      <c r="BA66" s="446"/>
      <c r="BB66" s="446"/>
      <c r="BC66" s="446"/>
      <c r="BD66" s="446"/>
      <c r="BE66" s="446"/>
      <c r="BF66" s="446"/>
      <c r="BG66" s="446"/>
      <c r="BH66" s="446"/>
      <c r="BI66" s="446"/>
      <c r="BJ66" s="446"/>
      <c r="BK66" s="446"/>
      <c r="BL66" s="446"/>
      <c r="BM66" s="446"/>
      <c r="BN66" s="446"/>
      <c r="BO66" s="446"/>
      <c r="BP66" s="446"/>
      <c r="BQ66" s="446"/>
      <c r="BR66" s="446"/>
      <c r="BS66" s="446"/>
      <c r="BT66" s="446"/>
      <c r="BU66" s="446"/>
      <c r="BV66" s="446"/>
      <c r="BW66" s="446"/>
      <c r="BX66" s="446"/>
      <c r="BY66" s="446"/>
      <c r="BZ66" s="446"/>
      <c r="CA66" s="446"/>
      <c r="CB66" s="446"/>
      <c r="CC66" s="446"/>
      <c r="CD66" s="446"/>
      <c r="CE66" s="446"/>
      <c r="CF66" s="446"/>
      <c r="CG66" s="446"/>
      <c r="CH66" s="446"/>
      <c r="CI66" s="446"/>
      <c r="CJ66" s="446"/>
      <c r="CK66" s="446"/>
      <c r="CL66" s="446"/>
      <c r="CM66" s="446"/>
      <c r="CN66" s="446"/>
      <c r="CO66" s="446"/>
      <c r="CP66" s="446"/>
      <c r="CQ66" s="446"/>
      <c r="CR66" s="446"/>
      <c r="CS66" s="446"/>
      <c r="CT66" s="446"/>
      <c r="CU66" s="446"/>
      <c r="CV66" s="446"/>
      <c r="CW66" s="446"/>
      <c r="CX66" s="446"/>
      <c r="CY66" s="446"/>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row>
    <row r="67" spans="1:235" ht="14.15" customHeight="1">
      <c r="A67" s="7"/>
      <c r="B67" s="7"/>
      <c r="C67" s="7"/>
      <c r="D67" s="7"/>
      <c r="E67" s="7"/>
      <c r="F67" s="7"/>
      <c r="G67" s="7"/>
      <c r="H67" s="7"/>
      <c r="I67" s="7"/>
      <c r="J67" s="7"/>
      <c r="K67" s="7"/>
      <c r="L67" s="17"/>
      <c r="M67" s="17"/>
      <c r="N67" s="17"/>
      <c r="O67" s="673"/>
      <c r="P67" s="408"/>
      <c r="Q67" s="408"/>
      <c r="R67" s="408"/>
      <c r="S67" s="408"/>
      <c r="T67" s="408"/>
      <c r="U67" s="408"/>
      <c r="V67" s="446"/>
      <c r="W67" s="446"/>
      <c r="X67" s="446"/>
      <c r="Y67" s="446"/>
      <c r="Z67" s="446"/>
      <c r="AA67" s="446"/>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6"/>
      <c r="AY67" s="446"/>
      <c r="AZ67" s="446"/>
      <c r="BA67" s="446"/>
      <c r="BB67" s="446"/>
      <c r="BC67" s="446"/>
      <c r="BD67" s="446"/>
      <c r="BE67" s="446"/>
      <c r="BF67" s="446"/>
      <c r="BG67" s="446"/>
      <c r="BH67" s="446"/>
      <c r="BI67" s="446"/>
      <c r="BJ67" s="446"/>
      <c r="BK67" s="446"/>
      <c r="BL67" s="446"/>
      <c r="BM67" s="446"/>
      <c r="BN67" s="446"/>
      <c r="BO67" s="446"/>
      <c r="BP67" s="446"/>
      <c r="BQ67" s="446"/>
      <c r="BR67" s="446"/>
      <c r="BS67" s="446"/>
      <c r="BT67" s="446"/>
      <c r="BU67" s="446"/>
      <c r="BV67" s="446"/>
      <c r="BW67" s="446"/>
      <c r="BX67" s="446"/>
      <c r="BY67" s="446"/>
      <c r="BZ67" s="446"/>
      <c r="CA67" s="446"/>
      <c r="CB67" s="446"/>
      <c r="CC67" s="446"/>
      <c r="CD67" s="446"/>
      <c r="CE67" s="446"/>
      <c r="CF67" s="446"/>
      <c r="CG67" s="446"/>
      <c r="CH67" s="446"/>
      <c r="CI67" s="446"/>
      <c r="CJ67" s="446"/>
      <c r="CK67" s="446"/>
      <c r="CL67" s="446"/>
      <c r="CM67" s="446"/>
      <c r="CN67" s="446"/>
      <c r="CO67" s="446"/>
      <c r="CP67" s="446"/>
      <c r="CQ67" s="446"/>
      <c r="CR67" s="446"/>
      <c r="CS67" s="446"/>
      <c r="CT67" s="446"/>
      <c r="CU67" s="446"/>
      <c r="CV67" s="446"/>
      <c r="CW67" s="446"/>
      <c r="CX67" s="446"/>
      <c r="CY67" s="446"/>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row>
    <row r="68" spans="1:235" ht="14.15" customHeight="1">
      <c r="A68" s="7"/>
      <c r="B68" s="7"/>
      <c r="C68" s="7"/>
      <c r="D68" s="7"/>
      <c r="E68" s="7"/>
      <c r="F68" s="7"/>
      <c r="G68" s="7"/>
      <c r="H68" s="7"/>
      <c r="I68" s="7"/>
      <c r="J68" s="7"/>
      <c r="K68" s="7"/>
      <c r="L68" s="17"/>
      <c r="M68" s="17"/>
      <c r="N68" s="17"/>
      <c r="O68" s="673"/>
      <c r="P68" s="408"/>
      <c r="Q68" s="408"/>
      <c r="R68" s="408"/>
      <c r="S68" s="408"/>
      <c r="T68" s="408"/>
      <c r="U68" s="408"/>
      <c r="V68" s="446"/>
      <c r="W68" s="446"/>
      <c r="X68" s="446"/>
      <c r="Y68" s="446"/>
      <c r="Z68" s="446"/>
      <c r="AA68" s="446"/>
      <c r="AB68" s="446"/>
      <c r="AC68" s="446"/>
      <c r="AD68" s="446"/>
      <c r="AE68" s="446"/>
      <c r="AF68" s="446"/>
      <c r="AG68" s="446"/>
      <c r="AH68" s="446"/>
      <c r="AI68" s="446"/>
      <c r="AJ68" s="446"/>
      <c r="AK68" s="446"/>
      <c r="AL68" s="446"/>
      <c r="AM68" s="446"/>
      <c r="AN68" s="446"/>
      <c r="AO68" s="446"/>
      <c r="AP68" s="446"/>
      <c r="AQ68" s="446"/>
      <c r="AR68" s="446"/>
      <c r="AS68" s="446"/>
      <c r="AT68" s="446"/>
      <c r="AU68" s="446"/>
      <c r="AV68" s="446"/>
      <c r="AW68" s="446"/>
      <c r="AX68" s="446"/>
      <c r="AY68" s="446"/>
      <c r="AZ68" s="446"/>
      <c r="BA68" s="446"/>
      <c r="BB68" s="446"/>
      <c r="BC68" s="446"/>
      <c r="BD68" s="446"/>
      <c r="BE68" s="446"/>
      <c r="BF68" s="446"/>
      <c r="BG68" s="446"/>
      <c r="BH68" s="446"/>
      <c r="BI68" s="446"/>
      <c r="BJ68" s="446"/>
      <c r="BK68" s="446"/>
      <c r="BL68" s="446"/>
      <c r="BM68" s="446"/>
      <c r="BN68" s="446"/>
      <c r="BO68" s="446"/>
      <c r="BP68" s="446"/>
      <c r="BQ68" s="446"/>
      <c r="BR68" s="446"/>
      <c r="BS68" s="446"/>
      <c r="BT68" s="446"/>
      <c r="BU68" s="446"/>
      <c r="BV68" s="446"/>
      <c r="BW68" s="446"/>
      <c r="BX68" s="446"/>
      <c r="BY68" s="446"/>
      <c r="BZ68" s="446"/>
      <c r="CA68" s="446"/>
      <c r="CB68" s="446"/>
      <c r="CC68" s="446"/>
      <c r="CD68" s="446"/>
      <c r="CE68" s="446"/>
      <c r="CF68" s="446"/>
      <c r="CG68" s="446"/>
      <c r="CH68" s="446"/>
      <c r="CI68" s="446"/>
      <c r="CJ68" s="446"/>
      <c r="CK68" s="446"/>
      <c r="CL68" s="446"/>
      <c r="CM68" s="446"/>
      <c r="CN68" s="446"/>
      <c r="CO68" s="446"/>
      <c r="CP68" s="446"/>
      <c r="CQ68" s="446"/>
      <c r="CR68" s="446"/>
      <c r="CS68" s="446"/>
      <c r="CT68" s="446"/>
      <c r="CU68" s="446"/>
      <c r="CV68" s="446"/>
      <c r="CW68" s="446"/>
      <c r="CX68" s="446"/>
      <c r="CY68" s="446"/>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row>
    <row r="69" spans="1:235" ht="14.15" customHeight="1">
      <c r="A69" s="7"/>
      <c r="B69" s="7"/>
      <c r="C69" s="7"/>
      <c r="D69" s="7"/>
      <c r="E69" s="7"/>
      <c r="F69" s="7"/>
      <c r="G69" s="7"/>
      <c r="H69" s="7"/>
      <c r="I69" s="7"/>
      <c r="J69" s="7"/>
      <c r="K69" s="7"/>
      <c r="L69" s="17"/>
      <c r="M69" s="17"/>
      <c r="N69" s="17"/>
      <c r="O69" s="673"/>
      <c r="P69" s="408"/>
      <c r="Q69" s="408"/>
      <c r="R69" s="408"/>
      <c r="S69" s="408"/>
      <c r="T69" s="408"/>
      <c r="U69" s="408"/>
      <c r="V69" s="446"/>
      <c r="W69" s="446"/>
      <c r="X69" s="446"/>
      <c r="Y69" s="446"/>
      <c r="Z69" s="446"/>
      <c r="AA69" s="446"/>
      <c r="AB69" s="446"/>
      <c r="AC69" s="446"/>
      <c r="AD69" s="446"/>
      <c r="AE69" s="446"/>
      <c r="AF69" s="446"/>
      <c r="AG69" s="446"/>
      <c r="AH69" s="446"/>
      <c r="AI69" s="446"/>
      <c r="AJ69" s="446"/>
      <c r="AK69" s="446"/>
      <c r="AL69" s="446"/>
      <c r="AM69" s="446"/>
      <c r="AN69" s="446"/>
      <c r="AO69" s="446"/>
      <c r="AP69" s="446"/>
      <c r="AQ69" s="446"/>
      <c r="AR69" s="446"/>
      <c r="AS69" s="446"/>
      <c r="AT69" s="446"/>
      <c r="AU69" s="446"/>
      <c r="AV69" s="446"/>
      <c r="AW69" s="446"/>
      <c r="AX69" s="446"/>
      <c r="AY69" s="446"/>
      <c r="AZ69" s="446"/>
      <c r="BA69" s="446"/>
      <c r="BB69" s="446"/>
      <c r="BC69" s="446"/>
      <c r="BD69" s="446"/>
      <c r="BE69" s="446"/>
      <c r="BF69" s="446"/>
      <c r="BG69" s="446"/>
      <c r="BH69" s="446"/>
      <c r="BI69" s="446"/>
      <c r="BJ69" s="446"/>
      <c r="BK69" s="446"/>
      <c r="BL69" s="446"/>
      <c r="BM69" s="446"/>
      <c r="BN69" s="446"/>
      <c r="BO69" s="446"/>
      <c r="BP69" s="446"/>
      <c r="BQ69" s="446"/>
      <c r="BR69" s="446"/>
      <c r="BS69" s="446"/>
      <c r="BT69" s="446"/>
      <c r="BU69" s="446"/>
      <c r="BV69" s="446"/>
      <c r="BW69" s="446"/>
      <c r="BX69" s="446"/>
      <c r="BY69" s="446"/>
      <c r="BZ69" s="446"/>
      <c r="CA69" s="446"/>
      <c r="CB69" s="446"/>
      <c r="CC69" s="446"/>
      <c r="CD69" s="446"/>
      <c r="CE69" s="446"/>
      <c r="CF69" s="446"/>
      <c r="CG69" s="446"/>
      <c r="CH69" s="446"/>
      <c r="CI69" s="446"/>
      <c r="CJ69" s="446"/>
      <c r="CK69" s="446"/>
      <c r="CL69" s="446"/>
      <c r="CM69" s="446"/>
      <c r="CN69" s="446"/>
      <c r="CO69" s="446"/>
      <c r="CP69" s="446"/>
      <c r="CQ69" s="446"/>
      <c r="CR69" s="446"/>
      <c r="CS69" s="446"/>
      <c r="CT69" s="446"/>
      <c r="CU69" s="446"/>
      <c r="CV69" s="446"/>
      <c r="CW69" s="446"/>
      <c r="CX69" s="446"/>
      <c r="CY69" s="446"/>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row>
    <row r="70" spans="1:235" ht="14.15" customHeight="1">
      <c r="A70" s="7"/>
      <c r="B70" s="7"/>
      <c r="C70" s="7"/>
      <c r="D70" s="7"/>
      <c r="E70" s="7"/>
      <c r="F70" s="7"/>
      <c r="G70" s="7"/>
      <c r="H70" s="7"/>
      <c r="I70" s="7"/>
      <c r="J70" s="7"/>
      <c r="K70" s="7"/>
      <c r="L70" s="17"/>
      <c r="M70" s="17"/>
      <c r="N70" s="17"/>
      <c r="O70" s="673"/>
      <c r="P70" s="408"/>
      <c r="Q70" s="408"/>
      <c r="R70" s="408"/>
      <c r="S70" s="408"/>
      <c r="T70" s="408"/>
      <c r="U70" s="408"/>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6"/>
      <c r="AY70" s="446"/>
      <c r="AZ70" s="446"/>
      <c r="BA70" s="446"/>
      <c r="BB70" s="446"/>
      <c r="BC70" s="446"/>
      <c r="BD70" s="446"/>
      <c r="BE70" s="446"/>
      <c r="BF70" s="446"/>
      <c r="BG70" s="446"/>
      <c r="BH70" s="446"/>
      <c r="BI70" s="446"/>
      <c r="BJ70" s="446"/>
      <c r="BK70" s="446"/>
      <c r="BL70" s="446"/>
      <c r="BM70" s="446"/>
      <c r="BN70" s="446"/>
      <c r="BO70" s="446"/>
      <c r="BP70" s="446"/>
      <c r="BQ70" s="446"/>
      <c r="BR70" s="446"/>
      <c r="BS70" s="446"/>
      <c r="BT70" s="446"/>
      <c r="BU70" s="446"/>
      <c r="BV70" s="446"/>
      <c r="BW70" s="446"/>
      <c r="BX70" s="446"/>
      <c r="BY70" s="446"/>
      <c r="BZ70" s="446"/>
      <c r="CA70" s="446"/>
      <c r="CB70" s="446"/>
      <c r="CC70" s="446"/>
      <c r="CD70" s="446"/>
      <c r="CE70" s="446"/>
      <c r="CF70" s="446"/>
      <c r="CG70" s="446"/>
      <c r="CH70" s="446"/>
      <c r="CI70" s="446"/>
      <c r="CJ70" s="446"/>
      <c r="CK70" s="446"/>
      <c r="CL70" s="446"/>
      <c r="CM70" s="446"/>
      <c r="CN70" s="446"/>
      <c r="CO70" s="446"/>
      <c r="CP70" s="446"/>
      <c r="CQ70" s="446"/>
      <c r="CR70" s="446"/>
      <c r="CS70" s="446"/>
      <c r="CT70" s="446"/>
      <c r="CU70" s="446"/>
      <c r="CV70" s="446"/>
      <c r="CW70" s="446"/>
      <c r="CX70" s="446"/>
      <c r="CY70" s="446"/>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row>
    <row r="71" spans="1:235" ht="14.15" customHeight="1">
      <c r="A71" s="7"/>
      <c r="B71" s="7"/>
      <c r="C71" s="7"/>
      <c r="D71" s="7"/>
      <c r="E71" s="7"/>
      <c r="F71" s="7"/>
      <c r="G71" s="7"/>
      <c r="H71" s="7"/>
      <c r="I71" s="7"/>
      <c r="J71" s="7"/>
      <c r="K71" s="7"/>
      <c r="L71" s="17"/>
      <c r="M71" s="17"/>
      <c r="N71" s="17"/>
      <c r="O71" s="673"/>
      <c r="P71" s="408"/>
      <c r="Q71" s="408"/>
      <c r="R71" s="408"/>
      <c r="S71" s="408"/>
      <c r="T71" s="408"/>
      <c r="U71" s="408"/>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446"/>
      <c r="BK71" s="446"/>
      <c r="BL71" s="446"/>
      <c r="BM71" s="446"/>
      <c r="BN71" s="446"/>
      <c r="BO71" s="446"/>
      <c r="BP71" s="446"/>
      <c r="BQ71" s="446"/>
      <c r="BR71" s="446"/>
      <c r="BS71" s="446"/>
      <c r="BT71" s="446"/>
      <c r="BU71" s="446"/>
      <c r="BV71" s="446"/>
      <c r="BW71" s="446"/>
      <c r="BX71" s="446"/>
      <c r="BY71" s="446"/>
      <c r="BZ71" s="446"/>
      <c r="CA71" s="446"/>
      <c r="CB71" s="446"/>
      <c r="CC71" s="446"/>
      <c r="CD71" s="446"/>
      <c r="CE71" s="446"/>
      <c r="CF71" s="446"/>
      <c r="CG71" s="446"/>
      <c r="CH71" s="446"/>
      <c r="CI71" s="446"/>
      <c r="CJ71" s="446"/>
      <c r="CK71" s="446"/>
      <c r="CL71" s="446"/>
      <c r="CM71" s="446"/>
      <c r="CN71" s="446"/>
      <c r="CO71" s="446"/>
      <c r="CP71" s="446"/>
      <c r="CQ71" s="446"/>
      <c r="CR71" s="446"/>
      <c r="CS71" s="446"/>
      <c r="CT71" s="446"/>
      <c r="CU71" s="446"/>
      <c r="CV71" s="446"/>
      <c r="CW71" s="446"/>
      <c r="CX71" s="446"/>
      <c r="CY71" s="446"/>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row>
    <row r="72" spans="1:235" ht="14.15" customHeight="1">
      <c r="A72" s="7"/>
      <c r="B72" s="7"/>
      <c r="C72" s="7"/>
      <c r="D72" s="7"/>
      <c r="E72" s="7"/>
      <c r="F72" s="7"/>
      <c r="G72" s="7"/>
      <c r="H72" s="7"/>
      <c r="I72" s="7"/>
      <c r="J72" s="7"/>
      <c r="K72" s="7"/>
      <c r="L72" s="17"/>
      <c r="M72" s="17"/>
      <c r="N72" s="17"/>
      <c r="O72" s="673"/>
      <c r="P72" s="408"/>
      <c r="Q72" s="408"/>
      <c r="R72" s="408"/>
      <c r="S72" s="408"/>
      <c r="T72" s="408"/>
      <c r="U72" s="408"/>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6"/>
      <c r="AZ72" s="446"/>
      <c r="BA72" s="446"/>
      <c r="BB72" s="446"/>
      <c r="BC72" s="446"/>
      <c r="BD72" s="446"/>
      <c r="BE72" s="446"/>
      <c r="BF72" s="446"/>
      <c r="BG72" s="446"/>
      <c r="BH72" s="446"/>
      <c r="BI72" s="446"/>
      <c r="BJ72" s="446"/>
      <c r="BK72" s="446"/>
      <c r="BL72" s="446"/>
      <c r="BM72" s="446"/>
      <c r="BN72" s="446"/>
      <c r="BO72" s="446"/>
      <c r="BP72" s="446"/>
      <c r="BQ72" s="446"/>
      <c r="BR72" s="446"/>
      <c r="BS72" s="446"/>
      <c r="BT72" s="446"/>
      <c r="BU72" s="446"/>
      <c r="BV72" s="446"/>
      <c r="BW72" s="446"/>
      <c r="BX72" s="446"/>
      <c r="BY72" s="446"/>
      <c r="BZ72" s="446"/>
      <c r="CA72" s="446"/>
      <c r="CB72" s="446"/>
      <c r="CC72" s="446"/>
      <c r="CD72" s="446"/>
      <c r="CE72" s="446"/>
      <c r="CF72" s="446"/>
      <c r="CG72" s="446"/>
      <c r="CH72" s="446"/>
      <c r="CI72" s="446"/>
      <c r="CJ72" s="446"/>
      <c r="CK72" s="446"/>
      <c r="CL72" s="446"/>
      <c r="CM72" s="446"/>
      <c r="CN72" s="446"/>
      <c r="CO72" s="446"/>
      <c r="CP72" s="446"/>
      <c r="CQ72" s="446"/>
      <c r="CR72" s="446"/>
      <c r="CS72" s="446"/>
      <c r="CT72" s="446"/>
      <c r="CU72" s="446"/>
      <c r="CV72" s="446"/>
      <c r="CW72" s="446"/>
      <c r="CX72" s="446"/>
      <c r="CY72" s="446"/>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row>
    <row r="73" spans="1:235" ht="14.15" customHeight="1">
      <c r="A73" s="7"/>
      <c r="B73" s="7"/>
      <c r="C73" s="7"/>
      <c r="D73" s="7"/>
      <c r="E73" s="7"/>
      <c r="F73" s="7"/>
      <c r="G73" s="7"/>
      <c r="H73" s="7"/>
      <c r="I73" s="7"/>
      <c r="J73" s="7"/>
      <c r="K73" s="7"/>
      <c r="L73" s="17"/>
      <c r="M73" s="17"/>
      <c r="N73" s="17"/>
      <c r="O73" s="673"/>
      <c r="P73" s="408"/>
      <c r="Q73" s="408"/>
      <c r="R73" s="408"/>
      <c r="S73" s="408"/>
      <c r="T73" s="408"/>
      <c r="U73" s="408"/>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446"/>
      <c r="BB73" s="446"/>
      <c r="BC73" s="446"/>
      <c r="BD73" s="446"/>
      <c r="BE73" s="446"/>
      <c r="BF73" s="446"/>
      <c r="BG73" s="446"/>
      <c r="BH73" s="446"/>
      <c r="BI73" s="446"/>
      <c r="BJ73" s="446"/>
      <c r="BK73" s="446"/>
      <c r="BL73" s="446"/>
      <c r="BM73" s="446"/>
      <c r="BN73" s="446"/>
      <c r="BO73" s="446"/>
      <c r="BP73" s="446"/>
      <c r="BQ73" s="446"/>
      <c r="BR73" s="446"/>
      <c r="BS73" s="446"/>
      <c r="BT73" s="446"/>
      <c r="BU73" s="446"/>
      <c r="BV73" s="446"/>
      <c r="BW73" s="446"/>
      <c r="BX73" s="446"/>
      <c r="BY73" s="446"/>
      <c r="BZ73" s="446"/>
      <c r="CA73" s="446"/>
      <c r="CB73" s="446"/>
      <c r="CC73" s="446"/>
      <c r="CD73" s="446"/>
      <c r="CE73" s="446"/>
      <c r="CF73" s="446"/>
      <c r="CG73" s="446"/>
      <c r="CH73" s="446"/>
      <c r="CI73" s="446"/>
      <c r="CJ73" s="446"/>
      <c r="CK73" s="446"/>
      <c r="CL73" s="446"/>
      <c r="CM73" s="446"/>
      <c r="CN73" s="446"/>
      <c r="CO73" s="446"/>
      <c r="CP73" s="446"/>
      <c r="CQ73" s="446"/>
      <c r="CR73" s="446"/>
      <c r="CS73" s="446"/>
      <c r="CT73" s="446"/>
      <c r="CU73" s="446"/>
      <c r="CV73" s="446"/>
      <c r="CW73" s="446"/>
      <c r="CX73" s="446"/>
      <c r="CY73" s="446"/>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row>
    <row r="74" spans="1:235" ht="14.15" customHeight="1">
      <c r="A74" s="7"/>
      <c r="B74" s="7"/>
      <c r="C74" s="7"/>
      <c r="D74" s="7"/>
      <c r="E74" s="7"/>
      <c r="F74" s="7"/>
      <c r="G74" s="7"/>
      <c r="H74" s="7"/>
      <c r="I74" s="7"/>
      <c r="J74" s="7"/>
      <c r="K74" s="7"/>
      <c r="L74" s="17"/>
      <c r="M74" s="17"/>
      <c r="N74" s="17"/>
      <c r="O74" s="673"/>
      <c r="P74" s="408"/>
      <c r="Q74" s="408"/>
      <c r="R74" s="408"/>
      <c r="S74" s="408"/>
      <c r="T74" s="408"/>
      <c r="U74" s="408"/>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6"/>
      <c r="AZ74" s="446"/>
      <c r="BA74" s="446"/>
      <c r="BB74" s="446"/>
      <c r="BC74" s="446"/>
      <c r="BD74" s="446"/>
      <c r="BE74" s="446"/>
      <c r="BF74" s="446"/>
      <c r="BG74" s="446"/>
      <c r="BH74" s="446"/>
      <c r="BI74" s="446"/>
      <c r="BJ74" s="446"/>
      <c r="BK74" s="446"/>
      <c r="BL74" s="446"/>
      <c r="BM74" s="446"/>
      <c r="BN74" s="446"/>
      <c r="BO74" s="446"/>
      <c r="BP74" s="446"/>
      <c r="BQ74" s="446"/>
      <c r="BR74" s="446"/>
      <c r="BS74" s="446"/>
      <c r="BT74" s="446"/>
      <c r="BU74" s="446"/>
      <c r="BV74" s="446"/>
      <c r="BW74" s="446"/>
      <c r="BX74" s="446"/>
      <c r="BY74" s="446"/>
      <c r="BZ74" s="446"/>
      <c r="CA74" s="446"/>
      <c r="CB74" s="446"/>
      <c r="CC74" s="446"/>
      <c r="CD74" s="446"/>
      <c r="CE74" s="446"/>
      <c r="CF74" s="446"/>
      <c r="CG74" s="446"/>
      <c r="CH74" s="446"/>
      <c r="CI74" s="446"/>
      <c r="CJ74" s="446"/>
      <c r="CK74" s="446"/>
      <c r="CL74" s="446"/>
      <c r="CM74" s="446"/>
      <c r="CN74" s="446"/>
      <c r="CO74" s="446"/>
      <c r="CP74" s="446"/>
      <c r="CQ74" s="446"/>
      <c r="CR74" s="446"/>
      <c r="CS74" s="446"/>
      <c r="CT74" s="446"/>
      <c r="CU74" s="446"/>
      <c r="CV74" s="446"/>
      <c r="CW74" s="446"/>
      <c r="CX74" s="446"/>
      <c r="CY74" s="446"/>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row>
    <row r="75" spans="1:235" ht="14.15" customHeight="1">
      <c r="A75" s="7"/>
      <c r="B75" s="7"/>
      <c r="C75" s="7"/>
      <c r="D75" s="7"/>
      <c r="E75" s="7"/>
      <c r="F75" s="7"/>
      <c r="G75" s="7"/>
      <c r="H75" s="7"/>
      <c r="I75" s="7"/>
      <c r="J75" s="7"/>
      <c r="K75" s="7"/>
      <c r="L75" s="17"/>
      <c r="M75" s="17"/>
      <c r="N75" s="17"/>
      <c r="O75" s="673"/>
      <c r="P75" s="408"/>
      <c r="Q75" s="408"/>
      <c r="R75" s="408"/>
      <c r="S75" s="408"/>
      <c r="T75" s="408"/>
      <c r="U75" s="408"/>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c r="BH75" s="446"/>
      <c r="BI75" s="446"/>
      <c r="BJ75" s="446"/>
      <c r="BK75" s="446"/>
      <c r="BL75" s="446"/>
      <c r="BM75" s="446"/>
      <c r="BN75" s="446"/>
      <c r="BO75" s="446"/>
      <c r="BP75" s="446"/>
      <c r="BQ75" s="446"/>
      <c r="BR75" s="446"/>
      <c r="BS75" s="446"/>
      <c r="BT75" s="446"/>
      <c r="BU75" s="446"/>
      <c r="BV75" s="446"/>
      <c r="BW75" s="446"/>
      <c r="BX75" s="446"/>
      <c r="BY75" s="446"/>
      <c r="BZ75" s="446"/>
      <c r="CA75" s="446"/>
      <c r="CB75" s="446"/>
      <c r="CC75" s="446"/>
      <c r="CD75" s="446"/>
      <c r="CE75" s="446"/>
      <c r="CF75" s="446"/>
      <c r="CG75" s="446"/>
      <c r="CH75" s="446"/>
      <c r="CI75" s="446"/>
      <c r="CJ75" s="446"/>
      <c r="CK75" s="446"/>
      <c r="CL75" s="446"/>
      <c r="CM75" s="446"/>
      <c r="CN75" s="446"/>
      <c r="CO75" s="446"/>
      <c r="CP75" s="446"/>
      <c r="CQ75" s="446"/>
      <c r="CR75" s="446"/>
      <c r="CS75" s="446"/>
      <c r="CT75" s="446"/>
      <c r="CU75" s="446"/>
      <c r="CV75" s="446"/>
      <c r="CW75" s="446"/>
      <c r="CX75" s="446"/>
      <c r="CY75" s="446"/>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row>
    <row r="76" spans="1:235" ht="14.15" customHeight="1">
      <c r="A76" s="7"/>
      <c r="B76" s="7"/>
      <c r="C76" s="7"/>
      <c r="D76" s="7"/>
      <c r="E76" s="7"/>
      <c r="F76" s="7"/>
      <c r="G76" s="7"/>
      <c r="H76" s="7"/>
      <c r="I76" s="7"/>
      <c r="J76" s="7"/>
      <c r="K76" s="7"/>
      <c r="L76" s="17"/>
      <c r="M76" s="17"/>
      <c r="N76" s="17"/>
      <c r="O76" s="673"/>
      <c r="P76" s="408"/>
      <c r="Q76" s="408"/>
      <c r="R76" s="408"/>
      <c r="S76" s="408"/>
      <c r="T76" s="408"/>
      <c r="U76" s="408"/>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6"/>
      <c r="AZ76" s="446"/>
      <c r="BA76" s="446"/>
      <c r="BB76" s="446"/>
      <c r="BC76" s="446"/>
      <c r="BD76" s="446"/>
      <c r="BE76" s="446"/>
      <c r="BF76" s="446"/>
      <c r="BG76" s="446"/>
      <c r="BH76" s="446"/>
      <c r="BI76" s="446"/>
      <c r="BJ76" s="446"/>
      <c r="BK76" s="446"/>
      <c r="BL76" s="446"/>
      <c r="BM76" s="446"/>
      <c r="BN76" s="446"/>
      <c r="BO76" s="446"/>
      <c r="BP76" s="446"/>
      <c r="BQ76" s="446"/>
      <c r="BR76" s="446"/>
      <c r="BS76" s="446"/>
      <c r="BT76" s="446"/>
      <c r="BU76" s="446"/>
      <c r="BV76" s="446"/>
      <c r="BW76" s="446"/>
      <c r="BX76" s="446"/>
      <c r="BY76" s="446"/>
      <c r="BZ76" s="446"/>
      <c r="CA76" s="446"/>
      <c r="CB76" s="446"/>
      <c r="CC76" s="446"/>
      <c r="CD76" s="446"/>
      <c r="CE76" s="446"/>
      <c r="CF76" s="446"/>
      <c r="CG76" s="446"/>
      <c r="CH76" s="446"/>
      <c r="CI76" s="446"/>
      <c r="CJ76" s="446"/>
      <c r="CK76" s="446"/>
      <c r="CL76" s="446"/>
      <c r="CM76" s="446"/>
      <c r="CN76" s="446"/>
      <c r="CO76" s="446"/>
      <c r="CP76" s="446"/>
      <c r="CQ76" s="446"/>
      <c r="CR76" s="446"/>
      <c r="CS76" s="446"/>
      <c r="CT76" s="446"/>
      <c r="CU76" s="446"/>
      <c r="CV76" s="446"/>
      <c r="CW76" s="446"/>
      <c r="CX76" s="446"/>
      <c r="CY76" s="446"/>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row>
    <row r="77" spans="1:235" ht="14.15" customHeight="1">
      <c r="A77" s="7"/>
      <c r="B77" s="7"/>
      <c r="C77" s="7"/>
      <c r="D77" s="7"/>
      <c r="E77" s="7"/>
      <c r="F77" s="7"/>
      <c r="G77" s="7"/>
      <c r="H77" s="7"/>
      <c r="I77" s="7"/>
      <c r="J77" s="7"/>
      <c r="K77" s="7"/>
      <c r="L77" s="17"/>
      <c r="M77" s="17"/>
      <c r="N77" s="17"/>
      <c r="O77" s="673"/>
      <c r="P77" s="408"/>
      <c r="Q77" s="408"/>
      <c r="R77" s="408"/>
      <c r="S77" s="408"/>
      <c r="T77" s="408"/>
      <c r="U77" s="408"/>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6"/>
      <c r="AY77" s="446"/>
      <c r="AZ77" s="446"/>
      <c r="BA77" s="446"/>
      <c r="BB77" s="446"/>
      <c r="BC77" s="446"/>
      <c r="BD77" s="446"/>
      <c r="BE77" s="446"/>
      <c r="BF77" s="446"/>
      <c r="BG77" s="446"/>
      <c r="BH77" s="446"/>
      <c r="BI77" s="446"/>
      <c r="BJ77" s="446"/>
      <c r="BK77" s="446"/>
      <c r="BL77" s="446"/>
      <c r="BM77" s="446"/>
      <c r="BN77" s="446"/>
      <c r="BO77" s="446"/>
      <c r="BP77" s="446"/>
      <c r="BQ77" s="446"/>
      <c r="BR77" s="446"/>
      <c r="BS77" s="446"/>
      <c r="BT77" s="446"/>
      <c r="BU77" s="446"/>
      <c r="BV77" s="446"/>
      <c r="BW77" s="446"/>
      <c r="BX77" s="446"/>
      <c r="BY77" s="446"/>
      <c r="BZ77" s="446"/>
      <c r="CA77" s="446"/>
      <c r="CB77" s="446"/>
      <c r="CC77" s="446"/>
      <c r="CD77" s="446"/>
      <c r="CE77" s="446"/>
      <c r="CF77" s="446"/>
      <c r="CG77" s="446"/>
      <c r="CH77" s="446"/>
      <c r="CI77" s="446"/>
      <c r="CJ77" s="446"/>
      <c r="CK77" s="446"/>
      <c r="CL77" s="446"/>
      <c r="CM77" s="446"/>
      <c r="CN77" s="446"/>
      <c r="CO77" s="446"/>
      <c r="CP77" s="446"/>
      <c r="CQ77" s="446"/>
      <c r="CR77" s="446"/>
      <c r="CS77" s="446"/>
      <c r="CT77" s="446"/>
      <c r="CU77" s="446"/>
      <c r="CV77" s="446"/>
      <c r="CW77" s="446"/>
      <c r="CX77" s="446"/>
      <c r="CY77" s="446"/>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row>
    <row r="78" spans="1:235" ht="14.15" customHeight="1">
      <c r="A78" s="7"/>
      <c r="B78" s="7"/>
      <c r="C78" s="7"/>
      <c r="D78" s="7"/>
      <c r="E78" s="7"/>
      <c r="F78" s="7"/>
      <c r="G78" s="7"/>
      <c r="H78" s="7"/>
      <c r="I78" s="7"/>
      <c r="J78" s="7"/>
      <c r="K78" s="7"/>
      <c r="L78" s="17"/>
      <c r="M78" s="17"/>
      <c r="N78" s="17"/>
      <c r="O78" s="673"/>
      <c r="P78" s="408"/>
      <c r="Q78" s="408"/>
      <c r="R78" s="408"/>
      <c r="S78" s="408"/>
      <c r="T78" s="408"/>
      <c r="U78" s="408"/>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6"/>
      <c r="BD78" s="446"/>
      <c r="BE78" s="446"/>
      <c r="BF78" s="446"/>
      <c r="BG78" s="446"/>
      <c r="BH78" s="446"/>
      <c r="BI78" s="446"/>
      <c r="BJ78" s="446"/>
      <c r="BK78" s="446"/>
      <c r="BL78" s="446"/>
      <c r="BM78" s="446"/>
      <c r="BN78" s="446"/>
      <c r="BO78" s="446"/>
      <c r="BP78" s="446"/>
      <c r="BQ78" s="446"/>
      <c r="BR78" s="446"/>
      <c r="BS78" s="446"/>
      <c r="BT78" s="446"/>
      <c r="BU78" s="446"/>
      <c r="BV78" s="446"/>
      <c r="BW78" s="446"/>
      <c r="BX78" s="446"/>
      <c r="BY78" s="446"/>
      <c r="BZ78" s="446"/>
      <c r="CA78" s="446"/>
      <c r="CB78" s="446"/>
      <c r="CC78" s="446"/>
      <c r="CD78" s="446"/>
      <c r="CE78" s="446"/>
      <c r="CF78" s="446"/>
      <c r="CG78" s="446"/>
      <c r="CH78" s="446"/>
      <c r="CI78" s="446"/>
      <c r="CJ78" s="446"/>
      <c r="CK78" s="446"/>
      <c r="CL78" s="446"/>
      <c r="CM78" s="446"/>
      <c r="CN78" s="446"/>
      <c r="CO78" s="446"/>
      <c r="CP78" s="446"/>
      <c r="CQ78" s="446"/>
      <c r="CR78" s="446"/>
      <c r="CS78" s="446"/>
      <c r="CT78" s="446"/>
      <c r="CU78" s="446"/>
      <c r="CV78" s="446"/>
      <c r="CW78" s="446"/>
      <c r="CX78" s="446"/>
      <c r="CY78" s="446"/>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row>
    <row r="79" spans="1:235" ht="14.15" customHeight="1">
      <c r="A79" s="7"/>
      <c r="B79" s="7"/>
      <c r="C79" s="7"/>
      <c r="D79" s="7"/>
      <c r="E79" s="7"/>
      <c r="F79" s="7"/>
      <c r="G79" s="7"/>
      <c r="H79" s="7"/>
      <c r="I79" s="7"/>
      <c r="J79" s="7"/>
      <c r="K79" s="7"/>
      <c r="L79" s="17"/>
      <c r="M79" s="17"/>
      <c r="N79" s="17"/>
      <c r="O79" s="673"/>
      <c r="P79" s="408"/>
      <c r="Q79" s="408"/>
      <c r="R79" s="408"/>
      <c r="S79" s="408"/>
      <c r="T79" s="408"/>
      <c r="U79" s="408"/>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6"/>
      <c r="AY79" s="446"/>
      <c r="AZ79" s="446"/>
      <c r="BA79" s="446"/>
      <c r="BB79" s="446"/>
      <c r="BC79" s="446"/>
      <c r="BD79" s="446"/>
      <c r="BE79" s="446"/>
      <c r="BF79" s="446"/>
      <c r="BG79" s="446"/>
      <c r="BH79" s="446"/>
      <c r="BI79" s="446"/>
      <c r="BJ79" s="446"/>
      <c r="BK79" s="446"/>
      <c r="BL79" s="446"/>
      <c r="BM79" s="446"/>
      <c r="BN79" s="446"/>
      <c r="BO79" s="446"/>
      <c r="BP79" s="446"/>
      <c r="BQ79" s="446"/>
      <c r="BR79" s="446"/>
      <c r="BS79" s="446"/>
      <c r="BT79" s="446"/>
      <c r="BU79" s="446"/>
      <c r="BV79" s="446"/>
      <c r="BW79" s="446"/>
      <c r="BX79" s="446"/>
      <c r="BY79" s="446"/>
      <c r="BZ79" s="446"/>
      <c r="CA79" s="446"/>
      <c r="CB79" s="446"/>
      <c r="CC79" s="446"/>
      <c r="CD79" s="446"/>
      <c r="CE79" s="446"/>
      <c r="CF79" s="446"/>
      <c r="CG79" s="446"/>
      <c r="CH79" s="446"/>
      <c r="CI79" s="446"/>
      <c r="CJ79" s="446"/>
      <c r="CK79" s="446"/>
      <c r="CL79" s="446"/>
      <c r="CM79" s="446"/>
      <c r="CN79" s="446"/>
      <c r="CO79" s="446"/>
      <c r="CP79" s="446"/>
      <c r="CQ79" s="446"/>
      <c r="CR79" s="446"/>
      <c r="CS79" s="446"/>
      <c r="CT79" s="446"/>
      <c r="CU79" s="446"/>
      <c r="CV79" s="446"/>
      <c r="CW79" s="446"/>
      <c r="CX79" s="446"/>
      <c r="CY79" s="446"/>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row>
    <row r="80" spans="1:235" ht="14.15" customHeight="1">
      <c r="A80" s="7"/>
      <c r="B80" s="7"/>
      <c r="C80" s="7"/>
      <c r="D80" s="7"/>
      <c r="E80" s="7"/>
      <c r="F80" s="7"/>
      <c r="G80" s="7"/>
      <c r="H80" s="7"/>
      <c r="I80" s="7"/>
      <c r="J80" s="7"/>
      <c r="K80" s="7"/>
      <c r="L80" s="17"/>
      <c r="M80" s="17"/>
      <c r="N80" s="17"/>
      <c r="O80" s="673"/>
      <c r="P80" s="408"/>
      <c r="Q80" s="408"/>
      <c r="R80" s="408"/>
      <c r="S80" s="408"/>
      <c r="T80" s="408"/>
      <c r="U80" s="408"/>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6"/>
      <c r="AY80" s="446"/>
      <c r="AZ80" s="446"/>
      <c r="BA80" s="446"/>
      <c r="BB80" s="446"/>
      <c r="BC80" s="446"/>
      <c r="BD80" s="446"/>
      <c r="BE80" s="446"/>
      <c r="BF80" s="446"/>
      <c r="BG80" s="446"/>
      <c r="BH80" s="446"/>
      <c r="BI80" s="446"/>
      <c r="BJ80" s="446"/>
      <c r="BK80" s="446"/>
      <c r="BL80" s="446"/>
      <c r="BM80" s="446"/>
      <c r="BN80" s="446"/>
      <c r="BO80" s="446"/>
      <c r="BP80" s="446"/>
      <c r="BQ80" s="446"/>
      <c r="BR80" s="446"/>
      <c r="BS80" s="446"/>
      <c r="BT80" s="446"/>
      <c r="BU80" s="446"/>
      <c r="BV80" s="446"/>
      <c r="BW80" s="446"/>
      <c r="BX80" s="446"/>
      <c r="BY80" s="446"/>
      <c r="BZ80" s="446"/>
      <c r="CA80" s="446"/>
      <c r="CB80" s="446"/>
      <c r="CC80" s="446"/>
      <c r="CD80" s="446"/>
      <c r="CE80" s="446"/>
      <c r="CF80" s="446"/>
      <c r="CG80" s="446"/>
      <c r="CH80" s="446"/>
      <c r="CI80" s="446"/>
      <c r="CJ80" s="446"/>
      <c r="CK80" s="446"/>
      <c r="CL80" s="446"/>
      <c r="CM80" s="446"/>
      <c r="CN80" s="446"/>
      <c r="CO80" s="446"/>
      <c r="CP80" s="446"/>
      <c r="CQ80" s="446"/>
      <c r="CR80" s="446"/>
      <c r="CS80" s="446"/>
      <c r="CT80" s="446"/>
      <c r="CU80" s="446"/>
      <c r="CV80" s="446"/>
      <c r="CW80" s="446"/>
      <c r="CX80" s="446"/>
      <c r="CY80" s="446"/>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row>
    <row r="81" spans="1:235" ht="14.15" customHeight="1">
      <c r="A81" s="7"/>
      <c r="B81" s="7"/>
      <c r="C81" s="7"/>
      <c r="D81" s="7"/>
      <c r="E81" s="7"/>
      <c r="F81" s="7"/>
      <c r="G81" s="7"/>
      <c r="H81" s="7"/>
      <c r="I81" s="7"/>
      <c r="J81" s="7"/>
      <c r="K81" s="7"/>
      <c r="L81" s="17"/>
      <c r="M81" s="17"/>
      <c r="N81" s="17"/>
      <c r="O81" s="673"/>
      <c r="P81" s="408"/>
      <c r="Q81" s="408"/>
      <c r="R81" s="408"/>
      <c r="S81" s="408"/>
      <c r="T81" s="408"/>
      <c r="U81" s="408"/>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6"/>
      <c r="AY81" s="446"/>
      <c r="AZ81" s="446"/>
      <c r="BA81" s="446"/>
      <c r="BB81" s="446"/>
      <c r="BC81" s="446"/>
      <c r="BD81" s="446"/>
      <c r="BE81" s="446"/>
      <c r="BF81" s="446"/>
      <c r="BG81" s="446"/>
      <c r="BH81" s="446"/>
      <c r="BI81" s="446"/>
      <c r="BJ81" s="446"/>
      <c r="BK81" s="446"/>
      <c r="BL81" s="446"/>
      <c r="BM81" s="446"/>
      <c r="BN81" s="446"/>
      <c r="BO81" s="446"/>
      <c r="BP81" s="446"/>
      <c r="BQ81" s="446"/>
      <c r="BR81" s="446"/>
      <c r="BS81" s="446"/>
      <c r="BT81" s="446"/>
      <c r="BU81" s="446"/>
      <c r="BV81" s="446"/>
      <c r="BW81" s="446"/>
      <c r="BX81" s="446"/>
      <c r="BY81" s="446"/>
      <c r="BZ81" s="446"/>
      <c r="CA81" s="446"/>
      <c r="CB81" s="446"/>
      <c r="CC81" s="446"/>
      <c r="CD81" s="446"/>
      <c r="CE81" s="446"/>
      <c r="CF81" s="446"/>
      <c r="CG81" s="446"/>
      <c r="CH81" s="446"/>
      <c r="CI81" s="446"/>
      <c r="CJ81" s="446"/>
      <c r="CK81" s="446"/>
      <c r="CL81" s="446"/>
      <c r="CM81" s="446"/>
      <c r="CN81" s="446"/>
      <c r="CO81" s="446"/>
      <c r="CP81" s="446"/>
      <c r="CQ81" s="446"/>
      <c r="CR81" s="446"/>
      <c r="CS81" s="446"/>
      <c r="CT81" s="446"/>
      <c r="CU81" s="446"/>
      <c r="CV81" s="446"/>
      <c r="CW81" s="446"/>
      <c r="CX81" s="446"/>
      <c r="CY81" s="446"/>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row>
    <row r="82" spans="1:235" ht="14.15" customHeight="1">
      <c r="A82" s="7"/>
      <c r="B82" s="7"/>
      <c r="C82" s="7"/>
      <c r="D82" s="7"/>
      <c r="E82" s="7"/>
      <c r="F82" s="7"/>
      <c r="G82" s="7"/>
      <c r="H82" s="7"/>
      <c r="I82" s="7"/>
      <c r="J82" s="7"/>
      <c r="K82" s="7"/>
      <c r="L82" s="17"/>
      <c r="M82" s="17"/>
      <c r="N82" s="17"/>
      <c r="O82" s="673"/>
      <c r="P82" s="408"/>
      <c r="Q82" s="408"/>
      <c r="R82" s="408"/>
      <c r="S82" s="408"/>
      <c r="T82" s="408"/>
      <c r="U82" s="408"/>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6"/>
      <c r="AY82" s="446"/>
      <c r="AZ82" s="446"/>
      <c r="BA82" s="446"/>
      <c r="BB82" s="446"/>
      <c r="BC82" s="446"/>
      <c r="BD82" s="446"/>
      <c r="BE82" s="446"/>
      <c r="BF82" s="446"/>
      <c r="BG82" s="446"/>
      <c r="BH82" s="446"/>
      <c r="BI82" s="446"/>
      <c r="BJ82" s="446"/>
      <c r="BK82" s="446"/>
      <c r="BL82" s="446"/>
      <c r="BM82" s="446"/>
      <c r="BN82" s="446"/>
      <c r="BO82" s="446"/>
      <c r="BP82" s="446"/>
      <c r="BQ82" s="446"/>
      <c r="BR82" s="446"/>
      <c r="BS82" s="446"/>
      <c r="BT82" s="446"/>
      <c r="BU82" s="446"/>
      <c r="BV82" s="446"/>
      <c r="BW82" s="446"/>
      <c r="BX82" s="446"/>
      <c r="BY82" s="446"/>
      <c r="BZ82" s="446"/>
      <c r="CA82" s="446"/>
      <c r="CB82" s="446"/>
      <c r="CC82" s="446"/>
      <c r="CD82" s="446"/>
      <c r="CE82" s="446"/>
      <c r="CF82" s="446"/>
      <c r="CG82" s="446"/>
      <c r="CH82" s="446"/>
      <c r="CI82" s="446"/>
      <c r="CJ82" s="446"/>
      <c r="CK82" s="446"/>
      <c r="CL82" s="446"/>
      <c r="CM82" s="446"/>
      <c r="CN82" s="446"/>
      <c r="CO82" s="446"/>
      <c r="CP82" s="446"/>
      <c r="CQ82" s="446"/>
      <c r="CR82" s="446"/>
      <c r="CS82" s="446"/>
      <c r="CT82" s="446"/>
      <c r="CU82" s="446"/>
      <c r="CV82" s="446"/>
      <c r="CW82" s="446"/>
      <c r="CX82" s="446"/>
      <c r="CY82" s="446"/>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row>
    <row r="83" spans="1:235" ht="14.15" customHeight="1">
      <c r="A83" s="7"/>
      <c r="B83" s="7"/>
      <c r="C83" s="7"/>
      <c r="D83" s="7"/>
      <c r="E83" s="7"/>
      <c r="F83" s="7"/>
      <c r="G83" s="7"/>
      <c r="H83" s="7"/>
      <c r="I83" s="7"/>
      <c r="J83" s="7"/>
      <c r="K83" s="7"/>
      <c r="L83" s="17"/>
      <c r="M83" s="17"/>
      <c r="N83" s="17"/>
      <c r="O83" s="673"/>
      <c r="P83" s="408"/>
      <c r="Q83" s="408"/>
      <c r="R83" s="408"/>
      <c r="S83" s="408"/>
      <c r="T83" s="408"/>
      <c r="U83" s="408"/>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446"/>
      <c r="BC83" s="446"/>
      <c r="BD83" s="446"/>
      <c r="BE83" s="446"/>
      <c r="BF83" s="446"/>
      <c r="BG83" s="446"/>
      <c r="BH83" s="446"/>
      <c r="BI83" s="446"/>
      <c r="BJ83" s="446"/>
      <c r="BK83" s="446"/>
      <c r="BL83" s="446"/>
      <c r="BM83" s="446"/>
      <c r="BN83" s="446"/>
      <c r="BO83" s="446"/>
      <c r="BP83" s="446"/>
      <c r="BQ83" s="446"/>
      <c r="BR83" s="446"/>
      <c r="BS83" s="446"/>
      <c r="BT83" s="446"/>
      <c r="BU83" s="446"/>
      <c r="BV83" s="446"/>
      <c r="BW83" s="446"/>
      <c r="BX83" s="446"/>
      <c r="BY83" s="446"/>
      <c r="BZ83" s="446"/>
      <c r="CA83" s="446"/>
      <c r="CB83" s="446"/>
      <c r="CC83" s="446"/>
      <c r="CD83" s="446"/>
      <c r="CE83" s="446"/>
      <c r="CF83" s="446"/>
      <c r="CG83" s="446"/>
      <c r="CH83" s="446"/>
      <c r="CI83" s="446"/>
      <c r="CJ83" s="446"/>
      <c r="CK83" s="446"/>
      <c r="CL83" s="446"/>
      <c r="CM83" s="446"/>
      <c r="CN83" s="446"/>
      <c r="CO83" s="446"/>
      <c r="CP83" s="446"/>
      <c r="CQ83" s="446"/>
      <c r="CR83" s="446"/>
      <c r="CS83" s="446"/>
      <c r="CT83" s="446"/>
      <c r="CU83" s="446"/>
      <c r="CV83" s="446"/>
      <c r="CW83" s="446"/>
      <c r="CX83" s="446"/>
      <c r="CY83" s="446"/>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row>
    <row r="84" spans="1:235" ht="14.15" customHeight="1">
      <c r="A84" s="7"/>
      <c r="B84" s="7"/>
      <c r="C84" s="7"/>
      <c r="D84" s="7"/>
      <c r="E84" s="7"/>
      <c r="F84" s="7"/>
      <c r="G84" s="7"/>
      <c r="H84" s="7"/>
      <c r="I84" s="7"/>
      <c r="J84" s="7"/>
      <c r="K84" s="7"/>
      <c r="L84" s="17"/>
      <c r="M84" s="17"/>
      <c r="N84" s="17"/>
      <c r="O84" s="673"/>
      <c r="P84" s="408"/>
      <c r="Q84" s="408"/>
      <c r="R84" s="408"/>
      <c r="S84" s="408"/>
      <c r="T84" s="408"/>
      <c r="U84" s="408"/>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6"/>
      <c r="AY84" s="446"/>
      <c r="AZ84" s="446"/>
      <c r="BA84" s="446"/>
      <c r="BB84" s="446"/>
      <c r="BC84" s="446"/>
      <c r="BD84" s="446"/>
      <c r="BE84" s="446"/>
      <c r="BF84" s="446"/>
      <c r="BG84" s="446"/>
      <c r="BH84" s="446"/>
      <c r="BI84" s="446"/>
      <c r="BJ84" s="446"/>
      <c r="BK84" s="446"/>
      <c r="BL84" s="446"/>
      <c r="BM84" s="446"/>
      <c r="BN84" s="446"/>
      <c r="BO84" s="446"/>
      <c r="BP84" s="446"/>
      <c r="BQ84" s="446"/>
      <c r="BR84" s="446"/>
      <c r="BS84" s="446"/>
      <c r="BT84" s="446"/>
      <c r="BU84" s="446"/>
      <c r="BV84" s="446"/>
      <c r="BW84" s="446"/>
      <c r="BX84" s="446"/>
      <c r="BY84" s="446"/>
      <c r="BZ84" s="446"/>
      <c r="CA84" s="446"/>
      <c r="CB84" s="446"/>
      <c r="CC84" s="446"/>
      <c r="CD84" s="446"/>
      <c r="CE84" s="446"/>
      <c r="CF84" s="446"/>
      <c r="CG84" s="446"/>
      <c r="CH84" s="446"/>
      <c r="CI84" s="446"/>
      <c r="CJ84" s="446"/>
      <c r="CK84" s="446"/>
      <c r="CL84" s="446"/>
      <c r="CM84" s="446"/>
      <c r="CN84" s="446"/>
      <c r="CO84" s="446"/>
      <c r="CP84" s="446"/>
      <c r="CQ84" s="446"/>
      <c r="CR84" s="446"/>
      <c r="CS84" s="446"/>
      <c r="CT84" s="446"/>
      <c r="CU84" s="446"/>
      <c r="CV84" s="446"/>
      <c r="CW84" s="446"/>
      <c r="CX84" s="446"/>
      <c r="CY84" s="446"/>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row>
    <row r="85" spans="1:235" ht="14.15" customHeight="1">
      <c r="A85" s="7"/>
      <c r="B85" s="7"/>
      <c r="C85" s="7"/>
      <c r="D85" s="7"/>
      <c r="E85" s="7"/>
      <c r="F85" s="7"/>
      <c r="G85" s="7"/>
      <c r="H85" s="7"/>
      <c r="I85" s="7"/>
      <c r="J85" s="7"/>
      <c r="K85" s="7"/>
      <c r="L85" s="17"/>
      <c r="M85" s="17"/>
      <c r="N85" s="17"/>
      <c r="O85" s="673"/>
      <c r="P85" s="408"/>
      <c r="Q85" s="408"/>
      <c r="R85" s="408"/>
      <c r="S85" s="408"/>
      <c r="T85" s="408"/>
      <c r="U85" s="408"/>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6"/>
      <c r="AY85" s="446"/>
      <c r="AZ85" s="446"/>
      <c r="BA85" s="446"/>
      <c r="BB85" s="446"/>
      <c r="BC85" s="446"/>
      <c r="BD85" s="446"/>
      <c r="BE85" s="446"/>
      <c r="BF85" s="446"/>
      <c r="BG85" s="446"/>
      <c r="BH85" s="446"/>
      <c r="BI85" s="446"/>
      <c r="BJ85" s="446"/>
      <c r="BK85" s="446"/>
      <c r="BL85" s="446"/>
      <c r="BM85" s="446"/>
      <c r="BN85" s="446"/>
      <c r="BO85" s="446"/>
      <c r="BP85" s="446"/>
      <c r="BQ85" s="446"/>
      <c r="BR85" s="446"/>
      <c r="BS85" s="446"/>
      <c r="BT85" s="446"/>
      <c r="BU85" s="446"/>
      <c r="BV85" s="446"/>
      <c r="BW85" s="446"/>
      <c r="BX85" s="446"/>
      <c r="BY85" s="446"/>
      <c r="BZ85" s="446"/>
      <c r="CA85" s="446"/>
      <c r="CB85" s="446"/>
      <c r="CC85" s="446"/>
      <c r="CD85" s="446"/>
      <c r="CE85" s="446"/>
      <c r="CF85" s="446"/>
      <c r="CG85" s="446"/>
      <c r="CH85" s="446"/>
      <c r="CI85" s="446"/>
      <c r="CJ85" s="446"/>
      <c r="CK85" s="446"/>
      <c r="CL85" s="446"/>
      <c r="CM85" s="446"/>
      <c r="CN85" s="446"/>
      <c r="CO85" s="446"/>
      <c r="CP85" s="446"/>
      <c r="CQ85" s="446"/>
      <c r="CR85" s="446"/>
      <c r="CS85" s="446"/>
      <c r="CT85" s="446"/>
      <c r="CU85" s="446"/>
      <c r="CV85" s="446"/>
      <c r="CW85" s="446"/>
      <c r="CX85" s="446"/>
      <c r="CY85" s="446"/>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row>
    <row r="86" spans="1:235" ht="14.15" customHeight="1">
      <c r="A86" s="7"/>
      <c r="B86" s="7"/>
      <c r="C86" s="7"/>
      <c r="D86" s="7"/>
      <c r="E86" s="7"/>
      <c r="F86" s="7"/>
      <c r="G86" s="7"/>
      <c r="H86" s="7"/>
      <c r="I86" s="7"/>
      <c r="J86" s="7"/>
      <c r="K86" s="7"/>
      <c r="L86" s="17"/>
      <c r="M86" s="17"/>
      <c r="N86" s="17"/>
      <c r="O86" s="673"/>
      <c r="P86" s="408"/>
      <c r="Q86" s="408"/>
      <c r="R86" s="408"/>
      <c r="S86" s="408"/>
      <c r="T86" s="408"/>
      <c r="U86" s="408"/>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6"/>
      <c r="AY86" s="446"/>
      <c r="AZ86" s="446"/>
      <c r="BA86" s="446"/>
      <c r="BB86" s="446"/>
      <c r="BC86" s="446"/>
      <c r="BD86" s="446"/>
      <c r="BE86" s="446"/>
      <c r="BF86" s="446"/>
      <c r="BG86" s="446"/>
      <c r="BH86" s="446"/>
      <c r="BI86" s="446"/>
      <c r="BJ86" s="446"/>
      <c r="BK86" s="446"/>
      <c r="BL86" s="446"/>
      <c r="BM86" s="446"/>
      <c r="BN86" s="446"/>
      <c r="BO86" s="446"/>
      <c r="BP86" s="446"/>
      <c r="BQ86" s="446"/>
      <c r="BR86" s="446"/>
      <c r="BS86" s="446"/>
      <c r="BT86" s="446"/>
      <c r="BU86" s="446"/>
      <c r="BV86" s="446"/>
      <c r="BW86" s="446"/>
      <c r="BX86" s="446"/>
      <c r="BY86" s="446"/>
      <c r="BZ86" s="446"/>
      <c r="CA86" s="446"/>
      <c r="CB86" s="446"/>
      <c r="CC86" s="446"/>
      <c r="CD86" s="446"/>
      <c r="CE86" s="446"/>
      <c r="CF86" s="446"/>
      <c r="CG86" s="446"/>
      <c r="CH86" s="446"/>
      <c r="CI86" s="446"/>
      <c r="CJ86" s="446"/>
      <c r="CK86" s="446"/>
      <c r="CL86" s="446"/>
      <c r="CM86" s="446"/>
      <c r="CN86" s="446"/>
      <c r="CO86" s="446"/>
      <c r="CP86" s="446"/>
      <c r="CQ86" s="446"/>
      <c r="CR86" s="446"/>
      <c r="CS86" s="446"/>
      <c r="CT86" s="446"/>
      <c r="CU86" s="446"/>
      <c r="CV86" s="446"/>
      <c r="CW86" s="446"/>
      <c r="CX86" s="446"/>
      <c r="CY86" s="446"/>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row>
    <row r="87" spans="1:235" ht="14.15" customHeight="1">
      <c r="A87" s="7"/>
      <c r="B87" s="7"/>
      <c r="C87" s="7"/>
      <c r="D87" s="7"/>
      <c r="E87" s="7"/>
      <c r="F87" s="7"/>
      <c r="G87" s="7"/>
      <c r="H87" s="7"/>
      <c r="I87" s="7"/>
      <c r="J87" s="7"/>
      <c r="K87" s="7"/>
      <c r="L87" s="17"/>
      <c r="M87" s="17"/>
      <c r="N87" s="17"/>
      <c r="O87" s="673"/>
      <c r="P87" s="408"/>
      <c r="Q87" s="408"/>
      <c r="R87" s="408"/>
      <c r="S87" s="408"/>
      <c r="T87" s="408"/>
      <c r="U87" s="408"/>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446"/>
      <c r="AS87" s="446"/>
      <c r="AT87" s="446"/>
      <c r="AU87" s="446"/>
      <c r="AV87" s="446"/>
      <c r="AW87" s="446"/>
      <c r="AX87" s="446"/>
      <c r="AY87" s="446"/>
      <c r="AZ87" s="446"/>
      <c r="BA87" s="446"/>
      <c r="BB87" s="446"/>
      <c r="BC87" s="446"/>
      <c r="BD87" s="446"/>
      <c r="BE87" s="446"/>
      <c r="BF87" s="446"/>
      <c r="BG87" s="446"/>
      <c r="BH87" s="446"/>
      <c r="BI87" s="446"/>
      <c r="BJ87" s="446"/>
      <c r="BK87" s="446"/>
      <c r="BL87" s="446"/>
      <c r="BM87" s="446"/>
      <c r="BN87" s="446"/>
      <c r="BO87" s="446"/>
      <c r="BP87" s="446"/>
      <c r="BQ87" s="446"/>
      <c r="BR87" s="446"/>
      <c r="BS87" s="446"/>
      <c r="BT87" s="446"/>
      <c r="BU87" s="446"/>
      <c r="BV87" s="446"/>
      <c r="BW87" s="446"/>
      <c r="BX87" s="446"/>
      <c r="BY87" s="446"/>
      <c r="BZ87" s="446"/>
      <c r="CA87" s="446"/>
      <c r="CB87" s="446"/>
      <c r="CC87" s="446"/>
      <c r="CD87" s="446"/>
      <c r="CE87" s="446"/>
      <c r="CF87" s="446"/>
      <c r="CG87" s="446"/>
      <c r="CH87" s="446"/>
      <c r="CI87" s="446"/>
      <c r="CJ87" s="446"/>
      <c r="CK87" s="446"/>
      <c r="CL87" s="446"/>
      <c r="CM87" s="446"/>
      <c r="CN87" s="446"/>
      <c r="CO87" s="446"/>
      <c r="CP87" s="446"/>
      <c r="CQ87" s="446"/>
      <c r="CR87" s="446"/>
      <c r="CS87" s="446"/>
      <c r="CT87" s="446"/>
      <c r="CU87" s="446"/>
      <c r="CV87" s="446"/>
      <c r="CW87" s="446"/>
      <c r="CX87" s="446"/>
      <c r="CY87" s="446"/>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row>
    <row r="88" spans="1:235" ht="14.15" customHeight="1">
      <c r="A88" s="7"/>
      <c r="B88" s="7"/>
      <c r="C88" s="7"/>
      <c r="D88" s="7"/>
      <c r="E88" s="7"/>
      <c r="F88" s="7"/>
      <c r="G88" s="7"/>
      <c r="H88" s="7"/>
      <c r="I88" s="7"/>
      <c r="J88" s="7"/>
      <c r="K88" s="7"/>
      <c r="L88" s="17"/>
      <c r="M88" s="17"/>
      <c r="N88" s="17"/>
      <c r="O88" s="673"/>
      <c r="P88" s="408"/>
      <c r="Q88" s="408"/>
      <c r="R88" s="408"/>
      <c r="S88" s="408"/>
      <c r="T88" s="408"/>
      <c r="U88" s="408"/>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6"/>
      <c r="AY88" s="446"/>
      <c r="AZ88" s="446"/>
      <c r="BA88" s="446"/>
      <c r="BB88" s="446"/>
      <c r="BC88" s="446"/>
      <c r="BD88" s="446"/>
      <c r="BE88" s="446"/>
      <c r="BF88" s="446"/>
      <c r="BG88" s="446"/>
      <c r="BH88" s="446"/>
      <c r="BI88" s="446"/>
      <c r="BJ88" s="446"/>
      <c r="BK88" s="446"/>
      <c r="BL88" s="446"/>
      <c r="BM88" s="446"/>
      <c r="BN88" s="446"/>
      <c r="BO88" s="446"/>
      <c r="BP88" s="446"/>
      <c r="BQ88" s="446"/>
      <c r="BR88" s="446"/>
      <c r="BS88" s="446"/>
      <c r="BT88" s="446"/>
      <c r="BU88" s="446"/>
      <c r="BV88" s="446"/>
      <c r="BW88" s="446"/>
      <c r="BX88" s="446"/>
      <c r="BY88" s="446"/>
      <c r="BZ88" s="446"/>
      <c r="CA88" s="446"/>
      <c r="CB88" s="446"/>
      <c r="CC88" s="446"/>
      <c r="CD88" s="446"/>
      <c r="CE88" s="446"/>
      <c r="CF88" s="446"/>
      <c r="CG88" s="446"/>
      <c r="CH88" s="446"/>
      <c r="CI88" s="446"/>
      <c r="CJ88" s="446"/>
      <c r="CK88" s="446"/>
      <c r="CL88" s="446"/>
      <c r="CM88" s="446"/>
      <c r="CN88" s="446"/>
      <c r="CO88" s="446"/>
      <c r="CP88" s="446"/>
      <c r="CQ88" s="446"/>
      <c r="CR88" s="446"/>
      <c r="CS88" s="446"/>
      <c r="CT88" s="446"/>
      <c r="CU88" s="446"/>
      <c r="CV88" s="446"/>
      <c r="CW88" s="446"/>
      <c r="CX88" s="446"/>
      <c r="CY88" s="446"/>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row>
    <row r="89" spans="1:235" ht="14.15" customHeight="1">
      <c r="A89" s="7"/>
      <c r="B89" s="7"/>
      <c r="C89" s="7"/>
      <c r="D89" s="7"/>
      <c r="E89" s="7"/>
      <c r="F89" s="7"/>
      <c r="G89" s="7"/>
      <c r="H89" s="7"/>
      <c r="I89" s="7"/>
      <c r="J89" s="7"/>
      <c r="K89" s="7"/>
      <c r="L89" s="17"/>
      <c r="M89" s="17"/>
      <c r="N89" s="17"/>
      <c r="O89" s="673"/>
      <c r="P89" s="408"/>
      <c r="Q89" s="408"/>
      <c r="R89" s="408"/>
      <c r="S89" s="408"/>
      <c r="T89" s="408"/>
      <c r="U89" s="408"/>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446"/>
      <c r="BA89" s="446"/>
      <c r="BB89" s="446"/>
      <c r="BC89" s="446"/>
      <c r="BD89" s="446"/>
      <c r="BE89" s="446"/>
      <c r="BF89" s="446"/>
      <c r="BG89" s="446"/>
      <c r="BH89" s="446"/>
      <c r="BI89" s="446"/>
      <c r="BJ89" s="446"/>
      <c r="BK89" s="446"/>
      <c r="BL89" s="446"/>
      <c r="BM89" s="446"/>
      <c r="BN89" s="446"/>
      <c r="BO89" s="446"/>
      <c r="BP89" s="446"/>
      <c r="BQ89" s="446"/>
      <c r="BR89" s="446"/>
      <c r="BS89" s="446"/>
      <c r="BT89" s="446"/>
      <c r="BU89" s="446"/>
      <c r="BV89" s="446"/>
      <c r="BW89" s="446"/>
      <c r="BX89" s="446"/>
      <c r="BY89" s="446"/>
      <c r="BZ89" s="446"/>
      <c r="CA89" s="446"/>
      <c r="CB89" s="446"/>
      <c r="CC89" s="446"/>
      <c r="CD89" s="446"/>
      <c r="CE89" s="446"/>
      <c r="CF89" s="446"/>
      <c r="CG89" s="446"/>
      <c r="CH89" s="446"/>
      <c r="CI89" s="446"/>
      <c r="CJ89" s="446"/>
      <c r="CK89" s="446"/>
      <c r="CL89" s="446"/>
      <c r="CM89" s="446"/>
      <c r="CN89" s="446"/>
      <c r="CO89" s="446"/>
      <c r="CP89" s="446"/>
      <c r="CQ89" s="446"/>
      <c r="CR89" s="446"/>
      <c r="CS89" s="446"/>
      <c r="CT89" s="446"/>
      <c r="CU89" s="446"/>
      <c r="CV89" s="446"/>
      <c r="CW89" s="446"/>
      <c r="CX89" s="446"/>
      <c r="CY89" s="446"/>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row>
    <row r="90" spans="1:235" ht="14.15" customHeight="1">
      <c r="A90" s="7"/>
      <c r="B90" s="7"/>
      <c r="C90" s="7"/>
      <c r="D90" s="7"/>
      <c r="E90" s="7"/>
      <c r="F90" s="7"/>
      <c r="G90" s="7"/>
      <c r="H90" s="7"/>
      <c r="I90" s="7"/>
      <c r="J90" s="7"/>
      <c r="K90" s="7"/>
      <c r="L90" s="17"/>
      <c r="M90" s="17"/>
      <c r="N90" s="17"/>
      <c r="O90" s="673"/>
      <c r="P90" s="408"/>
      <c r="Q90" s="408"/>
      <c r="R90" s="408"/>
      <c r="S90" s="408"/>
      <c r="T90" s="408"/>
      <c r="U90" s="408"/>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6"/>
      <c r="BA90" s="446"/>
      <c r="BB90" s="446"/>
      <c r="BC90" s="446"/>
      <c r="BD90" s="446"/>
      <c r="BE90" s="446"/>
      <c r="BF90" s="446"/>
      <c r="BG90" s="446"/>
      <c r="BH90" s="446"/>
      <c r="BI90" s="446"/>
      <c r="BJ90" s="446"/>
      <c r="BK90" s="446"/>
      <c r="BL90" s="446"/>
      <c r="BM90" s="446"/>
      <c r="BN90" s="446"/>
      <c r="BO90" s="446"/>
      <c r="BP90" s="446"/>
      <c r="BQ90" s="446"/>
      <c r="BR90" s="446"/>
      <c r="BS90" s="446"/>
      <c r="BT90" s="446"/>
      <c r="BU90" s="446"/>
      <c r="BV90" s="446"/>
      <c r="BW90" s="446"/>
      <c r="BX90" s="446"/>
      <c r="BY90" s="446"/>
      <c r="BZ90" s="446"/>
      <c r="CA90" s="446"/>
      <c r="CB90" s="446"/>
      <c r="CC90" s="446"/>
      <c r="CD90" s="446"/>
      <c r="CE90" s="446"/>
      <c r="CF90" s="446"/>
      <c r="CG90" s="446"/>
      <c r="CH90" s="446"/>
      <c r="CI90" s="446"/>
      <c r="CJ90" s="446"/>
      <c r="CK90" s="446"/>
      <c r="CL90" s="446"/>
      <c r="CM90" s="446"/>
      <c r="CN90" s="446"/>
      <c r="CO90" s="446"/>
      <c r="CP90" s="446"/>
      <c r="CQ90" s="446"/>
      <c r="CR90" s="446"/>
      <c r="CS90" s="446"/>
      <c r="CT90" s="446"/>
      <c r="CU90" s="446"/>
      <c r="CV90" s="446"/>
      <c r="CW90" s="446"/>
      <c r="CX90" s="446"/>
      <c r="CY90" s="446"/>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row>
    <row r="91" spans="1:235" ht="14.15" customHeight="1">
      <c r="A91" s="7"/>
      <c r="B91" s="7"/>
      <c r="C91" s="7"/>
      <c r="D91" s="7"/>
      <c r="E91" s="7"/>
      <c r="F91" s="7"/>
      <c r="G91" s="7"/>
      <c r="H91" s="7"/>
      <c r="I91" s="7"/>
      <c r="J91" s="7"/>
      <c r="K91" s="7"/>
      <c r="L91" s="17"/>
      <c r="M91" s="17"/>
      <c r="N91" s="17"/>
      <c r="O91" s="673"/>
      <c r="P91" s="408"/>
      <c r="Q91" s="408"/>
      <c r="R91" s="408"/>
      <c r="S91" s="408"/>
      <c r="T91" s="408"/>
      <c r="U91" s="408"/>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446"/>
      <c r="BA91" s="446"/>
      <c r="BB91" s="446"/>
      <c r="BC91" s="446"/>
      <c r="BD91" s="446"/>
      <c r="BE91" s="446"/>
      <c r="BF91" s="446"/>
      <c r="BG91" s="446"/>
      <c r="BH91" s="446"/>
      <c r="BI91" s="446"/>
      <c r="BJ91" s="446"/>
      <c r="BK91" s="446"/>
      <c r="BL91" s="446"/>
      <c r="BM91" s="446"/>
      <c r="BN91" s="446"/>
      <c r="BO91" s="446"/>
      <c r="BP91" s="446"/>
      <c r="BQ91" s="446"/>
      <c r="BR91" s="446"/>
      <c r="BS91" s="446"/>
      <c r="BT91" s="446"/>
      <c r="BU91" s="446"/>
      <c r="BV91" s="446"/>
      <c r="BW91" s="446"/>
      <c r="BX91" s="446"/>
      <c r="BY91" s="446"/>
      <c r="BZ91" s="446"/>
      <c r="CA91" s="446"/>
      <c r="CB91" s="446"/>
      <c r="CC91" s="446"/>
      <c r="CD91" s="446"/>
      <c r="CE91" s="446"/>
      <c r="CF91" s="446"/>
      <c r="CG91" s="446"/>
      <c r="CH91" s="446"/>
      <c r="CI91" s="446"/>
      <c r="CJ91" s="446"/>
      <c r="CK91" s="446"/>
      <c r="CL91" s="446"/>
      <c r="CM91" s="446"/>
      <c r="CN91" s="446"/>
      <c r="CO91" s="446"/>
      <c r="CP91" s="446"/>
      <c r="CQ91" s="446"/>
      <c r="CR91" s="446"/>
      <c r="CS91" s="446"/>
      <c r="CT91" s="446"/>
      <c r="CU91" s="446"/>
      <c r="CV91" s="446"/>
      <c r="CW91" s="446"/>
      <c r="CX91" s="446"/>
      <c r="CY91" s="446"/>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row>
    <row r="92" spans="1:235" ht="14.15" customHeight="1">
      <c r="A92" s="7"/>
      <c r="B92" s="7"/>
      <c r="C92" s="7"/>
      <c r="D92" s="7"/>
      <c r="E92" s="7"/>
      <c r="F92" s="7"/>
      <c r="G92" s="7"/>
      <c r="H92" s="7"/>
      <c r="I92" s="7"/>
      <c r="J92" s="7"/>
      <c r="K92" s="7"/>
      <c r="L92" s="17"/>
      <c r="M92" s="17"/>
      <c r="N92" s="17"/>
      <c r="O92" s="673"/>
      <c r="P92" s="408"/>
      <c r="Q92" s="408"/>
      <c r="R92" s="408"/>
      <c r="S92" s="408"/>
      <c r="T92" s="408"/>
      <c r="U92" s="408"/>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446"/>
      <c r="BA92" s="446"/>
      <c r="BB92" s="446"/>
      <c r="BC92" s="446"/>
      <c r="BD92" s="446"/>
      <c r="BE92" s="446"/>
      <c r="BF92" s="446"/>
      <c r="BG92" s="446"/>
      <c r="BH92" s="446"/>
      <c r="BI92" s="446"/>
      <c r="BJ92" s="446"/>
      <c r="BK92" s="446"/>
      <c r="BL92" s="446"/>
      <c r="BM92" s="446"/>
      <c r="BN92" s="446"/>
      <c r="BO92" s="446"/>
      <c r="BP92" s="446"/>
      <c r="BQ92" s="446"/>
      <c r="BR92" s="446"/>
      <c r="BS92" s="446"/>
      <c r="BT92" s="446"/>
      <c r="BU92" s="446"/>
      <c r="BV92" s="446"/>
      <c r="BW92" s="446"/>
      <c r="BX92" s="446"/>
      <c r="BY92" s="446"/>
      <c r="BZ92" s="446"/>
      <c r="CA92" s="446"/>
      <c r="CB92" s="446"/>
      <c r="CC92" s="446"/>
      <c r="CD92" s="446"/>
      <c r="CE92" s="446"/>
      <c r="CF92" s="446"/>
      <c r="CG92" s="446"/>
      <c r="CH92" s="446"/>
      <c r="CI92" s="446"/>
      <c r="CJ92" s="446"/>
      <c r="CK92" s="446"/>
      <c r="CL92" s="446"/>
      <c r="CM92" s="446"/>
      <c r="CN92" s="446"/>
      <c r="CO92" s="446"/>
      <c r="CP92" s="446"/>
      <c r="CQ92" s="446"/>
      <c r="CR92" s="446"/>
      <c r="CS92" s="446"/>
      <c r="CT92" s="446"/>
      <c r="CU92" s="446"/>
      <c r="CV92" s="446"/>
      <c r="CW92" s="446"/>
      <c r="CX92" s="446"/>
      <c r="CY92" s="446"/>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row>
    <row r="93" spans="1:235" ht="14.15" customHeight="1">
      <c r="A93" s="7"/>
      <c r="B93" s="7"/>
      <c r="C93" s="7"/>
      <c r="D93" s="7"/>
      <c r="E93" s="7"/>
      <c r="F93" s="7"/>
      <c r="G93" s="7"/>
      <c r="H93" s="7"/>
      <c r="I93" s="7"/>
      <c r="J93" s="7"/>
      <c r="K93" s="7"/>
      <c r="L93" s="17"/>
      <c r="M93" s="17"/>
      <c r="N93" s="17"/>
      <c r="O93" s="673"/>
      <c r="P93" s="408"/>
      <c r="Q93" s="408"/>
      <c r="R93" s="408"/>
      <c r="S93" s="408"/>
      <c r="T93" s="408"/>
      <c r="U93" s="408"/>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446"/>
      <c r="BA93" s="446"/>
      <c r="BB93" s="446"/>
      <c r="BC93" s="446"/>
      <c r="BD93" s="446"/>
      <c r="BE93" s="446"/>
      <c r="BF93" s="446"/>
      <c r="BG93" s="446"/>
      <c r="BH93" s="446"/>
      <c r="BI93" s="446"/>
      <c r="BJ93" s="446"/>
      <c r="BK93" s="446"/>
      <c r="BL93" s="446"/>
      <c r="BM93" s="446"/>
      <c r="BN93" s="446"/>
      <c r="BO93" s="446"/>
      <c r="BP93" s="446"/>
      <c r="BQ93" s="446"/>
      <c r="BR93" s="446"/>
      <c r="BS93" s="446"/>
      <c r="BT93" s="446"/>
      <c r="BU93" s="446"/>
      <c r="BV93" s="446"/>
      <c r="BW93" s="446"/>
      <c r="BX93" s="446"/>
      <c r="BY93" s="446"/>
      <c r="BZ93" s="446"/>
      <c r="CA93" s="446"/>
      <c r="CB93" s="446"/>
      <c r="CC93" s="446"/>
      <c r="CD93" s="446"/>
      <c r="CE93" s="446"/>
      <c r="CF93" s="446"/>
      <c r="CG93" s="446"/>
      <c r="CH93" s="446"/>
      <c r="CI93" s="446"/>
      <c r="CJ93" s="446"/>
      <c r="CK93" s="446"/>
      <c r="CL93" s="446"/>
      <c r="CM93" s="446"/>
      <c r="CN93" s="446"/>
      <c r="CO93" s="446"/>
      <c r="CP93" s="446"/>
      <c r="CQ93" s="446"/>
      <c r="CR93" s="446"/>
      <c r="CS93" s="446"/>
      <c r="CT93" s="446"/>
      <c r="CU93" s="446"/>
      <c r="CV93" s="446"/>
      <c r="CW93" s="446"/>
      <c r="CX93" s="446"/>
      <c r="CY93" s="446"/>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row>
    <row r="94" spans="1:235" ht="14.15" customHeight="1">
      <c r="A94" s="7"/>
      <c r="B94" s="7"/>
      <c r="C94" s="7"/>
      <c r="D94" s="7"/>
      <c r="E94" s="7"/>
      <c r="F94" s="7"/>
      <c r="G94" s="7"/>
      <c r="H94" s="7"/>
      <c r="I94" s="7"/>
      <c r="J94" s="7"/>
      <c r="K94" s="7"/>
      <c r="L94" s="17"/>
      <c r="M94" s="17"/>
      <c r="N94" s="17"/>
      <c r="O94" s="673"/>
      <c r="P94" s="408"/>
      <c r="Q94" s="408"/>
      <c r="R94" s="408"/>
      <c r="S94" s="408"/>
      <c r="T94" s="408"/>
      <c r="U94" s="408"/>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446"/>
      <c r="BA94" s="446"/>
      <c r="BB94" s="446"/>
      <c r="BC94" s="446"/>
      <c r="BD94" s="446"/>
      <c r="BE94" s="446"/>
      <c r="BF94" s="446"/>
      <c r="BG94" s="446"/>
      <c r="BH94" s="446"/>
      <c r="BI94" s="446"/>
      <c r="BJ94" s="446"/>
      <c r="BK94" s="446"/>
      <c r="BL94" s="446"/>
      <c r="BM94" s="446"/>
      <c r="BN94" s="446"/>
      <c r="BO94" s="446"/>
      <c r="BP94" s="446"/>
      <c r="BQ94" s="446"/>
      <c r="BR94" s="446"/>
      <c r="BS94" s="446"/>
      <c r="BT94" s="446"/>
      <c r="BU94" s="446"/>
      <c r="BV94" s="446"/>
      <c r="BW94" s="446"/>
      <c r="BX94" s="446"/>
      <c r="BY94" s="446"/>
      <c r="BZ94" s="446"/>
      <c r="CA94" s="446"/>
      <c r="CB94" s="446"/>
      <c r="CC94" s="446"/>
      <c r="CD94" s="446"/>
      <c r="CE94" s="446"/>
      <c r="CF94" s="446"/>
      <c r="CG94" s="446"/>
      <c r="CH94" s="446"/>
      <c r="CI94" s="446"/>
      <c r="CJ94" s="446"/>
      <c r="CK94" s="446"/>
      <c r="CL94" s="446"/>
      <c r="CM94" s="446"/>
      <c r="CN94" s="446"/>
      <c r="CO94" s="446"/>
      <c r="CP94" s="446"/>
      <c r="CQ94" s="446"/>
      <c r="CR94" s="446"/>
      <c r="CS94" s="446"/>
      <c r="CT94" s="446"/>
      <c r="CU94" s="446"/>
      <c r="CV94" s="446"/>
      <c r="CW94" s="446"/>
      <c r="CX94" s="446"/>
      <c r="CY94" s="446"/>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row>
    <row r="95" spans="1:235" ht="14.15" customHeight="1">
      <c r="A95" s="7"/>
      <c r="B95" s="7"/>
      <c r="C95" s="7"/>
      <c r="D95" s="7"/>
      <c r="E95" s="7"/>
      <c r="F95" s="7"/>
      <c r="G95" s="7"/>
      <c r="H95" s="7"/>
      <c r="I95" s="7"/>
      <c r="J95" s="7"/>
      <c r="K95" s="7"/>
      <c r="L95" s="17"/>
      <c r="M95" s="17"/>
      <c r="N95" s="17"/>
      <c r="O95" s="673"/>
      <c r="P95" s="408"/>
      <c r="Q95" s="408"/>
      <c r="R95" s="408"/>
      <c r="S95" s="408"/>
      <c r="T95" s="408"/>
      <c r="U95" s="408"/>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446"/>
      <c r="BA95" s="446"/>
      <c r="BB95" s="446"/>
      <c r="BC95" s="446"/>
      <c r="BD95" s="446"/>
      <c r="BE95" s="446"/>
      <c r="BF95" s="446"/>
      <c r="BG95" s="446"/>
      <c r="BH95" s="446"/>
      <c r="BI95" s="446"/>
      <c r="BJ95" s="446"/>
      <c r="BK95" s="446"/>
      <c r="BL95" s="446"/>
      <c r="BM95" s="446"/>
      <c r="BN95" s="446"/>
      <c r="BO95" s="446"/>
      <c r="BP95" s="446"/>
      <c r="BQ95" s="446"/>
      <c r="BR95" s="446"/>
      <c r="BS95" s="446"/>
      <c r="BT95" s="446"/>
      <c r="BU95" s="446"/>
      <c r="BV95" s="446"/>
      <c r="BW95" s="446"/>
      <c r="BX95" s="446"/>
      <c r="BY95" s="446"/>
      <c r="BZ95" s="446"/>
      <c r="CA95" s="446"/>
      <c r="CB95" s="446"/>
      <c r="CC95" s="446"/>
      <c r="CD95" s="446"/>
      <c r="CE95" s="446"/>
      <c r="CF95" s="446"/>
      <c r="CG95" s="446"/>
      <c r="CH95" s="446"/>
      <c r="CI95" s="446"/>
      <c r="CJ95" s="446"/>
      <c r="CK95" s="446"/>
      <c r="CL95" s="446"/>
      <c r="CM95" s="446"/>
      <c r="CN95" s="446"/>
      <c r="CO95" s="446"/>
      <c r="CP95" s="446"/>
      <c r="CQ95" s="446"/>
      <c r="CR95" s="446"/>
      <c r="CS95" s="446"/>
      <c r="CT95" s="446"/>
      <c r="CU95" s="446"/>
      <c r="CV95" s="446"/>
      <c r="CW95" s="446"/>
      <c r="CX95" s="446"/>
      <c r="CY95" s="446"/>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row>
    <row r="96" spans="1:235" ht="14.15" customHeight="1">
      <c r="A96" s="7"/>
      <c r="B96" s="7"/>
      <c r="C96" s="7"/>
      <c r="D96" s="7"/>
      <c r="E96" s="7"/>
      <c r="F96" s="7"/>
      <c r="G96" s="7"/>
      <c r="H96" s="7"/>
      <c r="I96" s="7"/>
      <c r="J96" s="7"/>
      <c r="K96" s="7"/>
      <c r="L96" s="17"/>
      <c r="M96" s="17"/>
      <c r="N96" s="17"/>
      <c r="O96" s="673"/>
      <c r="P96" s="408"/>
      <c r="Q96" s="408"/>
      <c r="R96" s="408"/>
      <c r="S96" s="408"/>
      <c r="T96" s="408"/>
      <c r="U96" s="408"/>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446"/>
      <c r="BA96" s="446"/>
      <c r="BB96" s="446"/>
      <c r="BC96" s="446"/>
      <c r="BD96" s="446"/>
      <c r="BE96" s="446"/>
      <c r="BF96" s="446"/>
      <c r="BG96" s="446"/>
      <c r="BH96" s="446"/>
      <c r="BI96" s="446"/>
      <c r="BJ96" s="446"/>
      <c r="BK96" s="446"/>
      <c r="BL96" s="446"/>
      <c r="BM96" s="446"/>
      <c r="BN96" s="446"/>
      <c r="BO96" s="446"/>
      <c r="BP96" s="446"/>
      <c r="BQ96" s="446"/>
      <c r="BR96" s="446"/>
      <c r="BS96" s="446"/>
      <c r="BT96" s="446"/>
      <c r="BU96" s="446"/>
      <c r="BV96" s="446"/>
      <c r="BW96" s="446"/>
      <c r="BX96" s="446"/>
      <c r="BY96" s="446"/>
      <c r="BZ96" s="446"/>
      <c r="CA96" s="446"/>
      <c r="CB96" s="446"/>
      <c r="CC96" s="446"/>
      <c r="CD96" s="446"/>
      <c r="CE96" s="446"/>
      <c r="CF96" s="446"/>
      <c r="CG96" s="446"/>
      <c r="CH96" s="446"/>
      <c r="CI96" s="446"/>
      <c r="CJ96" s="446"/>
      <c r="CK96" s="446"/>
      <c r="CL96" s="446"/>
      <c r="CM96" s="446"/>
      <c r="CN96" s="446"/>
      <c r="CO96" s="446"/>
      <c r="CP96" s="446"/>
      <c r="CQ96" s="446"/>
      <c r="CR96" s="446"/>
      <c r="CS96" s="446"/>
      <c r="CT96" s="446"/>
      <c r="CU96" s="446"/>
      <c r="CV96" s="446"/>
      <c r="CW96" s="446"/>
      <c r="CX96" s="446"/>
      <c r="CY96" s="446"/>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row>
    <row r="97" spans="1:235" ht="14.15" customHeight="1">
      <c r="A97" s="7"/>
      <c r="B97" s="7"/>
      <c r="C97" s="7"/>
      <c r="D97" s="7"/>
      <c r="E97" s="7"/>
      <c r="F97" s="7"/>
      <c r="G97" s="7"/>
      <c r="H97" s="7"/>
      <c r="I97" s="7"/>
      <c r="J97" s="7"/>
      <c r="K97" s="7"/>
      <c r="L97" s="17"/>
      <c r="M97" s="17"/>
      <c r="N97" s="17"/>
      <c r="O97" s="673"/>
      <c r="P97" s="408"/>
      <c r="Q97" s="408"/>
      <c r="R97" s="408"/>
      <c r="S97" s="408"/>
      <c r="T97" s="408"/>
      <c r="U97" s="408"/>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446"/>
      <c r="BA97" s="446"/>
      <c r="BB97" s="446"/>
      <c r="BC97" s="446"/>
      <c r="BD97" s="446"/>
      <c r="BE97" s="446"/>
      <c r="BF97" s="446"/>
      <c r="BG97" s="446"/>
      <c r="BH97" s="446"/>
      <c r="BI97" s="446"/>
      <c r="BJ97" s="446"/>
      <c r="BK97" s="446"/>
      <c r="BL97" s="446"/>
      <c r="BM97" s="446"/>
      <c r="BN97" s="446"/>
      <c r="BO97" s="446"/>
      <c r="BP97" s="446"/>
      <c r="BQ97" s="446"/>
      <c r="BR97" s="446"/>
      <c r="BS97" s="446"/>
      <c r="BT97" s="446"/>
      <c r="BU97" s="446"/>
      <c r="BV97" s="446"/>
      <c r="BW97" s="446"/>
      <c r="BX97" s="446"/>
      <c r="BY97" s="446"/>
      <c r="BZ97" s="446"/>
      <c r="CA97" s="446"/>
      <c r="CB97" s="446"/>
      <c r="CC97" s="446"/>
      <c r="CD97" s="446"/>
      <c r="CE97" s="446"/>
      <c r="CF97" s="446"/>
      <c r="CG97" s="446"/>
      <c r="CH97" s="446"/>
      <c r="CI97" s="446"/>
      <c r="CJ97" s="446"/>
      <c r="CK97" s="446"/>
      <c r="CL97" s="446"/>
      <c r="CM97" s="446"/>
      <c r="CN97" s="446"/>
      <c r="CO97" s="446"/>
      <c r="CP97" s="446"/>
      <c r="CQ97" s="446"/>
      <c r="CR97" s="446"/>
      <c r="CS97" s="446"/>
      <c r="CT97" s="446"/>
      <c r="CU97" s="446"/>
      <c r="CV97" s="446"/>
      <c r="CW97" s="446"/>
      <c r="CX97" s="446"/>
      <c r="CY97" s="446"/>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row>
    <row r="98" spans="1:235" ht="14.15" customHeight="1">
      <c r="A98" s="7"/>
      <c r="B98" s="7"/>
      <c r="C98" s="7"/>
      <c r="D98" s="7"/>
      <c r="E98" s="7"/>
      <c r="F98" s="7"/>
      <c r="G98" s="7"/>
      <c r="H98" s="7"/>
      <c r="I98" s="7"/>
      <c r="J98" s="7"/>
      <c r="K98" s="7"/>
      <c r="L98" s="17"/>
      <c r="M98" s="17"/>
      <c r="N98" s="17"/>
      <c r="O98" s="673"/>
      <c r="P98" s="408"/>
      <c r="Q98" s="408"/>
      <c r="R98" s="408"/>
      <c r="S98" s="408"/>
      <c r="T98" s="408"/>
      <c r="U98" s="408"/>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446"/>
      <c r="BA98" s="446"/>
      <c r="BB98" s="446"/>
      <c r="BC98" s="446"/>
      <c r="BD98" s="446"/>
      <c r="BE98" s="446"/>
      <c r="BF98" s="446"/>
      <c r="BG98" s="446"/>
      <c r="BH98" s="446"/>
      <c r="BI98" s="446"/>
      <c r="BJ98" s="446"/>
      <c r="BK98" s="446"/>
      <c r="BL98" s="446"/>
      <c r="BM98" s="446"/>
      <c r="BN98" s="446"/>
      <c r="BO98" s="446"/>
      <c r="BP98" s="446"/>
      <c r="BQ98" s="446"/>
      <c r="BR98" s="446"/>
      <c r="BS98" s="446"/>
      <c r="BT98" s="446"/>
      <c r="BU98" s="446"/>
      <c r="BV98" s="446"/>
      <c r="BW98" s="446"/>
      <c r="BX98" s="446"/>
      <c r="BY98" s="446"/>
      <c r="BZ98" s="446"/>
      <c r="CA98" s="446"/>
      <c r="CB98" s="446"/>
      <c r="CC98" s="446"/>
      <c r="CD98" s="446"/>
      <c r="CE98" s="446"/>
      <c r="CF98" s="446"/>
      <c r="CG98" s="446"/>
      <c r="CH98" s="446"/>
      <c r="CI98" s="446"/>
      <c r="CJ98" s="446"/>
      <c r="CK98" s="446"/>
      <c r="CL98" s="446"/>
      <c r="CM98" s="446"/>
      <c r="CN98" s="446"/>
      <c r="CO98" s="446"/>
      <c r="CP98" s="446"/>
      <c r="CQ98" s="446"/>
      <c r="CR98" s="446"/>
      <c r="CS98" s="446"/>
      <c r="CT98" s="446"/>
      <c r="CU98" s="446"/>
      <c r="CV98" s="446"/>
      <c r="CW98" s="446"/>
      <c r="CX98" s="446"/>
      <c r="CY98" s="446"/>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row>
    <row r="99" spans="1:235" ht="14.15" customHeight="1">
      <c r="A99" s="7"/>
      <c r="B99" s="7"/>
      <c r="C99" s="7"/>
      <c r="D99" s="7"/>
      <c r="E99" s="7"/>
      <c r="F99" s="7"/>
      <c r="G99" s="7"/>
      <c r="H99" s="7"/>
      <c r="I99" s="7"/>
      <c r="J99" s="7"/>
      <c r="K99" s="7"/>
      <c r="L99" s="17"/>
      <c r="M99" s="17"/>
      <c r="N99" s="17"/>
      <c r="O99" s="673"/>
      <c r="P99" s="408"/>
      <c r="Q99" s="408"/>
      <c r="R99" s="408"/>
      <c r="S99" s="408"/>
      <c r="T99" s="408"/>
      <c r="U99" s="408"/>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446"/>
      <c r="BA99" s="446"/>
      <c r="BB99" s="446"/>
      <c r="BC99" s="446"/>
      <c r="BD99" s="446"/>
      <c r="BE99" s="446"/>
      <c r="BF99" s="446"/>
      <c r="BG99" s="446"/>
      <c r="BH99" s="446"/>
      <c r="BI99" s="446"/>
      <c r="BJ99" s="446"/>
      <c r="BK99" s="446"/>
      <c r="BL99" s="446"/>
      <c r="BM99" s="446"/>
      <c r="BN99" s="446"/>
      <c r="BO99" s="446"/>
      <c r="BP99" s="446"/>
      <c r="BQ99" s="446"/>
      <c r="BR99" s="446"/>
      <c r="BS99" s="446"/>
      <c r="BT99" s="446"/>
      <c r="BU99" s="446"/>
      <c r="BV99" s="446"/>
      <c r="BW99" s="446"/>
      <c r="BX99" s="446"/>
      <c r="BY99" s="446"/>
      <c r="BZ99" s="446"/>
      <c r="CA99" s="446"/>
      <c r="CB99" s="446"/>
      <c r="CC99" s="446"/>
      <c r="CD99" s="446"/>
      <c r="CE99" s="446"/>
      <c r="CF99" s="446"/>
      <c r="CG99" s="446"/>
      <c r="CH99" s="446"/>
      <c r="CI99" s="446"/>
      <c r="CJ99" s="446"/>
      <c r="CK99" s="446"/>
      <c r="CL99" s="446"/>
      <c r="CM99" s="446"/>
      <c r="CN99" s="446"/>
      <c r="CO99" s="446"/>
      <c r="CP99" s="446"/>
      <c r="CQ99" s="446"/>
      <c r="CR99" s="446"/>
      <c r="CS99" s="446"/>
      <c r="CT99" s="446"/>
      <c r="CU99" s="446"/>
      <c r="CV99" s="446"/>
      <c r="CW99" s="446"/>
      <c r="CX99" s="446"/>
      <c r="CY99" s="446"/>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row>
    <row r="100" spans="1:235" ht="14.15" customHeight="1">
      <c r="A100" s="7"/>
      <c r="B100" s="7"/>
      <c r="C100" s="7"/>
      <c r="D100" s="7"/>
      <c r="E100" s="7"/>
      <c r="F100" s="7"/>
      <c r="G100" s="7"/>
      <c r="H100" s="7"/>
      <c r="I100" s="7"/>
      <c r="J100" s="7"/>
      <c r="K100" s="7"/>
      <c r="L100" s="17"/>
      <c r="M100" s="17"/>
      <c r="N100" s="17"/>
      <c r="O100" s="673"/>
      <c r="P100" s="408"/>
      <c r="Q100" s="408"/>
      <c r="R100" s="408"/>
      <c r="S100" s="408"/>
      <c r="T100" s="408"/>
      <c r="U100" s="408"/>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446"/>
      <c r="BA100" s="446"/>
      <c r="BB100" s="446"/>
      <c r="BC100" s="446"/>
      <c r="BD100" s="446"/>
      <c r="BE100" s="446"/>
      <c r="BF100" s="446"/>
      <c r="BG100" s="446"/>
      <c r="BH100" s="446"/>
      <c r="BI100" s="446"/>
      <c r="BJ100" s="446"/>
      <c r="BK100" s="446"/>
      <c r="BL100" s="446"/>
      <c r="BM100" s="446"/>
      <c r="BN100" s="446"/>
      <c r="BO100" s="446"/>
      <c r="BP100" s="446"/>
      <c r="BQ100" s="446"/>
      <c r="BR100" s="446"/>
      <c r="BS100" s="446"/>
      <c r="BT100" s="446"/>
      <c r="BU100" s="446"/>
      <c r="BV100" s="446"/>
      <c r="BW100" s="446"/>
      <c r="BX100" s="446"/>
      <c r="BY100" s="446"/>
      <c r="BZ100" s="446"/>
      <c r="CA100" s="446"/>
      <c r="CB100" s="446"/>
      <c r="CC100" s="446"/>
      <c r="CD100" s="446"/>
      <c r="CE100" s="446"/>
      <c r="CF100" s="446"/>
      <c r="CG100" s="446"/>
      <c r="CH100" s="446"/>
      <c r="CI100" s="446"/>
      <c r="CJ100" s="446"/>
      <c r="CK100" s="446"/>
      <c r="CL100" s="446"/>
      <c r="CM100" s="446"/>
      <c r="CN100" s="446"/>
      <c r="CO100" s="446"/>
      <c r="CP100" s="446"/>
      <c r="CQ100" s="446"/>
      <c r="CR100" s="446"/>
      <c r="CS100" s="446"/>
      <c r="CT100" s="446"/>
      <c r="CU100" s="446"/>
      <c r="CV100" s="446"/>
      <c r="CW100" s="446"/>
      <c r="CX100" s="446"/>
      <c r="CY100" s="446"/>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row>
    <row r="101" spans="1:235" ht="14.15" customHeight="1">
      <c r="A101" s="7"/>
      <c r="B101" s="7"/>
      <c r="C101" s="7"/>
      <c r="D101" s="7"/>
      <c r="E101" s="7"/>
      <c r="F101" s="7"/>
      <c r="G101" s="7"/>
      <c r="H101" s="7"/>
      <c r="I101" s="7"/>
      <c r="J101" s="7"/>
      <c r="K101" s="7"/>
      <c r="L101" s="17"/>
      <c r="M101" s="17"/>
      <c r="N101" s="17"/>
      <c r="O101" s="673"/>
      <c r="P101" s="408"/>
      <c r="Q101" s="408"/>
      <c r="R101" s="408"/>
      <c r="S101" s="408"/>
      <c r="T101" s="408"/>
      <c r="U101" s="408"/>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446"/>
      <c r="BA101" s="446"/>
      <c r="BB101" s="446"/>
      <c r="BC101" s="446"/>
      <c r="BD101" s="446"/>
      <c r="BE101" s="446"/>
      <c r="BF101" s="446"/>
      <c r="BG101" s="446"/>
      <c r="BH101" s="446"/>
      <c r="BI101" s="446"/>
      <c r="BJ101" s="446"/>
      <c r="BK101" s="446"/>
      <c r="BL101" s="446"/>
      <c r="BM101" s="446"/>
      <c r="BN101" s="446"/>
      <c r="BO101" s="446"/>
      <c r="BP101" s="446"/>
      <c r="BQ101" s="446"/>
      <c r="BR101" s="446"/>
      <c r="BS101" s="446"/>
      <c r="BT101" s="446"/>
      <c r="BU101" s="446"/>
      <c r="BV101" s="446"/>
      <c r="BW101" s="446"/>
      <c r="BX101" s="446"/>
      <c r="BY101" s="446"/>
      <c r="BZ101" s="446"/>
      <c r="CA101" s="446"/>
      <c r="CB101" s="446"/>
      <c r="CC101" s="446"/>
      <c r="CD101" s="446"/>
      <c r="CE101" s="446"/>
      <c r="CF101" s="446"/>
      <c r="CG101" s="446"/>
      <c r="CH101" s="446"/>
      <c r="CI101" s="446"/>
      <c r="CJ101" s="446"/>
      <c r="CK101" s="446"/>
      <c r="CL101" s="446"/>
      <c r="CM101" s="446"/>
      <c r="CN101" s="446"/>
      <c r="CO101" s="446"/>
      <c r="CP101" s="446"/>
      <c r="CQ101" s="446"/>
      <c r="CR101" s="446"/>
      <c r="CS101" s="446"/>
      <c r="CT101" s="446"/>
      <c r="CU101" s="446"/>
      <c r="CV101" s="446"/>
      <c r="CW101" s="446"/>
      <c r="CX101" s="446"/>
      <c r="CY101" s="446"/>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row>
    <row r="102" spans="1:235" ht="14.15" customHeight="1">
      <c r="A102" s="7"/>
      <c r="B102" s="7"/>
      <c r="C102" s="7"/>
      <c r="D102" s="7"/>
      <c r="E102" s="7"/>
      <c r="F102" s="7"/>
      <c r="G102" s="7"/>
      <c r="H102" s="7"/>
      <c r="I102" s="7"/>
      <c r="J102" s="7"/>
      <c r="K102" s="7"/>
      <c r="L102" s="17"/>
      <c r="M102" s="17"/>
      <c r="N102" s="17"/>
      <c r="O102" s="673"/>
      <c r="P102" s="408"/>
      <c r="Q102" s="408"/>
      <c r="R102" s="408"/>
      <c r="S102" s="408"/>
      <c r="T102" s="408"/>
      <c r="U102" s="408"/>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6"/>
      <c r="BC102" s="446"/>
      <c r="BD102" s="446"/>
      <c r="BE102" s="446"/>
      <c r="BF102" s="446"/>
      <c r="BG102" s="446"/>
      <c r="BH102" s="446"/>
      <c r="BI102" s="446"/>
      <c r="BJ102" s="446"/>
      <c r="BK102" s="446"/>
      <c r="BL102" s="446"/>
      <c r="BM102" s="446"/>
      <c r="BN102" s="446"/>
      <c r="BO102" s="446"/>
      <c r="BP102" s="446"/>
      <c r="BQ102" s="446"/>
      <c r="BR102" s="446"/>
      <c r="BS102" s="446"/>
      <c r="BT102" s="446"/>
      <c r="BU102" s="446"/>
      <c r="BV102" s="446"/>
      <c r="BW102" s="446"/>
      <c r="BX102" s="446"/>
      <c r="BY102" s="446"/>
      <c r="BZ102" s="446"/>
      <c r="CA102" s="446"/>
      <c r="CB102" s="446"/>
      <c r="CC102" s="446"/>
      <c r="CD102" s="446"/>
      <c r="CE102" s="446"/>
      <c r="CF102" s="446"/>
      <c r="CG102" s="446"/>
      <c r="CH102" s="446"/>
      <c r="CI102" s="446"/>
      <c r="CJ102" s="446"/>
      <c r="CK102" s="446"/>
      <c r="CL102" s="446"/>
      <c r="CM102" s="446"/>
      <c r="CN102" s="446"/>
      <c r="CO102" s="446"/>
      <c r="CP102" s="446"/>
      <c r="CQ102" s="446"/>
      <c r="CR102" s="446"/>
      <c r="CS102" s="446"/>
      <c r="CT102" s="446"/>
      <c r="CU102" s="446"/>
      <c r="CV102" s="446"/>
      <c r="CW102" s="446"/>
      <c r="CX102" s="446"/>
      <c r="CY102" s="446"/>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row>
    <row r="103" spans="1:235" ht="14.15" customHeight="1">
      <c r="A103" s="7"/>
      <c r="B103" s="7"/>
      <c r="C103" s="7"/>
      <c r="D103" s="7"/>
      <c r="E103" s="7"/>
      <c r="F103" s="7"/>
      <c r="G103" s="7"/>
      <c r="H103" s="7"/>
      <c r="I103" s="7"/>
      <c r="J103" s="7"/>
      <c r="K103" s="7"/>
      <c r="L103" s="17"/>
      <c r="M103" s="17"/>
      <c r="N103" s="17"/>
      <c r="O103" s="673"/>
      <c r="P103" s="408"/>
      <c r="Q103" s="408"/>
      <c r="R103" s="408"/>
      <c r="S103" s="408"/>
      <c r="T103" s="408"/>
      <c r="U103" s="408"/>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446"/>
      <c r="BA103" s="446"/>
      <c r="BB103" s="446"/>
      <c r="BC103" s="446"/>
      <c r="BD103" s="446"/>
      <c r="BE103" s="446"/>
      <c r="BF103" s="446"/>
      <c r="BG103" s="446"/>
      <c r="BH103" s="446"/>
      <c r="BI103" s="446"/>
      <c r="BJ103" s="446"/>
      <c r="BK103" s="446"/>
      <c r="BL103" s="446"/>
      <c r="BM103" s="446"/>
      <c r="BN103" s="446"/>
      <c r="BO103" s="446"/>
      <c r="BP103" s="446"/>
      <c r="BQ103" s="446"/>
      <c r="BR103" s="446"/>
      <c r="BS103" s="446"/>
      <c r="BT103" s="446"/>
      <c r="BU103" s="446"/>
      <c r="BV103" s="446"/>
      <c r="BW103" s="446"/>
      <c r="BX103" s="446"/>
      <c r="BY103" s="446"/>
      <c r="BZ103" s="446"/>
      <c r="CA103" s="446"/>
      <c r="CB103" s="446"/>
      <c r="CC103" s="446"/>
      <c r="CD103" s="446"/>
      <c r="CE103" s="446"/>
      <c r="CF103" s="446"/>
      <c r="CG103" s="446"/>
      <c r="CH103" s="446"/>
      <c r="CI103" s="446"/>
      <c r="CJ103" s="446"/>
      <c r="CK103" s="446"/>
      <c r="CL103" s="446"/>
      <c r="CM103" s="446"/>
      <c r="CN103" s="446"/>
      <c r="CO103" s="446"/>
      <c r="CP103" s="446"/>
      <c r="CQ103" s="446"/>
      <c r="CR103" s="446"/>
      <c r="CS103" s="446"/>
      <c r="CT103" s="446"/>
      <c r="CU103" s="446"/>
      <c r="CV103" s="446"/>
      <c r="CW103" s="446"/>
      <c r="CX103" s="446"/>
      <c r="CY103" s="446"/>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row>
    <row r="104" spans="1:235" ht="14.15" customHeight="1">
      <c r="A104" s="7"/>
      <c r="B104" s="7"/>
      <c r="C104" s="7"/>
      <c r="D104" s="7"/>
      <c r="E104" s="7"/>
      <c r="F104" s="7"/>
      <c r="G104" s="7"/>
      <c r="H104" s="7"/>
      <c r="I104" s="7"/>
      <c r="J104" s="7"/>
      <c r="K104" s="7"/>
      <c r="L104" s="17"/>
      <c r="M104" s="17"/>
      <c r="N104" s="17"/>
      <c r="O104" s="673"/>
      <c r="P104" s="408"/>
      <c r="Q104" s="408"/>
      <c r="R104" s="408"/>
      <c r="S104" s="408"/>
      <c r="T104" s="408"/>
      <c r="U104" s="408"/>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446"/>
      <c r="BA104" s="446"/>
      <c r="BB104" s="446"/>
      <c r="BC104" s="446"/>
      <c r="BD104" s="446"/>
      <c r="BE104" s="446"/>
      <c r="BF104" s="446"/>
      <c r="BG104" s="446"/>
      <c r="BH104" s="446"/>
      <c r="BI104" s="446"/>
      <c r="BJ104" s="446"/>
      <c r="BK104" s="446"/>
      <c r="BL104" s="446"/>
      <c r="BM104" s="446"/>
      <c r="BN104" s="446"/>
      <c r="BO104" s="446"/>
      <c r="BP104" s="446"/>
      <c r="BQ104" s="446"/>
      <c r="BR104" s="446"/>
      <c r="BS104" s="446"/>
      <c r="BT104" s="446"/>
      <c r="BU104" s="446"/>
      <c r="BV104" s="446"/>
      <c r="BW104" s="446"/>
      <c r="BX104" s="446"/>
      <c r="BY104" s="446"/>
      <c r="BZ104" s="446"/>
      <c r="CA104" s="446"/>
      <c r="CB104" s="446"/>
      <c r="CC104" s="446"/>
      <c r="CD104" s="446"/>
      <c r="CE104" s="446"/>
      <c r="CF104" s="446"/>
      <c r="CG104" s="446"/>
      <c r="CH104" s="446"/>
      <c r="CI104" s="446"/>
      <c r="CJ104" s="446"/>
      <c r="CK104" s="446"/>
      <c r="CL104" s="446"/>
      <c r="CM104" s="446"/>
      <c r="CN104" s="446"/>
      <c r="CO104" s="446"/>
      <c r="CP104" s="446"/>
      <c r="CQ104" s="446"/>
      <c r="CR104" s="446"/>
      <c r="CS104" s="446"/>
      <c r="CT104" s="446"/>
      <c r="CU104" s="446"/>
      <c r="CV104" s="446"/>
      <c r="CW104" s="446"/>
      <c r="CX104" s="446"/>
      <c r="CY104" s="446"/>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row>
    <row r="105" spans="1:235" ht="14.15" customHeight="1">
      <c r="A105" s="7"/>
      <c r="B105" s="7"/>
      <c r="C105" s="7"/>
      <c r="D105" s="7"/>
      <c r="E105" s="7"/>
      <c r="F105" s="7"/>
      <c r="G105" s="7"/>
      <c r="H105" s="7"/>
      <c r="I105" s="7"/>
      <c r="J105" s="7"/>
      <c r="K105" s="7"/>
      <c r="L105" s="17"/>
      <c r="M105" s="17"/>
      <c r="N105" s="17"/>
      <c r="O105" s="673"/>
      <c r="P105" s="408"/>
      <c r="Q105" s="408"/>
      <c r="R105" s="408"/>
      <c r="S105" s="408"/>
      <c r="T105" s="408"/>
      <c r="U105" s="408"/>
      <c r="V105" s="446"/>
      <c r="W105" s="446"/>
      <c r="X105" s="446"/>
      <c r="Y105" s="446"/>
      <c r="Z105" s="446"/>
      <c r="AA105" s="446"/>
      <c r="AB105" s="446"/>
      <c r="AC105" s="446"/>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6"/>
      <c r="AY105" s="446"/>
      <c r="AZ105" s="446"/>
      <c r="BA105" s="446"/>
      <c r="BB105" s="446"/>
      <c r="BC105" s="446"/>
      <c r="BD105" s="446"/>
      <c r="BE105" s="446"/>
      <c r="BF105" s="446"/>
      <c r="BG105" s="446"/>
      <c r="BH105" s="446"/>
      <c r="BI105" s="446"/>
      <c r="BJ105" s="446"/>
      <c r="BK105" s="446"/>
      <c r="BL105" s="446"/>
      <c r="BM105" s="446"/>
      <c r="BN105" s="446"/>
      <c r="BO105" s="446"/>
      <c r="BP105" s="446"/>
      <c r="BQ105" s="446"/>
      <c r="BR105" s="446"/>
      <c r="BS105" s="446"/>
      <c r="BT105" s="446"/>
      <c r="BU105" s="446"/>
      <c r="BV105" s="446"/>
      <c r="BW105" s="446"/>
      <c r="BX105" s="446"/>
      <c r="BY105" s="446"/>
      <c r="BZ105" s="446"/>
      <c r="CA105" s="446"/>
      <c r="CB105" s="446"/>
      <c r="CC105" s="446"/>
      <c r="CD105" s="446"/>
      <c r="CE105" s="446"/>
      <c r="CF105" s="446"/>
      <c r="CG105" s="446"/>
      <c r="CH105" s="446"/>
      <c r="CI105" s="446"/>
      <c r="CJ105" s="446"/>
      <c r="CK105" s="446"/>
      <c r="CL105" s="446"/>
      <c r="CM105" s="446"/>
      <c r="CN105" s="446"/>
      <c r="CO105" s="446"/>
      <c r="CP105" s="446"/>
      <c r="CQ105" s="446"/>
      <c r="CR105" s="446"/>
      <c r="CS105" s="446"/>
      <c r="CT105" s="446"/>
      <c r="CU105" s="446"/>
      <c r="CV105" s="446"/>
      <c r="CW105" s="446"/>
      <c r="CX105" s="446"/>
      <c r="CY105" s="446"/>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row>
    <row r="106" spans="1:235" ht="14.15" customHeight="1">
      <c r="A106" s="7"/>
      <c r="B106" s="7"/>
      <c r="C106" s="7"/>
      <c r="D106" s="7"/>
      <c r="E106" s="7"/>
      <c r="F106" s="7"/>
      <c r="G106" s="7"/>
      <c r="H106" s="7"/>
      <c r="I106" s="7"/>
      <c r="J106" s="7"/>
      <c r="K106" s="7"/>
      <c r="L106" s="17"/>
      <c r="M106" s="17"/>
      <c r="N106" s="17"/>
      <c r="O106" s="673"/>
      <c r="P106" s="408"/>
      <c r="Q106" s="408"/>
      <c r="R106" s="408"/>
      <c r="S106" s="408"/>
      <c r="T106" s="408"/>
      <c r="U106" s="408"/>
      <c r="V106" s="446"/>
      <c r="W106" s="446"/>
      <c r="X106" s="446"/>
      <c r="Y106" s="446"/>
      <c r="Z106" s="446"/>
      <c r="AA106" s="446"/>
      <c r="AB106" s="446"/>
      <c r="AC106" s="446"/>
      <c r="AD106" s="446"/>
      <c r="AE106" s="446"/>
      <c r="AF106" s="446"/>
      <c r="AG106" s="446"/>
      <c r="AH106" s="446"/>
      <c r="AI106" s="446"/>
      <c r="AJ106" s="446"/>
      <c r="AK106" s="446"/>
      <c r="AL106" s="446"/>
      <c r="AM106" s="446"/>
      <c r="AN106" s="446"/>
      <c r="AO106" s="446"/>
      <c r="AP106" s="446"/>
      <c r="AQ106" s="446"/>
      <c r="AR106" s="446"/>
      <c r="AS106" s="446"/>
      <c r="AT106" s="446"/>
      <c r="AU106" s="446"/>
      <c r="AV106" s="446"/>
      <c r="AW106" s="446"/>
      <c r="AX106" s="446"/>
      <c r="AY106" s="446"/>
      <c r="AZ106" s="446"/>
      <c r="BA106" s="446"/>
      <c r="BB106" s="446"/>
      <c r="BC106" s="446"/>
      <c r="BD106" s="446"/>
      <c r="BE106" s="446"/>
      <c r="BF106" s="446"/>
      <c r="BG106" s="446"/>
      <c r="BH106" s="446"/>
      <c r="BI106" s="446"/>
      <c r="BJ106" s="446"/>
      <c r="BK106" s="446"/>
      <c r="BL106" s="446"/>
      <c r="BM106" s="446"/>
      <c r="BN106" s="446"/>
      <c r="BO106" s="446"/>
      <c r="BP106" s="446"/>
      <c r="BQ106" s="446"/>
      <c r="BR106" s="446"/>
      <c r="BS106" s="446"/>
      <c r="BT106" s="446"/>
      <c r="BU106" s="446"/>
      <c r="BV106" s="446"/>
      <c r="BW106" s="446"/>
      <c r="BX106" s="446"/>
      <c r="BY106" s="446"/>
      <c r="BZ106" s="446"/>
      <c r="CA106" s="446"/>
      <c r="CB106" s="446"/>
      <c r="CC106" s="446"/>
      <c r="CD106" s="446"/>
      <c r="CE106" s="446"/>
      <c r="CF106" s="446"/>
      <c r="CG106" s="446"/>
      <c r="CH106" s="446"/>
      <c r="CI106" s="446"/>
      <c r="CJ106" s="446"/>
      <c r="CK106" s="446"/>
      <c r="CL106" s="446"/>
      <c r="CM106" s="446"/>
      <c r="CN106" s="446"/>
      <c r="CO106" s="446"/>
      <c r="CP106" s="446"/>
      <c r="CQ106" s="446"/>
      <c r="CR106" s="446"/>
      <c r="CS106" s="446"/>
      <c r="CT106" s="446"/>
      <c r="CU106" s="446"/>
      <c r="CV106" s="446"/>
      <c r="CW106" s="446"/>
      <c r="CX106" s="446"/>
      <c r="CY106" s="446"/>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row>
    <row r="107" spans="1:235" ht="14.15" customHeight="1">
      <c r="A107" s="7"/>
      <c r="B107" s="7"/>
      <c r="C107" s="7"/>
      <c r="D107" s="7"/>
      <c r="E107" s="7"/>
      <c r="F107" s="7"/>
      <c r="G107" s="7"/>
      <c r="H107" s="7"/>
      <c r="I107" s="7"/>
      <c r="J107" s="7"/>
      <c r="K107" s="7"/>
      <c r="L107" s="17"/>
      <c r="M107" s="17"/>
      <c r="N107" s="17"/>
      <c r="O107" s="673"/>
      <c r="P107" s="408"/>
      <c r="Q107" s="408"/>
      <c r="R107" s="408"/>
      <c r="S107" s="408"/>
      <c r="T107" s="408"/>
      <c r="U107" s="408"/>
      <c r="V107" s="446"/>
      <c r="W107" s="446"/>
      <c r="X107" s="446"/>
      <c r="Y107" s="446"/>
      <c r="Z107" s="446"/>
      <c r="AA107" s="446"/>
      <c r="AB107" s="446"/>
      <c r="AC107" s="446"/>
      <c r="AD107" s="446"/>
      <c r="AE107" s="446"/>
      <c r="AF107" s="446"/>
      <c r="AG107" s="446"/>
      <c r="AH107" s="446"/>
      <c r="AI107" s="446"/>
      <c r="AJ107" s="446"/>
      <c r="AK107" s="446"/>
      <c r="AL107" s="446"/>
      <c r="AM107" s="446"/>
      <c r="AN107" s="446"/>
      <c r="AO107" s="446"/>
      <c r="AP107" s="446"/>
      <c r="AQ107" s="446"/>
      <c r="AR107" s="446"/>
      <c r="AS107" s="446"/>
      <c r="AT107" s="446"/>
      <c r="AU107" s="446"/>
      <c r="AV107" s="446"/>
      <c r="AW107" s="446"/>
      <c r="AX107" s="446"/>
      <c r="AY107" s="446"/>
      <c r="AZ107" s="446"/>
      <c r="BA107" s="446"/>
      <c r="BB107" s="446"/>
      <c r="BC107" s="446"/>
      <c r="BD107" s="446"/>
      <c r="BE107" s="446"/>
      <c r="BF107" s="446"/>
      <c r="BG107" s="446"/>
      <c r="BH107" s="446"/>
      <c r="BI107" s="446"/>
      <c r="BJ107" s="446"/>
      <c r="BK107" s="446"/>
      <c r="BL107" s="446"/>
      <c r="BM107" s="446"/>
      <c r="BN107" s="446"/>
      <c r="BO107" s="446"/>
      <c r="BP107" s="446"/>
      <c r="BQ107" s="446"/>
      <c r="BR107" s="446"/>
      <c r="BS107" s="446"/>
      <c r="BT107" s="446"/>
      <c r="BU107" s="446"/>
      <c r="BV107" s="446"/>
      <c r="BW107" s="446"/>
      <c r="BX107" s="446"/>
      <c r="BY107" s="446"/>
      <c r="BZ107" s="446"/>
      <c r="CA107" s="446"/>
      <c r="CB107" s="446"/>
      <c r="CC107" s="446"/>
      <c r="CD107" s="446"/>
      <c r="CE107" s="446"/>
      <c r="CF107" s="446"/>
      <c r="CG107" s="446"/>
      <c r="CH107" s="446"/>
      <c r="CI107" s="446"/>
      <c r="CJ107" s="446"/>
      <c r="CK107" s="446"/>
      <c r="CL107" s="446"/>
      <c r="CM107" s="446"/>
      <c r="CN107" s="446"/>
      <c r="CO107" s="446"/>
      <c r="CP107" s="446"/>
      <c r="CQ107" s="446"/>
      <c r="CR107" s="446"/>
      <c r="CS107" s="446"/>
      <c r="CT107" s="446"/>
      <c r="CU107" s="446"/>
      <c r="CV107" s="446"/>
      <c r="CW107" s="446"/>
      <c r="CX107" s="446"/>
      <c r="CY107" s="446"/>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row>
    <row r="108" spans="1:235" ht="14.15" customHeight="1">
      <c r="A108" s="7"/>
      <c r="B108" s="7"/>
      <c r="C108" s="7"/>
      <c r="D108" s="7"/>
      <c r="E108" s="7"/>
      <c r="F108" s="7"/>
      <c r="G108" s="7"/>
      <c r="H108" s="7"/>
      <c r="I108" s="7"/>
      <c r="J108" s="7"/>
      <c r="K108" s="7"/>
      <c r="L108" s="17"/>
      <c r="M108" s="17"/>
      <c r="N108" s="17"/>
      <c r="O108" s="673"/>
      <c r="P108" s="408"/>
      <c r="Q108" s="408"/>
      <c r="R108" s="408"/>
      <c r="S108" s="408"/>
      <c r="T108" s="408"/>
      <c r="U108" s="408"/>
      <c r="V108" s="446"/>
      <c r="Z108" s="446"/>
      <c r="AA108" s="446"/>
      <c r="AB108" s="446"/>
      <c r="AC108" s="446"/>
      <c r="AD108" s="446"/>
      <c r="AE108" s="446"/>
      <c r="AF108" s="446"/>
      <c r="AG108" s="446"/>
      <c r="AH108" s="446"/>
      <c r="AI108" s="446"/>
      <c r="AJ108" s="446"/>
      <c r="AK108" s="446"/>
      <c r="AL108" s="446"/>
      <c r="AM108" s="446"/>
      <c r="AN108" s="446"/>
      <c r="AO108" s="446"/>
      <c r="AP108" s="446"/>
      <c r="AQ108" s="446"/>
      <c r="AR108" s="446"/>
      <c r="AS108" s="446"/>
      <c r="AT108" s="446"/>
      <c r="AU108" s="446"/>
      <c r="AV108" s="446"/>
      <c r="AW108" s="446"/>
      <c r="AX108" s="446"/>
      <c r="AY108" s="446"/>
      <c r="AZ108" s="446"/>
      <c r="BA108" s="446"/>
      <c r="BB108" s="446"/>
      <c r="BC108" s="446"/>
      <c r="BD108" s="446"/>
      <c r="BE108" s="446"/>
      <c r="BF108" s="446"/>
      <c r="BG108" s="446"/>
      <c r="BH108" s="446"/>
      <c r="BI108" s="446"/>
      <c r="BJ108" s="446"/>
      <c r="BK108" s="446"/>
      <c r="BL108" s="446"/>
      <c r="BM108" s="446"/>
      <c r="BN108" s="446"/>
      <c r="BO108" s="446"/>
      <c r="BP108" s="446"/>
      <c r="BQ108" s="446"/>
      <c r="BR108" s="446"/>
      <c r="BS108" s="446"/>
      <c r="BT108" s="446"/>
      <c r="BU108" s="446"/>
      <c r="BV108" s="446"/>
      <c r="BW108" s="446"/>
      <c r="BX108" s="446"/>
      <c r="BY108" s="446"/>
      <c r="BZ108" s="446"/>
      <c r="CA108" s="446"/>
      <c r="CB108" s="446"/>
      <c r="CC108" s="446"/>
      <c r="CD108" s="446"/>
      <c r="CE108" s="446"/>
      <c r="CF108" s="446"/>
      <c r="CG108" s="446"/>
      <c r="CH108" s="446"/>
      <c r="CI108" s="446"/>
      <c r="CJ108" s="446"/>
      <c r="CK108" s="446"/>
      <c r="CL108" s="446"/>
      <c r="CM108" s="446"/>
      <c r="CN108" s="446"/>
      <c r="CO108" s="446"/>
      <c r="CP108" s="446"/>
      <c r="CQ108" s="446"/>
      <c r="CR108" s="446"/>
      <c r="CS108" s="446"/>
      <c r="CT108" s="446"/>
      <c r="CU108" s="446"/>
      <c r="CV108" s="446"/>
      <c r="CW108" s="446"/>
      <c r="CX108" s="446"/>
      <c r="CY108" s="446"/>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row>
    <row r="109" spans="1:235" ht="14.15" customHeight="1">
      <c r="A109" s="7"/>
      <c r="B109" s="7"/>
      <c r="C109" s="7"/>
      <c r="D109" s="7"/>
      <c r="E109" s="7"/>
      <c r="F109" s="7"/>
      <c r="G109" s="7"/>
      <c r="H109" s="7"/>
      <c r="I109" s="7"/>
      <c r="J109" s="7"/>
      <c r="K109" s="7"/>
      <c r="L109" s="17"/>
      <c r="M109" s="17"/>
      <c r="N109" s="17"/>
      <c r="O109" s="673"/>
      <c r="P109" s="408"/>
      <c r="Q109" s="408"/>
      <c r="R109" s="408"/>
      <c r="S109" s="408"/>
      <c r="T109" s="408"/>
      <c r="U109" s="408"/>
      <c r="V109" s="446"/>
      <c r="Z109" s="446"/>
      <c r="AA109" s="446"/>
      <c r="AB109" s="446"/>
      <c r="AC109" s="446"/>
      <c r="AD109" s="446"/>
      <c r="AE109" s="446"/>
      <c r="AF109" s="446"/>
      <c r="AG109" s="446"/>
      <c r="AH109" s="446"/>
      <c r="AI109" s="446"/>
      <c r="AJ109" s="446"/>
      <c r="AK109" s="446"/>
      <c r="AL109" s="446"/>
      <c r="AM109" s="446"/>
      <c r="AN109" s="446"/>
      <c r="AO109" s="446"/>
      <c r="AP109" s="446"/>
      <c r="AQ109" s="446"/>
      <c r="AR109" s="446"/>
      <c r="AS109" s="446"/>
      <c r="AT109" s="446"/>
      <c r="AU109" s="446"/>
      <c r="AV109" s="446"/>
      <c r="AW109" s="446"/>
      <c r="AX109" s="446"/>
      <c r="AY109" s="446"/>
      <c r="AZ109" s="446"/>
      <c r="BA109" s="446"/>
      <c r="BB109" s="446"/>
      <c r="BC109" s="446"/>
      <c r="BD109" s="446"/>
      <c r="BE109" s="446"/>
      <c r="BF109" s="446"/>
      <c r="BG109" s="446"/>
      <c r="BH109" s="446"/>
      <c r="BI109" s="446"/>
      <c r="BJ109" s="446"/>
      <c r="BK109" s="446"/>
      <c r="BL109" s="446"/>
      <c r="BM109" s="446"/>
      <c r="BN109" s="446"/>
      <c r="BO109" s="446"/>
      <c r="BP109" s="446"/>
      <c r="BQ109" s="446"/>
      <c r="BR109" s="446"/>
      <c r="BS109" s="446"/>
      <c r="BT109" s="446"/>
      <c r="BU109" s="446"/>
      <c r="BV109" s="446"/>
      <c r="BW109" s="446"/>
      <c r="BX109" s="446"/>
      <c r="BY109" s="446"/>
      <c r="BZ109" s="446"/>
      <c r="CA109" s="446"/>
      <c r="CB109" s="446"/>
      <c r="CC109" s="446"/>
      <c r="CD109" s="446"/>
      <c r="CE109" s="446"/>
      <c r="CF109" s="446"/>
      <c r="CG109" s="446"/>
      <c r="CH109" s="446"/>
      <c r="CI109" s="446"/>
      <c r="CJ109" s="446"/>
      <c r="CK109" s="446"/>
      <c r="CL109" s="446"/>
      <c r="CM109" s="446"/>
      <c r="CN109" s="446"/>
      <c r="CO109" s="446"/>
      <c r="CP109" s="446"/>
      <c r="CQ109" s="446"/>
      <c r="CR109" s="446"/>
      <c r="CS109" s="446"/>
      <c r="CT109" s="446"/>
      <c r="CU109" s="446"/>
      <c r="CV109" s="446"/>
      <c r="CW109" s="446"/>
      <c r="CX109" s="446"/>
      <c r="CY109" s="446"/>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2" type="noConversion"/>
  <hyperlinks>
    <hyperlink ref="V1" location="TOC!A1" display="Back"/>
  </hyperlinks>
  <pageMargins left="0.4" right="0.25" top="0.5" bottom="0.5" header="0.25" footer="0.25"/>
  <pageSetup scale="72" orientation="landscape" r:id="rId2"/>
  <headerFooter scaleWithDoc="0">
    <oddHeader>&amp;R&amp;P</oddHead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O40"/>
  <sheetViews>
    <sheetView workbookViewId="0">
      <selection activeCell="N59" sqref="N59"/>
    </sheetView>
  </sheetViews>
  <sheetFormatPr defaultColWidth="8.7265625" defaultRowHeight="12.5"/>
  <cols>
    <col min="1" max="1" width="1.453125" style="501" customWidth="1"/>
    <col min="2" max="2" width="9.81640625" style="501" customWidth="1"/>
    <col min="3" max="5" width="17.26953125" style="501" customWidth="1"/>
    <col min="6" max="6" width="17.54296875" style="501" customWidth="1"/>
    <col min="7" max="8" width="17.26953125" style="501" customWidth="1"/>
    <col min="9" max="16384" width="8.7265625" style="501"/>
  </cols>
  <sheetData>
    <row r="1" spans="2:15" ht="13">
      <c r="B1" s="500" t="s">
        <v>680</v>
      </c>
    </row>
    <row r="2" spans="2:15" ht="13.5" thickBot="1">
      <c r="B2" s="1956" t="s">
        <v>875</v>
      </c>
      <c r="C2" s="1956"/>
      <c r="D2" s="1956"/>
      <c r="E2" s="1956"/>
      <c r="F2" s="1956"/>
      <c r="G2" s="1956"/>
      <c r="H2" s="1956"/>
    </row>
    <row r="3" spans="2:15" s="504" customFormat="1" ht="14.25" customHeight="1">
      <c r="B3" s="502" t="s">
        <v>20</v>
      </c>
      <c r="C3" s="503" t="s">
        <v>33</v>
      </c>
      <c r="D3" s="502" t="s">
        <v>876</v>
      </c>
      <c r="E3" s="502" t="s">
        <v>877</v>
      </c>
      <c r="F3" s="502" t="s">
        <v>878</v>
      </c>
      <c r="G3" s="502" t="s">
        <v>879</v>
      </c>
      <c r="H3" s="502" t="s">
        <v>16</v>
      </c>
    </row>
    <row r="4" spans="2:15" s="504" customFormat="1" ht="13">
      <c r="B4" s="505" t="s">
        <v>880</v>
      </c>
      <c r="C4" s="505" t="s">
        <v>852</v>
      </c>
      <c r="D4" s="505" t="s">
        <v>881</v>
      </c>
      <c r="E4" s="505" t="s">
        <v>882</v>
      </c>
      <c r="F4" s="505" t="s">
        <v>883</v>
      </c>
      <c r="G4" s="505" t="s">
        <v>884</v>
      </c>
      <c r="H4" s="505" t="s">
        <v>885</v>
      </c>
    </row>
    <row r="5" spans="2:15" ht="13">
      <c r="C5" s="506"/>
    </row>
    <row r="6" spans="2:15">
      <c r="C6" s="507"/>
      <c r="D6" s="507"/>
      <c r="E6" s="507"/>
      <c r="F6" s="507"/>
      <c r="G6" s="507"/>
      <c r="H6" s="507"/>
    </row>
    <row r="7" spans="2:15" ht="13">
      <c r="B7" s="508" t="s">
        <v>886</v>
      </c>
    </row>
    <row r="8" spans="2:15">
      <c r="B8" s="509">
        <v>2015</v>
      </c>
      <c r="C8" s="510">
        <v>1031975708795</v>
      </c>
      <c r="D8" s="510">
        <v>84093951055.669998</v>
      </c>
      <c r="E8" s="510">
        <v>10873635297.74</v>
      </c>
      <c r="F8" s="510">
        <v>1266956460</v>
      </c>
      <c r="G8" s="510">
        <v>44154961529</v>
      </c>
      <c r="H8" s="510">
        <v>1172365213137.4099</v>
      </c>
      <c r="I8" s="511"/>
      <c r="J8" s="511"/>
      <c r="K8" s="511"/>
      <c r="L8" s="511"/>
      <c r="M8" s="511"/>
      <c r="N8" s="511"/>
      <c r="O8" s="511"/>
    </row>
    <row r="9" spans="2:15" s="514" customFormat="1">
      <c r="B9" s="509">
        <v>2016</v>
      </c>
      <c r="C9" s="512">
        <v>1060436113127</v>
      </c>
      <c r="D9" s="512">
        <v>88866533959.080002</v>
      </c>
      <c r="E9" s="512">
        <v>10916098009.690001</v>
      </c>
      <c r="F9" s="512">
        <v>1349538948</v>
      </c>
      <c r="G9" s="512">
        <v>46266995318</v>
      </c>
      <c r="H9" s="513">
        <v>1207835279361.77</v>
      </c>
      <c r="I9" s="511"/>
      <c r="J9" s="511"/>
      <c r="K9" s="511"/>
      <c r="L9" s="511"/>
      <c r="M9" s="511"/>
      <c r="N9" s="511"/>
      <c r="O9" s="511"/>
    </row>
    <row r="10" spans="2:15" s="514" customFormat="1">
      <c r="B10" s="509">
        <v>2017</v>
      </c>
      <c r="C10" s="513">
        <v>1091729146412</v>
      </c>
      <c r="D10" s="513">
        <v>92876379259.282059</v>
      </c>
      <c r="E10" s="513">
        <v>10937094637.461905</v>
      </c>
      <c r="F10" s="513">
        <v>1412648166</v>
      </c>
      <c r="G10" s="513">
        <v>48006343392</v>
      </c>
      <c r="H10" s="513">
        <v>1244961611866.7439</v>
      </c>
      <c r="I10" s="511"/>
      <c r="J10" s="511"/>
      <c r="K10" s="511"/>
      <c r="L10" s="511"/>
      <c r="M10" s="511"/>
      <c r="N10" s="511"/>
      <c r="O10" s="511"/>
    </row>
    <row r="11" spans="2:15" s="514" customFormat="1">
      <c r="B11" s="509">
        <v>2018</v>
      </c>
      <c r="C11" s="513">
        <v>1130944150751.6799</v>
      </c>
      <c r="D11" s="513">
        <v>97202215738.300018</v>
      </c>
      <c r="E11" s="513">
        <v>11207635106.190001</v>
      </c>
      <c r="F11" s="513">
        <v>1360441391</v>
      </c>
      <c r="G11" s="513">
        <v>50028306681.440002</v>
      </c>
      <c r="H11" s="513">
        <v>1290742749668.6099</v>
      </c>
      <c r="I11" s="511"/>
      <c r="J11" s="511"/>
      <c r="K11" s="511"/>
      <c r="L11" s="511"/>
      <c r="M11" s="511"/>
      <c r="N11" s="511"/>
      <c r="O11" s="511"/>
    </row>
    <row r="12" spans="2:15" s="514" customFormat="1">
      <c r="B12" s="515">
        <f>B11+1</f>
        <v>2019</v>
      </c>
      <c r="C12" s="713">
        <v>1172449791555</v>
      </c>
      <c r="D12" s="713">
        <v>98726651736.200012</v>
      </c>
      <c r="E12" s="713">
        <v>11567370427.889999</v>
      </c>
      <c r="F12" s="713">
        <v>1344289010.71</v>
      </c>
      <c r="G12" s="713">
        <v>49209543842.540001</v>
      </c>
      <c r="H12" s="712">
        <f>SUM(C12:G12)</f>
        <v>1333297646572.3398</v>
      </c>
      <c r="I12" s="511"/>
    </row>
    <row r="13" spans="2:15" ht="13">
      <c r="C13" s="516"/>
      <c r="D13" s="516"/>
      <c r="E13" s="516"/>
      <c r="F13" s="516"/>
      <c r="G13" s="516"/>
      <c r="H13" s="516"/>
    </row>
    <row r="14" spans="2:15" ht="13">
      <c r="B14" s="508" t="s">
        <v>887</v>
      </c>
      <c r="C14" s="517"/>
      <c r="D14" s="517"/>
      <c r="E14" s="517"/>
      <c r="F14" s="517"/>
      <c r="G14" s="517"/>
      <c r="H14" s="517"/>
    </row>
    <row r="15" spans="2:15">
      <c r="B15" s="509">
        <f>B8</f>
        <v>2015</v>
      </c>
      <c r="C15" s="510">
        <v>10007871602.596775</v>
      </c>
      <c r="D15" s="510">
        <v>3012973186.0262656</v>
      </c>
      <c r="E15" s="510">
        <v>215708233.76555002</v>
      </c>
      <c r="F15" s="510">
        <v>13274973.785999998</v>
      </c>
      <c r="G15" s="510">
        <v>364855303.00326002</v>
      </c>
      <c r="H15" s="510">
        <v>13614683299.177851</v>
      </c>
      <c r="I15" s="511"/>
      <c r="J15" s="511"/>
      <c r="K15" s="511"/>
      <c r="L15" s="511"/>
      <c r="M15" s="511"/>
      <c r="N15" s="511"/>
    </row>
    <row r="16" spans="2:15" s="514" customFormat="1">
      <c r="B16" s="509">
        <f>B9</f>
        <v>2016</v>
      </c>
      <c r="C16" s="513">
        <v>10446834664.72967</v>
      </c>
      <c r="D16" s="513">
        <v>3108724600.9577131</v>
      </c>
      <c r="E16" s="513">
        <v>220024079.66569999</v>
      </c>
      <c r="F16" s="513">
        <v>14028692.103300003</v>
      </c>
      <c r="G16" s="513">
        <v>408732706.07139993</v>
      </c>
      <c r="H16" s="513">
        <v>14198344743.527782</v>
      </c>
      <c r="I16" s="511"/>
      <c r="J16" s="511"/>
      <c r="K16" s="511"/>
      <c r="L16" s="511"/>
      <c r="M16" s="511"/>
      <c r="N16" s="511"/>
    </row>
    <row r="17" spans="2:14" s="514" customFormat="1">
      <c r="B17" s="509">
        <f>B10</f>
        <v>2017</v>
      </c>
      <c r="C17" s="513">
        <v>10820224510.957804</v>
      </c>
      <c r="D17" s="513">
        <v>3279499565.8478804</v>
      </c>
      <c r="E17" s="513">
        <v>232207933.77725005</v>
      </c>
      <c r="F17" s="513">
        <v>14034594.904299999</v>
      </c>
      <c r="G17" s="513">
        <v>404358032.39963996</v>
      </c>
      <c r="H17" s="513">
        <v>14750324637.886873</v>
      </c>
      <c r="I17" s="511"/>
      <c r="J17" s="511"/>
      <c r="K17" s="511"/>
      <c r="L17" s="511"/>
      <c r="M17" s="511"/>
      <c r="N17" s="511"/>
    </row>
    <row r="18" spans="2:14" s="514" customFormat="1">
      <c r="B18" s="509">
        <f>B11</f>
        <v>2018</v>
      </c>
      <c r="C18" s="513">
        <v>11239557027.180504</v>
      </c>
      <c r="D18" s="513">
        <v>3464493881.5964141</v>
      </c>
      <c r="E18" s="513">
        <v>281779148.09530008</v>
      </c>
      <c r="F18" s="513">
        <v>13905355.629000001</v>
      </c>
      <c r="G18" s="513">
        <v>427590254.37099987</v>
      </c>
      <c r="H18" s="513">
        <v>15427325666.872219</v>
      </c>
      <c r="I18" s="511"/>
      <c r="J18" s="511"/>
      <c r="K18" s="511"/>
      <c r="L18" s="511"/>
      <c r="M18" s="511"/>
      <c r="N18" s="511"/>
    </row>
    <row r="19" spans="2:14" s="514" customFormat="1">
      <c r="B19" s="515">
        <f>B12</f>
        <v>2019</v>
      </c>
      <c r="C19" s="713">
        <v>11654584398.700165</v>
      </c>
      <c r="D19" s="713">
        <v>3600959729.1374731</v>
      </c>
      <c r="E19" s="713">
        <v>227752597.23180002</v>
      </c>
      <c r="F19" s="713">
        <v>14010085.905490002</v>
      </c>
      <c r="G19" s="713">
        <v>409329416.85523003</v>
      </c>
      <c r="H19" s="712">
        <f>SUM(C19:G19)</f>
        <v>15906636227.83016</v>
      </c>
    </row>
    <row r="20" spans="2:14" ht="13">
      <c r="C20" s="516"/>
      <c r="D20" s="516"/>
      <c r="E20" s="516"/>
      <c r="F20" s="516"/>
      <c r="G20" s="516"/>
      <c r="H20" s="516"/>
    </row>
    <row r="21" spans="2:14" ht="13">
      <c r="B21" s="508" t="s">
        <v>888</v>
      </c>
    </row>
    <row r="22" spans="2:14">
      <c r="B22" s="509">
        <f>B15</f>
        <v>2015</v>
      </c>
      <c r="C22" s="714">
        <f>C15/C8*100</f>
        <v>0.9697778268717776</v>
      </c>
      <c r="D22" s="714">
        <f t="shared" ref="C22:H26" si="0">D15/D8*100</f>
        <v>3.5828655309960218</v>
      </c>
      <c r="E22" s="714">
        <f t="shared" si="0"/>
        <v>1.9837729320421782</v>
      </c>
      <c r="F22" s="714">
        <f t="shared" si="0"/>
        <v>1.0477845297067272</v>
      </c>
      <c r="G22" s="714">
        <f t="shared" si="0"/>
        <v>0.82630646787820472</v>
      </c>
      <c r="H22" s="714">
        <f t="shared" si="0"/>
        <v>1.1613005185255449</v>
      </c>
      <c r="I22" s="511"/>
      <c r="J22" s="511"/>
      <c r="K22" s="511"/>
      <c r="L22" s="511"/>
      <c r="M22" s="511"/>
      <c r="N22" s="511"/>
    </row>
    <row r="23" spans="2:14">
      <c r="B23" s="509">
        <f>B16</f>
        <v>2016</v>
      </c>
      <c r="C23" s="715">
        <f t="shared" si="0"/>
        <v>0.98514512429458689</v>
      </c>
      <c r="D23" s="715">
        <f t="shared" si="0"/>
        <v>3.4981949474806506</v>
      </c>
      <c r="E23" s="715">
        <f t="shared" si="0"/>
        <v>2.0155927463310519</v>
      </c>
      <c r="F23" s="715">
        <f t="shared" si="0"/>
        <v>1.0395173940026223</v>
      </c>
      <c r="G23" s="715">
        <f t="shared" si="0"/>
        <v>0.88342176374782644</v>
      </c>
      <c r="H23" s="715">
        <f t="shared" si="0"/>
        <v>1.1755199559190144</v>
      </c>
      <c r="I23" s="511"/>
      <c r="J23" s="511"/>
      <c r="K23" s="511"/>
      <c r="L23" s="511"/>
      <c r="M23" s="511"/>
      <c r="N23" s="511"/>
    </row>
    <row r="24" spans="2:14">
      <c r="B24" s="509">
        <f>B17</f>
        <v>2017</v>
      </c>
      <c r="C24" s="715">
        <f t="shared" si="0"/>
        <v>0.99110887957134697</v>
      </c>
      <c r="D24" s="715">
        <f t="shared" si="0"/>
        <v>3.5310372691128862</v>
      </c>
      <c r="E24" s="715">
        <f t="shared" si="0"/>
        <v>2.1231226525359657</v>
      </c>
      <c r="F24" s="715">
        <f t="shared" si="0"/>
        <v>0.99349542526500534</v>
      </c>
      <c r="G24" s="715">
        <f t="shared" si="0"/>
        <v>0.84230125401932621</v>
      </c>
      <c r="H24" s="715">
        <f t="shared" si="0"/>
        <v>1.1848015631397391</v>
      </c>
      <c r="I24" s="511"/>
      <c r="J24" s="511"/>
      <c r="K24" s="511"/>
      <c r="L24" s="511"/>
      <c r="M24" s="511"/>
      <c r="N24" s="511"/>
    </row>
    <row r="25" spans="2:14">
      <c r="B25" s="509">
        <f>B18</f>
        <v>2018</v>
      </c>
      <c r="C25" s="715">
        <f t="shared" si="0"/>
        <v>0.99382069571783482</v>
      </c>
      <c r="D25" s="715">
        <f t="shared" si="0"/>
        <v>3.5642128682785983</v>
      </c>
      <c r="E25" s="715">
        <f t="shared" si="0"/>
        <v>2.5141713254000648</v>
      </c>
      <c r="F25" s="715">
        <f t="shared" si="0"/>
        <v>1.0221208881904711</v>
      </c>
      <c r="G25" s="715">
        <f t="shared" si="0"/>
        <v>0.85469663623380554</v>
      </c>
      <c r="H25" s="715">
        <f t="shared" si="0"/>
        <v>1.1952285357274397</v>
      </c>
      <c r="I25" s="511"/>
      <c r="J25" s="511"/>
      <c r="K25" s="511"/>
      <c r="L25" s="511"/>
      <c r="M25" s="511"/>
      <c r="N25" s="511"/>
    </row>
    <row r="26" spans="2:14">
      <c r="B26" s="515">
        <f>B19</f>
        <v>2019</v>
      </c>
      <c r="C26" s="716">
        <f>C19/C12*100</f>
        <v>0.99403697136087077</v>
      </c>
      <c r="D26" s="716">
        <f>D19/D12*100</f>
        <v>3.6474038831574318</v>
      </c>
      <c r="E26" s="716">
        <f t="shared" si="0"/>
        <v>1.9689228304011728</v>
      </c>
      <c r="F26" s="716">
        <f t="shared" si="0"/>
        <v>1.042192995246642</v>
      </c>
      <c r="G26" s="716">
        <f t="shared" si="0"/>
        <v>0.83180900470241403</v>
      </c>
      <c r="H26" s="716">
        <f t="shared" si="0"/>
        <v>1.1930296486102081</v>
      </c>
    </row>
    <row r="27" spans="2:14" s="514" customFormat="1">
      <c r="C27" s="517"/>
      <c r="D27" s="517"/>
      <c r="E27" s="517"/>
      <c r="F27" s="517"/>
      <c r="G27" s="517"/>
      <c r="H27" s="517"/>
    </row>
    <row r="28" spans="2:14">
      <c r="B28" s="507" t="s">
        <v>18</v>
      </c>
      <c r="C28" s="518"/>
      <c r="D28" s="518"/>
      <c r="E28" s="518"/>
      <c r="F28" s="518"/>
      <c r="G28" s="518"/>
      <c r="H28" s="518"/>
    </row>
    <row r="29" spans="2:14">
      <c r="B29" s="1957" t="s">
        <v>889</v>
      </c>
      <c r="C29" s="1957"/>
      <c r="D29" s="1957"/>
      <c r="E29" s="1957"/>
      <c r="F29" s="1957"/>
      <c r="G29" s="1957"/>
      <c r="H29" s="1957"/>
    </row>
    <row r="30" spans="2:14">
      <c r="B30" s="519" t="s">
        <v>890</v>
      </c>
      <c r="C30" s="521">
        <f>C12/C11-1</f>
        <v>3.6699991574060897E-2</v>
      </c>
      <c r="D30" s="521">
        <f t="shared" ref="D30:H30" si="1">D12/D11-1</f>
        <v>1.5683140413221386E-2</v>
      </c>
      <c r="E30" s="521">
        <f t="shared" si="1"/>
        <v>3.2097344202553169E-2</v>
      </c>
      <c r="F30" s="521">
        <f t="shared" si="1"/>
        <v>-1.1872896838376112E-2</v>
      </c>
      <c r="G30" s="521">
        <f t="shared" si="1"/>
        <v>-1.636599143987727E-2</v>
      </c>
      <c r="H30" s="521">
        <f t="shared" si="1"/>
        <v>3.2969309271468461E-2</v>
      </c>
    </row>
    <row r="31" spans="2:14" s="519" customFormat="1">
      <c r="C31" s="560"/>
      <c r="D31" s="560"/>
      <c r="E31" s="560"/>
      <c r="F31" s="560"/>
      <c r="G31" s="560"/>
      <c r="H31" s="560"/>
    </row>
    <row r="32" spans="2:14" s="519" customFormat="1">
      <c r="C32" s="560"/>
      <c r="D32" s="560"/>
      <c r="E32" s="560"/>
      <c r="F32" s="560"/>
      <c r="G32" s="560"/>
      <c r="H32" s="560"/>
    </row>
    <row r="33" spans="3:8" s="519" customFormat="1">
      <c r="C33" s="561"/>
      <c r="D33" s="561"/>
      <c r="E33" s="561"/>
      <c r="F33" s="561"/>
      <c r="G33" s="561"/>
      <c r="H33" s="561"/>
    </row>
    <row r="34" spans="3:8" s="519" customFormat="1">
      <c r="C34" s="560"/>
      <c r="D34" s="560"/>
      <c r="E34" s="560"/>
      <c r="F34" s="560"/>
      <c r="G34" s="560"/>
      <c r="H34" s="560"/>
    </row>
    <row r="35" spans="3:8" s="519" customFormat="1">
      <c r="C35" s="562"/>
      <c r="D35" s="562"/>
      <c r="E35" s="562"/>
      <c r="F35" s="562"/>
      <c r="G35" s="562"/>
      <c r="H35" s="562"/>
    </row>
    <row r="36" spans="3:8" s="519" customFormat="1">
      <c r="C36" s="562"/>
      <c r="D36" s="562"/>
      <c r="E36" s="562"/>
      <c r="F36" s="562"/>
      <c r="G36" s="562"/>
      <c r="H36" s="562"/>
    </row>
    <row r="37" spans="3:8" s="519" customFormat="1">
      <c r="C37" s="563"/>
      <c r="D37" s="563"/>
      <c r="E37" s="563"/>
      <c r="F37" s="563"/>
      <c r="G37" s="563"/>
      <c r="H37" s="563"/>
    </row>
    <row r="38" spans="3:8" s="519" customFormat="1">
      <c r="C38" s="564"/>
      <c r="D38" s="564"/>
      <c r="E38" s="564"/>
      <c r="F38" s="564"/>
      <c r="G38" s="564"/>
      <c r="H38" s="564"/>
    </row>
    <row r="39" spans="3:8" s="519" customFormat="1">
      <c r="C39" s="564"/>
      <c r="D39" s="564"/>
      <c r="E39" s="564"/>
      <c r="F39" s="564"/>
      <c r="G39" s="564"/>
      <c r="H39" s="564"/>
    </row>
    <row r="40" spans="3:8" s="519" customFormat="1">
      <c r="C40" s="565"/>
      <c r="D40" s="565"/>
      <c r="E40" s="565"/>
      <c r="F40" s="565"/>
      <c r="G40" s="565"/>
      <c r="H40" s="565"/>
    </row>
  </sheetData>
  <mergeCells count="2">
    <mergeCell ref="B2:H2"/>
    <mergeCell ref="B29:H29"/>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78"/>
  <sheetViews>
    <sheetView zoomScaleNormal="100" workbookViewId="0">
      <pane ySplit="2820" topLeftCell="A127"/>
      <selection pane="bottomLeft" activeCell="A162" sqref="A162:A168"/>
    </sheetView>
  </sheetViews>
  <sheetFormatPr defaultColWidth="13.7265625" defaultRowHeight="11.5"/>
  <cols>
    <col min="1" max="1" width="14.453125" style="723" customWidth="1"/>
    <col min="2" max="2" width="17" style="1541" bestFit="1" customWidth="1"/>
    <col min="3" max="3" width="16.7265625" style="1541" customWidth="1"/>
    <col min="4" max="4" width="17" style="1541" bestFit="1" customWidth="1"/>
    <col min="5" max="5" width="17.81640625" style="1541" bestFit="1" customWidth="1"/>
    <col min="6" max="6" width="17.7265625" style="1541" customWidth="1"/>
    <col min="7" max="7" width="15.54296875" style="1541" bestFit="1" customWidth="1"/>
    <col min="8" max="8" width="11.7265625" style="1542" customWidth="1"/>
    <col min="9" max="9" width="7" style="777" bestFit="1" customWidth="1"/>
    <col min="10" max="69" width="13.7265625" style="725" customWidth="1"/>
    <col min="70" max="16384" width="13.7265625" style="723"/>
  </cols>
  <sheetData>
    <row r="1" spans="1:68" ht="15.5">
      <c r="A1" s="908" t="s">
        <v>824</v>
      </c>
      <c r="I1" s="939" t="s">
        <v>1018</v>
      </c>
    </row>
    <row r="2" spans="1:68" ht="13">
      <c r="A2" s="938" t="s">
        <v>1264</v>
      </c>
      <c r="B2" s="1574"/>
      <c r="C2" s="1574"/>
      <c r="D2" s="1574"/>
      <c r="E2" s="1574"/>
      <c r="F2" s="1574"/>
      <c r="G2" s="1574"/>
      <c r="H2" s="1574"/>
    </row>
    <row r="3" spans="1:68" ht="4" customHeight="1">
      <c r="A3" s="749"/>
      <c r="B3" s="1559"/>
      <c r="C3" s="1559"/>
      <c r="D3" s="1559"/>
      <c r="E3" s="1559"/>
      <c r="F3" s="1559"/>
      <c r="G3" s="1559"/>
      <c r="H3" s="1559"/>
    </row>
    <row r="4" spans="1:68" s="725" customFormat="1" ht="4" customHeight="1" thickBot="1">
      <c r="A4" s="749"/>
      <c r="B4" s="1559"/>
      <c r="C4" s="1559"/>
      <c r="D4" s="1559"/>
      <c r="E4" s="1559"/>
      <c r="F4" s="1559"/>
      <c r="G4" s="1559"/>
      <c r="H4" s="1559"/>
      <c r="I4" s="782"/>
    </row>
    <row r="5" spans="1:68" s="728" customFormat="1" ht="23">
      <c r="A5" s="1400" t="s">
        <v>21</v>
      </c>
      <c r="B5" s="1660" t="s">
        <v>825</v>
      </c>
      <c r="C5" s="1659" t="s">
        <v>826</v>
      </c>
      <c r="D5" s="1659" t="s">
        <v>827</v>
      </c>
      <c r="E5" s="1660" t="s">
        <v>828</v>
      </c>
      <c r="F5" s="1659" t="s">
        <v>829</v>
      </c>
      <c r="G5" s="1660" t="s">
        <v>830</v>
      </c>
      <c r="H5" s="1588" t="s">
        <v>831</v>
      </c>
      <c r="I5" s="834"/>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29"/>
      <c r="AZ5" s="729"/>
      <c r="BA5" s="729"/>
      <c r="BB5" s="729"/>
      <c r="BC5" s="729"/>
      <c r="BD5" s="729"/>
      <c r="BE5" s="729"/>
      <c r="BF5" s="729"/>
      <c r="BG5" s="729"/>
      <c r="BH5" s="729"/>
      <c r="BI5" s="729"/>
      <c r="BJ5" s="729"/>
      <c r="BK5" s="729"/>
      <c r="BL5" s="729"/>
      <c r="BM5" s="729"/>
      <c r="BN5" s="729"/>
      <c r="BO5" s="729"/>
      <c r="BP5" s="729"/>
    </row>
    <row r="6" spans="1:68" ht="21" customHeight="1">
      <c r="A6" s="723" t="s">
        <v>54</v>
      </c>
      <c r="B6" s="1544">
        <v>1665799500</v>
      </c>
      <c r="C6" s="1544">
        <v>1565081800</v>
      </c>
      <c r="D6" s="1544">
        <v>2217577100</v>
      </c>
      <c r="E6" s="1528">
        <f>IF(SUM(B6,D6)=0,"",SUM(B6,D6))</f>
        <v>3883376600</v>
      </c>
      <c r="F6" s="1528">
        <f>IF(SUM(C6:D6)=0,"",SUM(C6:D6))</f>
        <v>3782658900</v>
      </c>
      <c r="G6" s="1544">
        <v>21883111.02</v>
      </c>
      <c r="H6" s="1542">
        <v>2021</v>
      </c>
      <c r="I6" s="835"/>
    </row>
    <row r="7" spans="1:68" ht="12" customHeight="1">
      <c r="A7" s="723" t="s">
        <v>56</v>
      </c>
      <c r="B7" s="1545">
        <v>8421577100</v>
      </c>
      <c r="C7" s="1545">
        <v>6844740600</v>
      </c>
      <c r="D7" s="1545">
        <v>13789355729</v>
      </c>
      <c r="E7" s="1529">
        <f t="shared" ref="E7:E35" si="0">IF(SUM(B7,D7)=0,"",SUM(B7,D7))</f>
        <v>22210932829</v>
      </c>
      <c r="F7" s="1529">
        <f t="shared" ref="F7:F35" si="1">IF(SUM(C7:D7)=0,"",SUM(C7:D7))</f>
        <v>20634096329</v>
      </c>
      <c r="G7" s="1545">
        <v>176215182.64965999</v>
      </c>
      <c r="H7" s="1542">
        <v>2021</v>
      </c>
      <c r="I7" s="835"/>
    </row>
    <row r="8" spans="1:68" ht="12" customHeight="1">
      <c r="A8" s="723" t="s">
        <v>58</v>
      </c>
      <c r="B8" s="1545">
        <v>331217700</v>
      </c>
      <c r="C8" s="1545">
        <v>251002300</v>
      </c>
      <c r="D8" s="1545">
        <v>800033600</v>
      </c>
      <c r="E8" s="1529">
        <f t="shared" si="0"/>
        <v>1131251300</v>
      </c>
      <c r="F8" s="1529">
        <f t="shared" si="1"/>
        <v>1051035900</v>
      </c>
      <c r="G8" s="1545">
        <v>7672562.0699999994</v>
      </c>
      <c r="H8" s="1542">
        <v>2021</v>
      </c>
      <c r="I8" s="835"/>
    </row>
    <row r="9" spans="1:68" ht="12" customHeight="1">
      <c r="A9" s="723" t="s">
        <v>60</v>
      </c>
      <c r="B9" s="1545">
        <v>520908555</v>
      </c>
      <c r="C9" s="1545">
        <v>460346755</v>
      </c>
      <c r="D9" s="1545">
        <v>805840800</v>
      </c>
      <c r="E9" s="1529">
        <f t="shared" si="0"/>
        <v>1326749355</v>
      </c>
      <c r="F9" s="1529">
        <f t="shared" si="1"/>
        <v>1266187555</v>
      </c>
      <c r="G9" s="1545">
        <v>6457556.5305000003</v>
      </c>
      <c r="H9" s="1542">
        <v>2021</v>
      </c>
      <c r="I9" s="835"/>
    </row>
    <row r="10" spans="1:68" ht="12" customHeight="1">
      <c r="A10" s="723" t="s">
        <v>62</v>
      </c>
      <c r="B10" s="1545">
        <v>1037596200</v>
      </c>
      <c r="C10" s="1545">
        <v>728707400</v>
      </c>
      <c r="D10" s="1545">
        <v>1727893200</v>
      </c>
      <c r="E10" s="1529">
        <f t="shared" si="0"/>
        <v>2765489400</v>
      </c>
      <c r="F10" s="1529">
        <f t="shared" si="1"/>
        <v>2456600600</v>
      </c>
      <c r="G10" s="1545">
        <v>14985263.66</v>
      </c>
      <c r="H10" s="1542">
        <v>2021</v>
      </c>
      <c r="I10" s="835"/>
    </row>
    <row r="11" spans="1:68" ht="21" customHeight="1">
      <c r="A11" s="723" t="s">
        <v>64</v>
      </c>
      <c r="B11" s="1545">
        <v>613711700</v>
      </c>
      <c r="C11" s="1545">
        <v>565442916</v>
      </c>
      <c r="D11" s="1545">
        <v>851958719</v>
      </c>
      <c r="E11" s="1529">
        <f t="shared" si="0"/>
        <v>1465670419</v>
      </c>
      <c r="F11" s="1529">
        <f t="shared" si="1"/>
        <v>1417401635</v>
      </c>
      <c r="G11" s="1545">
        <v>8929630.3004999999</v>
      </c>
      <c r="H11" s="1542">
        <v>2021</v>
      </c>
      <c r="I11" s="835"/>
    </row>
    <row r="12" spans="1:68" ht="12" customHeight="1">
      <c r="A12" s="723" t="s">
        <v>66</v>
      </c>
      <c r="B12" s="1545">
        <v>35816130300</v>
      </c>
      <c r="C12" s="1545">
        <v>35816130300</v>
      </c>
      <c r="D12" s="1545">
        <v>50159229800</v>
      </c>
      <c r="E12" s="1529">
        <f t="shared" si="0"/>
        <v>85975360100</v>
      </c>
      <c r="F12" s="1529">
        <f t="shared" si="1"/>
        <v>85975360100</v>
      </c>
      <c r="G12" s="1545">
        <v>885546209.02999997</v>
      </c>
      <c r="H12" s="1542">
        <v>2021</v>
      </c>
      <c r="I12" s="835"/>
    </row>
    <row r="13" spans="1:68" ht="12" customHeight="1">
      <c r="A13" s="723" t="s">
        <v>68</v>
      </c>
      <c r="B13" s="1545">
        <v>3703947800</v>
      </c>
      <c r="C13" s="1545">
        <v>2461398790</v>
      </c>
      <c r="D13" s="1545">
        <v>5239739200</v>
      </c>
      <c r="E13" s="1529">
        <f t="shared" si="0"/>
        <v>8943687000</v>
      </c>
      <c r="F13" s="1529">
        <f t="shared" si="1"/>
        <v>7701137990</v>
      </c>
      <c r="G13" s="1545">
        <v>48517169.337000005</v>
      </c>
      <c r="H13" s="1542">
        <v>2021</v>
      </c>
      <c r="I13" s="835"/>
    </row>
    <row r="14" spans="1:68" ht="12" customHeight="1">
      <c r="A14" s="723" t="s">
        <v>1321</v>
      </c>
      <c r="B14" s="1545">
        <v>355543000</v>
      </c>
      <c r="C14" s="1545">
        <v>355543000</v>
      </c>
      <c r="D14" s="1545">
        <v>502623100</v>
      </c>
      <c r="E14" s="1529">
        <f t="shared" si="0"/>
        <v>858166100</v>
      </c>
      <c r="F14" s="1529">
        <f t="shared" si="1"/>
        <v>858166100</v>
      </c>
      <c r="G14" s="1545">
        <v>4719913.5500000007</v>
      </c>
      <c r="H14" s="1542">
        <v>2021</v>
      </c>
      <c r="I14" s="835"/>
    </row>
    <row r="15" spans="1:68" ht="12" customHeight="1">
      <c r="A15" s="723" t="s">
        <v>832</v>
      </c>
      <c r="B15" s="1545">
        <v>4192739600</v>
      </c>
      <c r="C15" s="1545">
        <v>3000616300</v>
      </c>
      <c r="D15" s="1545">
        <v>6260820641</v>
      </c>
      <c r="E15" s="1529">
        <f t="shared" si="0"/>
        <v>10453560241</v>
      </c>
      <c r="F15" s="1529">
        <f t="shared" si="1"/>
        <v>9261436941</v>
      </c>
      <c r="G15" s="1545">
        <v>46307184.704999998</v>
      </c>
      <c r="H15" s="1542">
        <v>2021</v>
      </c>
      <c r="I15" s="835"/>
    </row>
    <row r="16" spans="1:68" ht="21" customHeight="1">
      <c r="A16" s="723" t="s">
        <v>73</v>
      </c>
      <c r="B16" s="1545">
        <v>349913100</v>
      </c>
      <c r="C16" s="1545">
        <v>200514200</v>
      </c>
      <c r="D16" s="1545">
        <v>270059000</v>
      </c>
      <c r="E16" s="1529">
        <f t="shared" si="0"/>
        <v>619972100</v>
      </c>
      <c r="F16" s="1529">
        <f t="shared" si="1"/>
        <v>470573200</v>
      </c>
      <c r="G16" s="1545">
        <v>2823439.1999999997</v>
      </c>
      <c r="H16" s="1542">
        <v>2021</v>
      </c>
      <c r="I16" s="835"/>
    </row>
    <row r="17" spans="1:9" ht="12" customHeight="1">
      <c r="A17" s="723" t="s">
        <v>75</v>
      </c>
      <c r="B17" s="1545">
        <v>1332563780</v>
      </c>
      <c r="C17" s="1545">
        <v>1030623370</v>
      </c>
      <c r="D17" s="1545">
        <v>2916367100</v>
      </c>
      <c r="E17" s="1529">
        <f t="shared" si="0"/>
        <v>4248930880</v>
      </c>
      <c r="F17" s="1529">
        <f t="shared" si="1"/>
        <v>3946990470</v>
      </c>
      <c r="G17" s="1545">
        <v>31181224.713000003</v>
      </c>
      <c r="H17" s="1542">
        <v>2021</v>
      </c>
      <c r="I17" s="835"/>
    </row>
    <row r="18" spans="1:9" ht="12" customHeight="1">
      <c r="A18" s="723" t="s">
        <v>77</v>
      </c>
      <c r="B18" s="1545">
        <v>697586300</v>
      </c>
      <c r="C18" s="1545">
        <v>697586300</v>
      </c>
      <c r="D18" s="1545">
        <v>623035172</v>
      </c>
      <c r="E18" s="1529">
        <f t="shared" si="0"/>
        <v>1320621472</v>
      </c>
      <c r="F18" s="1529">
        <f t="shared" si="1"/>
        <v>1320621472</v>
      </c>
      <c r="G18" s="1545">
        <v>8584039.568</v>
      </c>
      <c r="H18" s="1542">
        <v>2021</v>
      </c>
      <c r="I18" s="835"/>
    </row>
    <row r="19" spans="1:9" ht="12" customHeight="1">
      <c r="A19" s="723" t="s">
        <v>79</v>
      </c>
      <c r="B19" s="1545">
        <v>576604661</v>
      </c>
      <c r="C19" s="1545">
        <v>576604661</v>
      </c>
      <c r="D19" s="1545">
        <v>1540127902</v>
      </c>
      <c r="E19" s="1529">
        <f t="shared" si="0"/>
        <v>2116732563</v>
      </c>
      <c r="F19" s="1529">
        <f t="shared" si="1"/>
        <v>2116732563</v>
      </c>
      <c r="G19" s="1545">
        <v>8255257.8300000001</v>
      </c>
      <c r="H19" s="1542">
        <v>2021</v>
      </c>
      <c r="I19" s="835"/>
    </row>
    <row r="20" spans="1:9" ht="12" customHeight="1">
      <c r="A20" s="723" t="s">
        <v>81</v>
      </c>
      <c r="B20" s="1545">
        <v>784837100</v>
      </c>
      <c r="C20" s="1545">
        <v>784837100</v>
      </c>
      <c r="D20" s="1545">
        <v>824320999</v>
      </c>
      <c r="E20" s="1529">
        <f t="shared" si="0"/>
        <v>1609158099</v>
      </c>
      <c r="F20" s="1529">
        <f t="shared" si="1"/>
        <v>1609158099</v>
      </c>
      <c r="G20" s="1545">
        <v>8367622.1200000001</v>
      </c>
      <c r="H20" s="1542">
        <v>2021</v>
      </c>
      <c r="I20" s="835"/>
    </row>
    <row r="21" spans="1:9" ht="21" customHeight="1">
      <c r="A21" s="723" t="s">
        <v>83</v>
      </c>
      <c r="B21" s="1545">
        <v>1383803557</v>
      </c>
      <c r="C21" s="1545">
        <v>1109263056</v>
      </c>
      <c r="D21" s="1545">
        <v>3129833800</v>
      </c>
      <c r="E21" s="1529">
        <f t="shared" si="0"/>
        <v>4513637357</v>
      </c>
      <c r="F21" s="1529">
        <f t="shared" si="1"/>
        <v>4239096856</v>
      </c>
      <c r="G21" s="1545">
        <v>22043303.6512</v>
      </c>
      <c r="H21" s="1542">
        <v>2021</v>
      </c>
      <c r="I21" s="835"/>
    </row>
    <row r="22" spans="1:9" ht="12" customHeight="1">
      <c r="A22" s="723" t="s">
        <v>85</v>
      </c>
      <c r="B22" s="1545">
        <v>1476217124</v>
      </c>
      <c r="C22" s="1545">
        <v>1258532935</v>
      </c>
      <c r="D22" s="1545">
        <v>2017587500</v>
      </c>
      <c r="E22" s="1529">
        <f t="shared" si="0"/>
        <v>3493804624</v>
      </c>
      <c r="F22" s="1529">
        <f t="shared" si="1"/>
        <v>3276120435</v>
      </c>
      <c r="G22" s="1545">
        <v>25226127.3495</v>
      </c>
      <c r="H22" s="1542">
        <v>2021</v>
      </c>
      <c r="I22" s="835"/>
    </row>
    <row r="23" spans="1:9" ht="12" customHeight="1">
      <c r="A23" s="723" t="s">
        <v>87</v>
      </c>
      <c r="B23" s="1545">
        <v>1066829500</v>
      </c>
      <c r="C23" s="1545">
        <v>867161149</v>
      </c>
      <c r="D23" s="1545">
        <v>1519798500</v>
      </c>
      <c r="E23" s="1529">
        <f t="shared" si="0"/>
        <v>2586628000</v>
      </c>
      <c r="F23" s="1529">
        <f t="shared" si="1"/>
        <v>2386959649</v>
      </c>
      <c r="G23" s="1545">
        <v>15276541.753599999</v>
      </c>
      <c r="H23" s="1542">
        <v>2021</v>
      </c>
      <c r="I23" s="835"/>
    </row>
    <row r="24" spans="1:9" ht="12" customHeight="1">
      <c r="A24" s="723" t="s">
        <v>1322</v>
      </c>
      <c r="B24" s="1545">
        <v>422830945</v>
      </c>
      <c r="C24" s="1545">
        <v>422830945</v>
      </c>
      <c r="D24" s="1545">
        <v>440268350</v>
      </c>
      <c r="E24" s="1529">
        <f t="shared" si="0"/>
        <v>863099295</v>
      </c>
      <c r="F24" s="1529">
        <f t="shared" si="1"/>
        <v>863099295</v>
      </c>
      <c r="G24" s="1545">
        <v>6559554.6419999991</v>
      </c>
      <c r="H24" s="1542">
        <v>2021</v>
      </c>
      <c r="I24" s="835"/>
    </row>
    <row r="25" spans="1:9" ht="12" customHeight="1">
      <c r="A25" s="723" t="s">
        <v>91</v>
      </c>
      <c r="B25" s="1545">
        <v>524288392</v>
      </c>
      <c r="C25" s="1545">
        <v>524288392</v>
      </c>
      <c r="D25" s="1545">
        <v>490420419</v>
      </c>
      <c r="E25" s="1529">
        <f t="shared" si="0"/>
        <v>1014708811</v>
      </c>
      <c r="F25" s="1529">
        <f t="shared" si="1"/>
        <v>1014708811</v>
      </c>
      <c r="G25" s="1545">
        <v>6291194.6281999992</v>
      </c>
      <c r="H25" s="1542">
        <v>2021</v>
      </c>
      <c r="I25" s="835"/>
    </row>
    <row r="26" spans="1:9" ht="21" customHeight="1">
      <c r="A26" s="723" t="s">
        <v>93</v>
      </c>
      <c r="B26" s="1545">
        <v>10784981700</v>
      </c>
      <c r="C26" s="1545">
        <v>10611777727</v>
      </c>
      <c r="D26" s="1545">
        <v>33376446500</v>
      </c>
      <c r="E26" s="1529">
        <f t="shared" si="0"/>
        <v>44161428200</v>
      </c>
      <c r="F26" s="1529">
        <f t="shared" si="1"/>
        <v>43988224227</v>
      </c>
      <c r="G26" s="1545">
        <v>404691662.88840002</v>
      </c>
      <c r="H26" s="1542">
        <v>2021</v>
      </c>
      <c r="I26" s="835"/>
    </row>
    <row r="27" spans="1:9" ht="12" customHeight="1">
      <c r="A27" s="723" t="s">
        <v>95</v>
      </c>
      <c r="B27" s="1545">
        <v>1237042100</v>
      </c>
      <c r="C27" s="1545">
        <v>919310700</v>
      </c>
      <c r="D27" s="1545">
        <v>1583038700</v>
      </c>
      <c r="E27" s="1529">
        <f t="shared" si="0"/>
        <v>2820080800</v>
      </c>
      <c r="F27" s="1529">
        <f t="shared" si="1"/>
        <v>2502349400</v>
      </c>
      <c r="G27" s="1545">
        <v>15264331.34</v>
      </c>
      <c r="H27" s="1542">
        <v>2021</v>
      </c>
      <c r="I27" s="835"/>
    </row>
    <row r="28" spans="1:9" ht="12" customHeight="1">
      <c r="A28" s="723" t="s">
        <v>97</v>
      </c>
      <c r="B28" s="1545">
        <v>230256100</v>
      </c>
      <c r="C28" s="1545">
        <v>230256100</v>
      </c>
      <c r="D28" s="1545">
        <v>293659200</v>
      </c>
      <c r="E28" s="1529">
        <f t="shared" si="0"/>
        <v>523915300</v>
      </c>
      <c r="F28" s="1529">
        <f t="shared" si="1"/>
        <v>523915300</v>
      </c>
      <c r="G28" s="1545">
        <v>3300666.39</v>
      </c>
      <c r="H28" s="1542">
        <v>2021</v>
      </c>
      <c r="I28" s="835"/>
    </row>
    <row r="29" spans="1:9" ht="12" customHeight="1">
      <c r="A29" s="723" t="s">
        <v>99</v>
      </c>
      <c r="B29" s="1545">
        <v>2622669528</v>
      </c>
      <c r="C29" s="1545">
        <v>2108596828</v>
      </c>
      <c r="D29" s="1545">
        <v>4346404300</v>
      </c>
      <c r="E29" s="1529">
        <f t="shared" si="0"/>
        <v>6969073828</v>
      </c>
      <c r="F29" s="1529">
        <f t="shared" si="1"/>
        <v>6455001128</v>
      </c>
      <c r="G29" s="1545">
        <v>35502506.204000004</v>
      </c>
      <c r="H29" s="1542">
        <v>2021</v>
      </c>
      <c r="I29" s="835"/>
    </row>
    <row r="30" spans="1:9" ht="12" customHeight="1">
      <c r="A30" s="723" t="s">
        <v>101</v>
      </c>
      <c r="B30" s="1545">
        <v>444615240</v>
      </c>
      <c r="C30" s="1545">
        <v>348869242</v>
      </c>
      <c r="D30" s="1545">
        <v>522559650</v>
      </c>
      <c r="E30" s="1529">
        <f t="shared" si="0"/>
        <v>967174890</v>
      </c>
      <c r="F30" s="1529">
        <f t="shared" si="1"/>
        <v>871428892</v>
      </c>
      <c r="G30" s="1545">
        <v>6535716.6899999995</v>
      </c>
      <c r="H30" s="1542">
        <v>2021</v>
      </c>
      <c r="I30" s="835"/>
    </row>
    <row r="31" spans="1:9" ht="21" customHeight="1">
      <c r="A31" s="723" t="s">
        <v>103</v>
      </c>
      <c r="B31" s="1545">
        <v>400770353</v>
      </c>
      <c r="C31" s="1545">
        <v>400770353</v>
      </c>
      <c r="D31" s="1545">
        <v>851911400</v>
      </c>
      <c r="E31" s="1529">
        <f t="shared" si="0"/>
        <v>1252681753</v>
      </c>
      <c r="F31" s="1529">
        <f t="shared" si="1"/>
        <v>1252681753</v>
      </c>
      <c r="G31" s="1545">
        <v>7516090.5179999992</v>
      </c>
      <c r="H31" s="1542">
        <v>2021</v>
      </c>
      <c r="I31" s="835"/>
    </row>
    <row r="32" spans="1:9" ht="12" customHeight="1">
      <c r="A32" s="723" t="s">
        <v>105</v>
      </c>
      <c r="B32" s="1545">
        <v>1036755365</v>
      </c>
      <c r="C32" s="1545">
        <v>725586971</v>
      </c>
      <c r="D32" s="1545">
        <v>1770076700</v>
      </c>
      <c r="E32" s="1529">
        <f t="shared" si="0"/>
        <v>2806832065</v>
      </c>
      <c r="F32" s="1529">
        <f t="shared" si="1"/>
        <v>2495663671</v>
      </c>
      <c r="G32" s="1545">
        <v>19715743.0009</v>
      </c>
      <c r="H32" s="1542">
        <v>2021</v>
      </c>
      <c r="I32" s="835"/>
    </row>
    <row r="33" spans="1:9" ht="12" customHeight="1">
      <c r="A33" s="723" t="s">
        <v>107</v>
      </c>
      <c r="B33" s="1545">
        <v>711757900</v>
      </c>
      <c r="C33" s="1545">
        <v>590652200</v>
      </c>
      <c r="D33" s="1545">
        <v>906276392</v>
      </c>
      <c r="E33" s="1529">
        <f t="shared" si="0"/>
        <v>1618034292</v>
      </c>
      <c r="F33" s="1529">
        <f t="shared" si="1"/>
        <v>1496928592</v>
      </c>
      <c r="G33" s="1545">
        <v>11077271.580800001</v>
      </c>
      <c r="H33" s="1542">
        <v>2021</v>
      </c>
      <c r="I33" s="835"/>
    </row>
    <row r="34" spans="1:9" ht="12" customHeight="1">
      <c r="A34" s="723" t="s">
        <v>1323</v>
      </c>
      <c r="B34" s="1545">
        <v>94705452960</v>
      </c>
      <c r="C34" s="1545">
        <v>94530700170</v>
      </c>
      <c r="D34" s="1545">
        <v>177713038650</v>
      </c>
      <c r="E34" s="1529">
        <f t="shared" si="0"/>
        <v>272418491610</v>
      </c>
      <c r="F34" s="1529">
        <f t="shared" si="1"/>
        <v>272243738820</v>
      </c>
      <c r="G34" s="1545">
        <v>3103578622.5479994</v>
      </c>
      <c r="H34" s="1542">
        <v>2021</v>
      </c>
      <c r="I34" s="835"/>
    </row>
    <row r="35" spans="1:9" ht="12" customHeight="1">
      <c r="A35" s="723" t="s">
        <v>111</v>
      </c>
      <c r="B35" s="1545">
        <v>6101481100</v>
      </c>
      <c r="C35" s="1545">
        <v>4743158800</v>
      </c>
      <c r="D35" s="1545">
        <v>7535992900</v>
      </c>
      <c r="E35" s="1529">
        <f t="shared" si="0"/>
        <v>13637474000</v>
      </c>
      <c r="F35" s="1529">
        <f t="shared" si="1"/>
        <v>12279151700</v>
      </c>
      <c r="G35" s="1545">
        <v>122054767.898</v>
      </c>
      <c r="H35" s="1542">
        <v>2021</v>
      </c>
      <c r="I35" s="835"/>
    </row>
    <row r="36" spans="1:9" ht="15.5">
      <c r="A36" s="908" t="s">
        <v>833</v>
      </c>
    </row>
    <row r="37" spans="1:9" ht="13">
      <c r="A37" s="938" t="str">
        <f>A2</f>
        <v>Real Estate Fair Market Value (FMV), Fair Market Value (Taxable), and Local Levy by Locality - Tax Year 2021</v>
      </c>
      <c r="B37" s="1574"/>
      <c r="C37" s="1574"/>
      <c r="D37" s="1574"/>
      <c r="E37" s="1574"/>
      <c r="F37" s="1574"/>
      <c r="G37" s="1574"/>
      <c r="H37" s="1574"/>
    </row>
    <row r="38" spans="1:9" s="725" customFormat="1" ht="4" customHeight="1">
      <c r="A38" s="749"/>
      <c r="B38" s="1559"/>
      <c r="C38" s="1559"/>
      <c r="D38" s="1559"/>
      <c r="E38" s="1559"/>
      <c r="F38" s="1559"/>
      <c r="G38" s="1559"/>
      <c r="H38" s="1559"/>
      <c r="I38" s="782"/>
    </row>
    <row r="39" spans="1:9" ht="4" customHeight="1" thickBot="1">
      <c r="A39" s="726"/>
      <c r="B39" s="1543"/>
      <c r="C39" s="1543"/>
      <c r="D39" s="1543"/>
      <c r="E39" s="1543"/>
      <c r="F39" s="1543"/>
      <c r="G39" s="1543"/>
      <c r="H39" s="1543"/>
    </row>
    <row r="40" spans="1:9" ht="23">
      <c r="A40" s="1400" t="s">
        <v>21</v>
      </c>
      <c r="B40" s="1660" t="s">
        <v>825</v>
      </c>
      <c r="C40" s="1659" t="s">
        <v>826</v>
      </c>
      <c r="D40" s="1659" t="s">
        <v>827</v>
      </c>
      <c r="E40" s="1660" t="s">
        <v>828</v>
      </c>
      <c r="F40" s="1659" t="s">
        <v>829</v>
      </c>
      <c r="G40" s="1660" t="s">
        <v>830</v>
      </c>
      <c r="H40" s="1588" t="s">
        <v>831</v>
      </c>
    </row>
    <row r="41" spans="1:9" ht="21" customHeight="1">
      <c r="A41" s="723" t="s">
        <v>113</v>
      </c>
      <c r="B41" s="1544">
        <v>930840300</v>
      </c>
      <c r="C41" s="1544">
        <v>733373400</v>
      </c>
      <c r="D41" s="1544">
        <v>971780600</v>
      </c>
      <c r="E41" s="1528">
        <f t="shared" ref="E41:E70" si="2">IF(SUM(B41,D41)=0,"",SUM(B41,D41))</f>
        <v>1902620900</v>
      </c>
      <c r="F41" s="1528">
        <f t="shared" ref="F41:F70" si="3">IF(SUM(C41:D41)=0,"",SUM(C41:D41))</f>
        <v>1705154000</v>
      </c>
      <c r="G41" s="1544">
        <v>10742470.199999999</v>
      </c>
      <c r="H41" s="1542">
        <v>2021</v>
      </c>
      <c r="I41" s="835"/>
    </row>
    <row r="42" spans="1:9" ht="12" customHeight="1">
      <c r="A42" s="723" t="s">
        <v>115</v>
      </c>
      <c r="B42" s="1545">
        <v>1045201877</v>
      </c>
      <c r="C42" s="1545">
        <v>743121377</v>
      </c>
      <c r="D42" s="1545">
        <v>2171469937</v>
      </c>
      <c r="E42" s="1529">
        <f t="shared" si="2"/>
        <v>3216671814</v>
      </c>
      <c r="F42" s="1529">
        <f t="shared" si="3"/>
        <v>2914591314</v>
      </c>
      <c r="G42" s="1545">
        <v>25764987.21576</v>
      </c>
      <c r="H42" s="1542">
        <v>2021</v>
      </c>
      <c r="I42" s="835"/>
    </row>
    <row r="43" spans="1:9" ht="12" customHeight="1">
      <c r="A43" s="723" t="s">
        <v>24</v>
      </c>
      <c r="B43" s="1545">
        <v>3033971400</v>
      </c>
      <c r="C43" s="1545">
        <v>2600401220</v>
      </c>
      <c r="D43" s="1545">
        <v>4562967000</v>
      </c>
      <c r="E43" s="1529">
        <f t="shared" si="2"/>
        <v>7596938400</v>
      </c>
      <c r="F43" s="1529">
        <f t="shared" si="3"/>
        <v>7163368220</v>
      </c>
      <c r="G43" s="1545">
        <v>43696546.141999997</v>
      </c>
      <c r="H43" s="1542">
        <v>2021</v>
      </c>
      <c r="I43" s="835"/>
    </row>
    <row r="44" spans="1:9" ht="12" customHeight="1">
      <c r="A44" s="723" t="s">
        <v>118</v>
      </c>
      <c r="B44" s="1545">
        <v>3934344400</v>
      </c>
      <c r="C44" s="1545">
        <v>3433034400</v>
      </c>
      <c r="D44" s="1545">
        <v>8435181700</v>
      </c>
      <c r="E44" s="1529">
        <f t="shared" si="2"/>
        <v>12369526100</v>
      </c>
      <c r="F44" s="1529">
        <f t="shared" si="3"/>
        <v>11868216100</v>
      </c>
      <c r="G44" s="1545">
        <v>72396118.209999993</v>
      </c>
      <c r="H44" s="1542">
        <v>2021</v>
      </c>
      <c r="I44" s="835"/>
    </row>
    <row r="45" spans="1:9" ht="12" customHeight="1">
      <c r="A45" s="723" t="s">
        <v>120</v>
      </c>
      <c r="B45" s="1545">
        <v>453737300</v>
      </c>
      <c r="C45" s="1545">
        <v>335223900</v>
      </c>
      <c r="D45" s="1545">
        <v>824785400</v>
      </c>
      <c r="E45" s="1529">
        <f t="shared" si="2"/>
        <v>1278522700</v>
      </c>
      <c r="F45" s="1529">
        <f t="shared" si="3"/>
        <v>1160009300</v>
      </c>
      <c r="G45" s="1545">
        <v>7540060.4500000002</v>
      </c>
      <c r="H45" s="1542">
        <v>2021</v>
      </c>
      <c r="I45" s="835"/>
    </row>
    <row r="46" spans="1:9" ht="21" customHeight="1">
      <c r="A46" s="723" t="s">
        <v>55</v>
      </c>
      <c r="B46" s="1545">
        <v>1754106272</v>
      </c>
      <c r="C46" s="1545">
        <v>1663009942</v>
      </c>
      <c r="D46" s="1545">
        <v>3062887611</v>
      </c>
      <c r="E46" s="1529">
        <f t="shared" si="2"/>
        <v>4816993883</v>
      </c>
      <c r="F46" s="1529">
        <f t="shared" si="3"/>
        <v>4725897553</v>
      </c>
      <c r="G46" s="1545">
        <v>32957494.739999998</v>
      </c>
      <c r="H46" s="1542">
        <v>2021</v>
      </c>
      <c r="I46" s="835"/>
    </row>
    <row r="47" spans="1:9" ht="12" customHeight="1">
      <c r="A47" s="723" t="s">
        <v>57</v>
      </c>
      <c r="B47" s="1545">
        <v>2970938700</v>
      </c>
      <c r="C47" s="1545">
        <v>2308938400</v>
      </c>
      <c r="D47" s="1545">
        <v>3815179900</v>
      </c>
      <c r="E47" s="1529">
        <f t="shared" si="2"/>
        <v>6786118600</v>
      </c>
      <c r="F47" s="1529">
        <f t="shared" si="3"/>
        <v>6124118300</v>
      </c>
      <c r="G47" s="1545">
        <v>32457826.990000002</v>
      </c>
      <c r="H47" s="1542">
        <v>2021</v>
      </c>
      <c r="I47" s="835"/>
    </row>
    <row r="48" spans="1:9" ht="12" customHeight="1">
      <c r="A48" s="723" t="s">
        <v>59</v>
      </c>
      <c r="B48" s="1545">
        <v>1042202100</v>
      </c>
      <c r="C48" s="1545">
        <v>1042202100</v>
      </c>
      <c r="D48" s="1545">
        <v>627626500</v>
      </c>
      <c r="E48" s="1529">
        <f t="shared" si="2"/>
        <v>1669828600</v>
      </c>
      <c r="F48" s="1529">
        <f t="shared" si="3"/>
        <v>1669828600</v>
      </c>
      <c r="G48" s="1545">
        <v>9851988.7400000002</v>
      </c>
      <c r="H48" s="1542">
        <v>2021</v>
      </c>
      <c r="I48" s="835"/>
    </row>
    <row r="49" spans="1:9" ht="12" customHeight="1">
      <c r="A49" s="723" t="s">
        <v>61</v>
      </c>
      <c r="B49" s="1545">
        <v>950124102</v>
      </c>
      <c r="C49" s="1545">
        <v>671586302</v>
      </c>
      <c r="D49" s="1545">
        <v>1553146247</v>
      </c>
      <c r="E49" s="1529">
        <f t="shared" si="2"/>
        <v>2503270349</v>
      </c>
      <c r="F49" s="1529">
        <f t="shared" si="3"/>
        <v>2224732549</v>
      </c>
      <c r="G49" s="1545">
        <v>18242806.901799999</v>
      </c>
      <c r="H49" s="1542">
        <v>2021</v>
      </c>
      <c r="I49" s="835"/>
    </row>
    <row r="50" spans="1:9" ht="12" customHeight="1">
      <c r="A50" s="725" t="s">
        <v>63</v>
      </c>
      <c r="B50" s="1545">
        <v>343815120</v>
      </c>
      <c r="C50" s="1545">
        <v>329880420</v>
      </c>
      <c r="D50" s="1545">
        <v>317390900</v>
      </c>
      <c r="E50" s="1529">
        <f t="shared" si="2"/>
        <v>661206020</v>
      </c>
      <c r="F50" s="1529">
        <f t="shared" si="3"/>
        <v>647271320</v>
      </c>
      <c r="G50" s="1545">
        <v>4336717.84</v>
      </c>
      <c r="H50" s="1542">
        <v>2021</v>
      </c>
      <c r="I50" s="835"/>
    </row>
    <row r="51" spans="1:9" ht="21" customHeight="1">
      <c r="A51" s="723" t="s">
        <v>328</v>
      </c>
      <c r="B51" s="1545">
        <v>1165013205</v>
      </c>
      <c r="C51" s="1545">
        <v>1158390584</v>
      </c>
      <c r="D51" s="1545">
        <v>1721615293</v>
      </c>
      <c r="E51" s="1529">
        <f t="shared" si="2"/>
        <v>2886628498</v>
      </c>
      <c r="F51" s="1529">
        <f t="shared" si="3"/>
        <v>2880005877</v>
      </c>
      <c r="G51" s="1545">
        <v>14400029.385</v>
      </c>
      <c r="H51" s="1542">
        <v>2021</v>
      </c>
      <c r="I51" s="835"/>
    </row>
    <row r="52" spans="1:9" ht="12" customHeight="1">
      <c r="A52" s="723" t="s">
        <v>67</v>
      </c>
      <c r="B52" s="1545">
        <v>5899935484</v>
      </c>
      <c r="C52" s="1545">
        <v>5166122642.3199997</v>
      </c>
      <c r="D52" s="1545">
        <v>12447382038</v>
      </c>
      <c r="E52" s="1529">
        <f t="shared" si="2"/>
        <v>18347317522</v>
      </c>
      <c r="F52" s="1529">
        <f t="shared" si="3"/>
        <v>17613504680.32</v>
      </c>
      <c r="G52" s="1545">
        <v>142669387.91059202</v>
      </c>
      <c r="H52" s="1542">
        <v>2021</v>
      </c>
      <c r="I52" s="835"/>
    </row>
    <row r="53" spans="1:9" ht="12" customHeight="1">
      <c r="A53" s="723" t="s">
        <v>69</v>
      </c>
      <c r="B53" s="1545">
        <v>10607962400</v>
      </c>
      <c r="C53" s="1545">
        <v>10419557200</v>
      </c>
      <c r="D53" s="1545">
        <v>33698826700</v>
      </c>
      <c r="E53" s="1529">
        <f t="shared" si="2"/>
        <v>44306789100</v>
      </c>
      <c r="F53" s="1529">
        <f t="shared" si="3"/>
        <v>44118383900</v>
      </c>
      <c r="G53" s="1545">
        <v>383829939.93000001</v>
      </c>
      <c r="H53" s="1542">
        <v>2021</v>
      </c>
      <c r="I53" s="835"/>
    </row>
    <row r="54" spans="1:9" ht="12" customHeight="1">
      <c r="A54" s="723" t="s">
        <v>71</v>
      </c>
      <c r="B54" s="1545">
        <v>796960932</v>
      </c>
      <c r="C54" s="1545">
        <v>762188732</v>
      </c>
      <c r="D54" s="1545">
        <v>2216274050</v>
      </c>
      <c r="E54" s="1529">
        <f t="shared" si="2"/>
        <v>3013234982</v>
      </c>
      <c r="F54" s="1529">
        <f t="shared" si="3"/>
        <v>2978462782</v>
      </c>
      <c r="G54" s="1545">
        <v>16530468.440100001</v>
      </c>
      <c r="H54" s="1542">
        <v>2021</v>
      </c>
      <c r="I54" s="835"/>
    </row>
    <row r="55" spans="1:9" ht="12" customHeight="1">
      <c r="A55" s="723" t="s">
        <v>72</v>
      </c>
      <c r="B55" s="1545">
        <v>435560079</v>
      </c>
      <c r="C55" s="1545">
        <v>435560079</v>
      </c>
      <c r="D55" s="1545">
        <v>239441883</v>
      </c>
      <c r="E55" s="1529">
        <f t="shared" si="2"/>
        <v>675001962</v>
      </c>
      <c r="F55" s="1529">
        <f t="shared" si="3"/>
        <v>675001962</v>
      </c>
      <c r="G55" s="1545">
        <v>3240009.4175999998</v>
      </c>
      <c r="H55" s="1542">
        <v>2021</v>
      </c>
      <c r="I55" s="835"/>
    </row>
    <row r="56" spans="1:9" ht="21" customHeight="1">
      <c r="A56" s="723" t="s">
        <v>74</v>
      </c>
      <c r="B56" s="1545">
        <v>1742275102</v>
      </c>
      <c r="C56" s="1545">
        <v>1433903302</v>
      </c>
      <c r="D56" s="1545">
        <v>3381035876</v>
      </c>
      <c r="E56" s="1529">
        <f t="shared" si="2"/>
        <v>5123310978</v>
      </c>
      <c r="F56" s="1529">
        <f t="shared" si="3"/>
        <v>4814939178</v>
      </c>
      <c r="G56" s="1545">
        <v>40585888.600000001</v>
      </c>
      <c r="H56" s="1542">
        <v>2021</v>
      </c>
      <c r="I56" s="835"/>
    </row>
    <row r="57" spans="1:9" ht="12" customHeight="1">
      <c r="A57" s="723" t="s">
        <v>1320</v>
      </c>
      <c r="B57" s="1545">
        <v>3386135900</v>
      </c>
      <c r="C57" s="1545">
        <v>3267854537</v>
      </c>
      <c r="D57" s="1545">
        <v>9350033000</v>
      </c>
      <c r="E57" s="1529">
        <f t="shared" si="2"/>
        <v>12736168900</v>
      </c>
      <c r="F57" s="1529">
        <f t="shared" si="3"/>
        <v>12617887537</v>
      </c>
      <c r="G57" s="1545">
        <v>105990255.3108</v>
      </c>
      <c r="H57" s="1542">
        <v>2021</v>
      </c>
      <c r="I57" s="835"/>
    </row>
    <row r="58" spans="1:9" ht="12" customHeight="1">
      <c r="A58" s="723" t="s">
        <v>78</v>
      </c>
      <c r="B58" s="1545">
        <v>495868300</v>
      </c>
      <c r="C58" s="1545">
        <v>495868300</v>
      </c>
      <c r="D58" s="1545">
        <v>419490400</v>
      </c>
      <c r="E58" s="1529">
        <f t="shared" si="2"/>
        <v>915358700</v>
      </c>
      <c r="F58" s="1529">
        <f t="shared" si="3"/>
        <v>915358700</v>
      </c>
      <c r="G58" s="1545">
        <v>4851401.1100000003</v>
      </c>
      <c r="H58" s="1542">
        <v>2021</v>
      </c>
      <c r="I58" s="835"/>
    </row>
    <row r="59" spans="1:9" ht="12" customHeight="1">
      <c r="A59" s="723" t="s">
        <v>80</v>
      </c>
      <c r="B59" s="1545">
        <v>1171838150</v>
      </c>
      <c r="C59" s="1545">
        <v>991097252</v>
      </c>
      <c r="D59" s="1545">
        <v>1927096887</v>
      </c>
      <c r="E59" s="1529">
        <f t="shared" si="2"/>
        <v>3098935037</v>
      </c>
      <c r="F59" s="1529">
        <f t="shared" si="3"/>
        <v>2918194139</v>
      </c>
      <c r="G59" s="1545">
        <v>21302817.214699998</v>
      </c>
      <c r="H59" s="1542">
        <v>2021</v>
      </c>
      <c r="I59" s="835"/>
    </row>
    <row r="60" spans="1:9" ht="12" customHeight="1">
      <c r="A60" s="723" t="s">
        <v>364</v>
      </c>
      <c r="B60" s="1545">
        <v>645106400</v>
      </c>
      <c r="C60" s="1545">
        <v>518814500</v>
      </c>
      <c r="D60" s="1545">
        <v>809785222</v>
      </c>
      <c r="E60" s="1529">
        <f t="shared" si="2"/>
        <v>1454891622</v>
      </c>
      <c r="F60" s="1529">
        <f t="shared" si="3"/>
        <v>1328599722</v>
      </c>
      <c r="G60" s="1545">
        <v>11425957.609200001</v>
      </c>
      <c r="H60" s="1542">
        <v>2021</v>
      </c>
      <c r="I60" s="835"/>
    </row>
    <row r="61" spans="1:9" ht="21" customHeight="1">
      <c r="A61" s="723" t="s">
        <v>368</v>
      </c>
      <c r="B61" s="1545">
        <v>1179696200</v>
      </c>
      <c r="C61" s="1545">
        <v>1146774200</v>
      </c>
      <c r="D61" s="1545">
        <v>1521748600</v>
      </c>
      <c r="E61" s="1529">
        <f t="shared" si="2"/>
        <v>2701444800</v>
      </c>
      <c r="F61" s="1529">
        <f t="shared" si="3"/>
        <v>2668522800</v>
      </c>
      <c r="G61" s="1545">
        <v>16811693.640000001</v>
      </c>
      <c r="H61" s="1542">
        <v>2021</v>
      </c>
      <c r="I61" s="835"/>
    </row>
    <row r="62" spans="1:9" ht="12" customHeight="1">
      <c r="A62" s="723" t="s">
        <v>86</v>
      </c>
      <c r="B62" s="1545">
        <v>324854800</v>
      </c>
      <c r="C62" s="1545">
        <v>324854800</v>
      </c>
      <c r="D62" s="1545">
        <v>645338082</v>
      </c>
      <c r="E62" s="1529">
        <f t="shared" si="2"/>
        <v>970192882</v>
      </c>
      <c r="F62" s="1529">
        <f t="shared" si="3"/>
        <v>970192882</v>
      </c>
      <c r="G62" s="1545">
        <v>6002583.3609340005</v>
      </c>
      <c r="H62" s="1542">
        <v>2021</v>
      </c>
      <c r="I62" s="835"/>
    </row>
    <row r="63" spans="1:9" ht="12" customHeight="1">
      <c r="A63" s="723" t="s">
        <v>88</v>
      </c>
      <c r="B63" s="1545">
        <v>32254264900</v>
      </c>
      <c r="C63" s="1545">
        <v>30458038670</v>
      </c>
      <c r="D63" s="1545">
        <v>64671506036</v>
      </c>
      <c r="E63" s="1529">
        <f t="shared" si="2"/>
        <v>96925770936</v>
      </c>
      <c r="F63" s="1529">
        <f t="shared" si="3"/>
        <v>95129544706</v>
      </c>
      <c r="G63" s="1545">
        <v>932269538.11879992</v>
      </c>
      <c r="H63" s="1542">
        <v>2021</v>
      </c>
      <c r="I63" s="835"/>
    </row>
    <row r="64" spans="1:9" ht="12" customHeight="1">
      <c r="A64" s="723" t="s">
        <v>90</v>
      </c>
      <c r="B64" s="1545">
        <v>2294625400</v>
      </c>
      <c r="C64" s="1545">
        <v>1763913200</v>
      </c>
      <c r="D64" s="1545">
        <v>3929314800</v>
      </c>
      <c r="E64" s="1529">
        <f t="shared" si="2"/>
        <v>6223940200</v>
      </c>
      <c r="F64" s="1529">
        <f t="shared" si="3"/>
        <v>5693228000</v>
      </c>
      <c r="G64" s="1545">
        <v>40991241.600000001</v>
      </c>
      <c r="H64" s="1542">
        <v>2021</v>
      </c>
      <c r="I64" s="835"/>
    </row>
    <row r="65" spans="1:9" ht="12" customHeight="1">
      <c r="A65" s="723" t="s">
        <v>92</v>
      </c>
      <c r="B65" s="1545">
        <v>471249400</v>
      </c>
      <c r="C65" s="1545">
        <v>471249400</v>
      </c>
      <c r="D65" s="1545">
        <v>475669300</v>
      </c>
      <c r="E65" s="1529">
        <f t="shared" si="2"/>
        <v>946918700</v>
      </c>
      <c r="F65" s="1529">
        <f t="shared" si="3"/>
        <v>946918700</v>
      </c>
      <c r="G65" s="1545">
        <v>3598291.06</v>
      </c>
      <c r="H65" s="1542">
        <v>2021</v>
      </c>
      <c r="I65" s="835"/>
    </row>
    <row r="66" spans="1:9" ht="21" customHeight="1">
      <c r="A66" s="723" t="s">
        <v>94</v>
      </c>
      <c r="B66" s="1545">
        <v>1197797500</v>
      </c>
      <c r="C66" s="1545">
        <v>677290800</v>
      </c>
      <c r="D66" s="1545">
        <v>1105854200</v>
      </c>
      <c r="E66" s="1529">
        <f t="shared" si="2"/>
        <v>2303651700</v>
      </c>
      <c r="F66" s="1529">
        <f t="shared" si="3"/>
        <v>1783145000</v>
      </c>
      <c r="G66" s="1545">
        <v>13195273</v>
      </c>
      <c r="H66" s="1542">
        <v>2021</v>
      </c>
      <c r="I66" s="835"/>
    </row>
    <row r="67" spans="1:9" ht="12" customHeight="1">
      <c r="A67" s="723" t="s">
        <v>96</v>
      </c>
      <c r="B67" s="1545">
        <v>717116100</v>
      </c>
      <c r="C67" s="1545">
        <v>717116100</v>
      </c>
      <c r="D67" s="1545">
        <v>919761200</v>
      </c>
      <c r="E67" s="1529">
        <f t="shared" si="2"/>
        <v>1636877300</v>
      </c>
      <c r="F67" s="1529">
        <f t="shared" si="3"/>
        <v>1636877300</v>
      </c>
      <c r="G67" s="1545">
        <v>10557858.585000001</v>
      </c>
      <c r="H67" s="1542">
        <v>2021</v>
      </c>
      <c r="I67" s="835"/>
    </row>
    <row r="68" spans="1:9" ht="12" customHeight="1">
      <c r="A68" s="723" t="s">
        <v>98</v>
      </c>
      <c r="B68" s="1545">
        <v>1571106000</v>
      </c>
      <c r="C68" s="1545">
        <v>1571106000</v>
      </c>
      <c r="D68" s="1545">
        <v>3110460300</v>
      </c>
      <c r="E68" s="1529">
        <f t="shared" si="2"/>
        <v>4681566300</v>
      </c>
      <c r="F68" s="1529">
        <f t="shared" si="3"/>
        <v>4681566300</v>
      </c>
      <c r="G68" s="1545">
        <v>19662578.460000001</v>
      </c>
      <c r="H68" s="1542">
        <v>2021</v>
      </c>
      <c r="I68" s="835"/>
    </row>
    <row r="69" spans="1:9" ht="12" customHeight="1">
      <c r="A69" s="723" t="s">
        <v>100</v>
      </c>
      <c r="B69" s="1545">
        <v>1130623500</v>
      </c>
      <c r="C69" s="1545">
        <v>1057184200</v>
      </c>
      <c r="D69" s="1545">
        <v>1163627300</v>
      </c>
      <c r="E69" s="1529">
        <f t="shared" si="2"/>
        <v>2294250800</v>
      </c>
      <c r="F69" s="1529">
        <f t="shared" si="3"/>
        <v>2220811500</v>
      </c>
      <c r="G69" s="1545">
        <v>13769031.300000001</v>
      </c>
      <c r="H69" s="1542">
        <v>2021</v>
      </c>
      <c r="I69" s="835"/>
    </row>
    <row r="70" spans="1:9" ht="12" customHeight="1">
      <c r="A70" s="723" t="s">
        <v>102</v>
      </c>
      <c r="B70" s="1545">
        <v>2304947000</v>
      </c>
      <c r="C70" s="1545">
        <v>2108902800</v>
      </c>
      <c r="D70" s="1545">
        <v>6632341500</v>
      </c>
      <c r="E70" s="1529">
        <f t="shared" si="2"/>
        <v>8937288500</v>
      </c>
      <c r="F70" s="1529">
        <f t="shared" si="3"/>
        <v>8741244300</v>
      </c>
      <c r="G70" s="1545">
        <v>77797074.269999996</v>
      </c>
      <c r="H70" s="1542">
        <v>2021</v>
      </c>
      <c r="I70" s="835"/>
    </row>
    <row r="71" spans="1:9" ht="15.5">
      <c r="A71" s="908" t="s">
        <v>833</v>
      </c>
    </row>
    <row r="72" spans="1:9" ht="13">
      <c r="A72" s="938" t="str">
        <f>A37</f>
        <v>Real Estate Fair Market Value (FMV), Fair Market Value (Taxable), and Local Levy by Locality - Tax Year 2021</v>
      </c>
      <c r="B72" s="1574"/>
      <c r="C72" s="1574"/>
      <c r="D72" s="1574"/>
      <c r="E72" s="1574"/>
      <c r="F72" s="1574"/>
      <c r="G72" s="1574"/>
      <c r="H72" s="1574"/>
    </row>
    <row r="73" spans="1:9" ht="4" customHeight="1">
      <c r="A73" s="749"/>
      <c r="B73" s="1559"/>
      <c r="C73" s="1559"/>
      <c r="D73" s="1559"/>
      <c r="E73" s="1559"/>
      <c r="F73" s="1559"/>
      <c r="G73" s="1559"/>
      <c r="H73" s="1559"/>
    </row>
    <row r="74" spans="1:9" s="725" customFormat="1" ht="4" customHeight="1" thickBot="1">
      <c r="A74" s="726"/>
      <c r="B74" s="1543"/>
      <c r="C74" s="1543"/>
      <c r="D74" s="1543"/>
      <c r="E74" s="1543"/>
      <c r="F74" s="1543"/>
      <c r="G74" s="1543"/>
      <c r="H74" s="1543"/>
      <c r="I74" s="782"/>
    </row>
    <row r="75" spans="1:9" ht="23">
      <c r="A75" s="1400" t="s">
        <v>21</v>
      </c>
      <c r="B75" s="1660" t="s">
        <v>825</v>
      </c>
      <c r="C75" s="1659" t="s">
        <v>826</v>
      </c>
      <c r="D75" s="1659" t="s">
        <v>827</v>
      </c>
      <c r="E75" s="1660" t="s">
        <v>828</v>
      </c>
      <c r="F75" s="1659" t="s">
        <v>829</v>
      </c>
      <c r="G75" s="1660" t="s">
        <v>830</v>
      </c>
      <c r="H75" s="1588" t="s">
        <v>831</v>
      </c>
    </row>
    <row r="76" spans="1:9" ht="21" customHeight="1">
      <c r="A76" s="723" t="s">
        <v>104</v>
      </c>
      <c r="B76" s="1544">
        <v>1283350400</v>
      </c>
      <c r="C76" s="1544">
        <v>789991413</v>
      </c>
      <c r="D76" s="1544">
        <v>1729770350</v>
      </c>
      <c r="E76" s="1562">
        <f t="shared" ref="E76:E105" si="4">IF(SUM(B76,D76)=0,"",SUM(B76,D76))</f>
        <v>3013120750</v>
      </c>
      <c r="F76" s="1562">
        <f t="shared" ref="F76:F105" si="5">IF(SUM(C76:D76)=0,"",SUM(C76:D76))</f>
        <v>2519761763</v>
      </c>
      <c r="G76" s="1544">
        <v>18142284.693599999</v>
      </c>
      <c r="H76" s="1542">
        <v>2021</v>
      </c>
      <c r="I76" s="835"/>
    </row>
    <row r="77" spans="1:9" ht="12" customHeight="1">
      <c r="A77" s="723" t="s">
        <v>106</v>
      </c>
      <c r="B77" s="1545">
        <v>1324785866</v>
      </c>
      <c r="C77" s="1545">
        <v>1216780300</v>
      </c>
      <c r="D77" s="1545">
        <v>2201100600</v>
      </c>
      <c r="E77" s="1546">
        <f t="shared" si="4"/>
        <v>3525886466</v>
      </c>
      <c r="F77" s="1546">
        <f t="shared" si="5"/>
        <v>3417880900</v>
      </c>
      <c r="G77" s="1545">
        <v>27001259.109999999</v>
      </c>
      <c r="H77" s="1542">
        <v>2021</v>
      </c>
      <c r="I77" s="835"/>
    </row>
    <row r="78" spans="1:9" ht="12" customHeight="1">
      <c r="A78" s="723" t="s">
        <v>108</v>
      </c>
      <c r="B78" s="1545">
        <v>994617600</v>
      </c>
      <c r="C78" s="1545">
        <v>868678400</v>
      </c>
      <c r="D78" s="1545">
        <v>1085171800</v>
      </c>
      <c r="E78" s="1546">
        <f t="shared" si="4"/>
        <v>2079789400</v>
      </c>
      <c r="F78" s="1546">
        <f t="shared" si="5"/>
        <v>1953850200</v>
      </c>
      <c r="G78" s="1545">
        <v>16314649.17</v>
      </c>
      <c r="H78" s="1542">
        <v>2021</v>
      </c>
      <c r="I78" s="835"/>
    </row>
    <row r="79" spans="1:9" ht="12" customHeight="1">
      <c r="A79" s="723" t="s">
        <v>409</v>
      </c>
      <c r="B79" s="1545">
        <v>1254321400</v>
      </c>
      <c r="C79" s="1545">
        <v>1088898449</v>
      </c>
      <c r="D79" s="1545">
        <v>1700753100</v>
      </c>
      <c r="E79" s="1546">
        <f t="shared" si="4"/>
        <v>2955074500</v>
      </c>
      <c r="F79" s="1546">
        <f t="shared" si="5"/>
        <v>2789651549</v>
      </c>
      <c r="G79" s="1545">
        <v>17016874.448899999</v>
      </c>
      <c r="H79" s="1542">
        <v>2021</v>
      </c>
      <c r="I79" s="835"/>
    </row>
    <row r="80" spans="1:9" s="725" customFormat="1" ht="12" customHeight="1">
      <c r="A80" s="723" t="s">
        <v>112</v>
      </c>
      <c r="B80" s="1545">
        <v>367951100</v>
      </c>
      <c r="C80" s="1545">
        <v>336368700</v>
      </c>
      <c r="D80" s="1545">
        <v>625239244</v>
      </c>
      <c r="E80" s="1546">
        <f t="shared" si="4"/>
        <v>993190344</v>
      </c>
      <c r="F80" s="1546">
        <f t="shared" si="5"/>
        <v>961607944</v>
      </c>
      <c r="G80" s="1545">
        <v>4615718.1311999997</v>
      </c>
      <c r="H80" s="1542">
        <v>2021</v>
      </c>
      <c r="I80" s="835"/>
    </row>
    <row r="81" spans="1:9" ht="21" customHeight="1">
      <c r="A81" s="723" t="s">
        <v>114</v>
      </c>
      <c r="B81" s="1545">
        <v>1792715500</v>
      </c>
      <c r="C81" s="1545">
        <v>1321981700</v>
      </c>
      <c r="D81" s="1545">
        <v>3215629300</v>
      </c>
      <c r="E81" s="1546">
        <f t="shared" si="4"/>
        <v>5008344800</v>
      </c>
      <c r="F81" s="1546">
        <f t="shared" si="5"/>
        <v>4537611000</v>
      </c>
      <c r="G81" s="1545">
        <v>32670799.199999999</v>
      </c>
      <c r="H81" s="1542">
        <v>2021</v>
      </c>
      <c r="I81" s="835"/>
    </row>
    <row r="82" spans="1:9" ht="12" customHeight="1">
      <c r="A82" s="723" t="s">
        <v>116</v>
      </c>
      <c r="B82" s="1545">
        <v>1111030900</v>
      </c>
      <c r="C82" s="1545">
        <v>630984500</v>
      </c>
      <c r="D82" s="1545">
        <v>1669497900</v>
      </c>
      <c r="E82" s="1546">
        <f t="shared" si="4"/>
        <v>2780528800</v>
      </c>
      <c r="F82" s="1546">
        <f t="shared" si="5"/>
        <v>2300482400</v>
      </c>
      <c r="G82" s="1545">
        <v>16793521.52</v>
      </c>
      <c r="H82" s="1542">
        <v>2021</v>
      </c>
      <c r="I82" s="835"/>
    </row>
    <row r="83" spans="1:9" ht="12" customHeight="1">
      <c r="A83" s="723" t="s">
        <v>117</v>
      </c>
      <c r="B83" s="1545">
        <v>747315300</v>
      </c>
      <c r="C83" s="1545">
        <v>747315300</v>
      </c>
      <c r="D83" s="1545">
        <v>855943600</v>
      </c>
      <c r="E83" s="1546">
        <f t="shared" si="4"/>
        <v>1603258900</v>
      </c>
      <c r="F83" s="1546">
        <f t="shared" si="5"/>
        <v>1603258900</v>
      </c>
      <c r="G83" s="1545">
        <v>10902160.520000001</v>
      </c>
      <c r="H83" s="1542">
        <v>2021</v>
      </c>
      <c r="I83" s="835"/>
    </row>
    <row r="84" spans="1:9" ht="12" customHeight="1">
      <c r="A84" s="723" t="s">
        <v>119</v>
      </c>
      <c r="B84" s="1545">
        <v>1925087300</v>
      </c>
      <c r="C84" s="1545">
        <v>1360546600</v>
      </c>
      <c r="D84" s="1545">
        <v>2967351200</v>
      </c>
      <c r="E84" s="1546">
        <f t="shared" si="4"/>
        <v>4892438500</v>
      </c>
      <c r="F84" s="1546">
        <f t="shared" si="5"/>
        <v>4327897800</v>
      </c>
      <c r="G84" s="1545">
        <v>26832966.359999999</v>
      </c>
      <c r="H84" s="1542">
        <v>2021</v>
      </c>
      <c r="I84" s="835"/>
    </row>
    <row r="85" spans="1:9" ht="12" customHeight="1">
      <c r="A85" s="723" t="s">
        <v>1318</v>
      </c>
      <c r="B85" s="1545">
        <v>1723230900</v>
      </c>
      <c r="C85" s="1545">
        <v>1394787200</v>
      </c>
      <c r="D85" s="1545">
        <v>2686438800</v>
      </c>
      <c r="E85" s="1546">
        <f t="shared" si="4"/>
        <v>4409669700</v>
      </c>
      <c r="F85" s="1546">
        <f t="shared" si="5"/>
        <v>4081226000</v>
      </c>
      <c r="G85" s="1545">
        <v>16120842.700000001</v>
      </c>
      <c r="H85" s="1542">
        <v>2021</v>
      </c>
      <c r="I85" s="835"/>
    </row>
    <row r="86" spans="1:9" ht="21" customHeight="1">
      <c r="A86" s="723" t="s">
        <v>122</v>
      </c>
      <c r="B86" s="1545">
        <v>613678664</v>
      </c>
      <c r="C86" s="1545">
        <v>597772264</v>
      </c>
      <c r="D86" s="1545">
        <v>1239151819</v>
      </c>
      <c r="E86" s="1546">
        <f t="shared" si="4"/>
        <v>1852830483</v>
      </c>
      <c r="F86" s="1546">
        <f t="shared" si="5"/>
        <v>1836924083</v>
      </c>
      <c r="G86" s="1545">
        <v>8633543.1900999993</v>
      </c>
      <c r="H86" s="1542">
        <v>2021</v>
      </c>
      <c r="I86" s="835"/>
    </row>
    <row r="87" spans="1:9" ht="12" customHeight="1">
      <c r="A87" s="723" t="s">
        <v>1319</v>
      </c>
      <c r="B87" s="1545">
        <v>1027878800</v>
      </c>
      <c r="C87" s="1545">
        <v>874645800</v>
      </c>
      <c r="D87" s="1545">
        <v>2268137100</v>
      </c>
      <c r="E87" s="1546">
        <f t="shared" si="4"/>
        <v>3296015900</v>
      </c>
      <c r="F87" s="1546">
        <f t="shared" si="5"/>
        <v>3142782900</v>
      </c>
      <c r="G87" s="1545">
        <v>27027932.940000001</v>
      </c>
      <c r="H87" s="1542">
        <v>2021</v>
      </c>
      <c r="I87" s="835"/>
    </row>
    <row r="88" spans="1:9" ht="12" customHeight="1">
      <c r="A88" s="723" t="s">
        <v>126</v>
      </c>
      <c r="B88" s="1545">
        <v>22699307800</v>
      </c>
      <c r="C88" s="1545">
        <v>22345695600</v>
      </c>
      <c r="D88" s="1545">
        <v>48390344200</v>
      </c>
      <c r="E88" s="1546">
        <f t="shared" si="4"/>
        <v>71089652000</v>
      </c>
      <c r="F88" s="1546">
        <f t="shared" si="5"/>
        <v>70736039800</v>
      </c>
      <c r="G88" s="1545">
        <v>788706843.76999998</v>
      </c>
      <c r="H88" s="1542">
        <v>2021</v>
      </c>
      <c r="I88" s="835"/>
    </row>
    <row r="89" spans="1:9" ht="12" customHeight="1">
      <c r="A89" s="723" t="s">
        <v>128</v>
      </c>
      <c r="B89" s="1545">
        <v>981912700</v>
      </c>
      <c r="C89" s="1545">
        <v>800240200</v>
      </c>
      <c r="D89" s="1545">
        <v>2191745600</v>
      </c>
      <c r="E89" s="1546">
        <f t="shared" si="4"/>
        <v>3173658300</v>
      </c>
      <c r="F89" s="1546">
        <f t="shared" si="5"/>
        <v>2991985800</v>
      </c>
      <c r="G89" s="1545">
        <v>22140694.919999998</v>
      </c>
      <c r="H89" s="1542">
        <v>2021</v>
      </c>
      <c r="I89" s="835"/>
    </row>
    <row r="90" spans="1:9" ht="12" customHeight="1">
      <c r="A90" s="723" t="s">
        <v>130</v>
      </c>
      <c r="B90" s="1545">
        <v>1262333000</v>
      </c>
      <c r="C90" s="1545">
        <v>687299100</v>
      </c>
      <c r="D90" s="1545">
        <v>1252905700</v>
      </c>
      <c r="E90" s="1546">
        <f t="shared" si="4"/>
        <v>2515238700</v>
      </c>
      <c r="F90" s="1546">
        <f t="shared" si="5"/>
        <v>1940204800</v>
      </c>
      <c r="G90" s="1545">
        <v>10671126.4</v>
      </c>
      <c r="H90" s="1542">
        <v>2021</v>
      </c>
      <c r="I90" s="835"/>
    </row>
    <row r="91" spans="1:9" ht="21" customHeight="1">
      <c r="A91" s="723" t="s">
        <v>752</v>
      </c>
      <c r="B91" s="1545">
        <v>422456498</v>
      </c>
      <c r="C91" s="1545">
        <v>356492571</v>
      </c>
      <c r="D91" s="1545">
        <v>486339339</v>
      </c>
      <c r="E91" s="1546">
        <f t="shared" si="4"/>
        <v>908795837</v>
      </c>
      <c r="F91" s="1546">
        <f t="shared" si="5"/>
        <v>842831910</v>
      </c>
      <c r="G91" s="1545">
        <v>5899823.3699999992</v>
      </c>
      <c r="H91" s="1542">
        <v>2021</v>
      </c>
      <c r="I91" s="835"/>
    </row>
    <row r="92" spans="1:9" ht="12" customHeight="1">
      <c r="A92" s="723" t="s">
        <v>1315</v>
      </c>
      <c r="B92" s="1545">
        <v>2282968900</v>
      </c>
      <c r="C92" s="1545">
        <v>2119664200</v>
      </c>
      <c r="D92" s="1545">
        <v>7201840200</v>
      </c>
      <c r="E92" s="1546">
        <f t="shared" si="4"/>
        <v>9484809100</v>
      </c>
      <c r="F92" s="1546">
        <f t="shared" si="5"/>
        <v>9321504400</v>
      </c>
      <c r="G92" s="1545">
        <v>101604397.96000001</v>
      </c>
      <c r="H92" s="1542">
        <v>2021</v>
      </c>
      <c r="I92" s="835"/>
    </row>
    <row r="93" spans="1:9" ht="12" customHeight="1">
      <c r="A93" s="723" t="s">
        <v>134</v>
      </c>
      <c r="B93" s="1545">
        <v>1354368716</v>
      </c>
      <c r="C93" s="1545">
        <v>922725000</v>
      </c>
      <c r="D93" s="1545">
        <v>1779109100</v>
      </c>
      <c r="E93" s="1546">
        <f t="shared" si="4"/>
        <v>3133477816</v>
      </c>
      <c r="F93" s="1546">
        <f t="shared" si="5"/>
        <v>2701834100</v>
      </c>
      <c r="G93" s="1545">
        <v>19993572.34</v>
      </c>
      <c r="H93" s="1542">
        <v>2021</v>
      </c>
      <c r="I93" s="835"/>
    </row>
    <row r="94" spans="1:9" ht="12" customHeight="1">
      <c r="A94" s="723" t="s">
        <v>135</v>
      </c>
      <c r="B94" s="1545">
        <v>3355588700</v>
      </c>
      <c r="C94" s="1545">
        <v>2324396810</v>
      </c>
      <c r="D94" s="1545">
        <v>8661699100</v>
      </c>
      <c r="E94" s="1546">
        <f t="shared" si="4"/>
        <v>12017287800</v>
      </c>
      <c r="F94" s="1546">
        <f t="shared" si="5"/>
        <v>10986095910</v>
      </c>
      <c r="G94" s="1545">
        <v>74705452.188000008</v>
      </c>
      <c r="H94" s="1542">
        <v>2021</v>
      </c>
      <c r="I94" s="835"/>
    </row>
    <row r="95" spans="1:9" ht="12" customHeight="1">
      <c r="A95" s="725" t="s">
        <v>137</v>
      </c>
      <c r="B95" s="1563">
        <v>595220267</v>
      </c>
      <c r="C95" s="1563">
        <v>430882173</v>
      </c>
      <c r="D95" s="1563">
        <v>1003919785</v>
      </c>
      <c r="E95" s="1564">
        <f t="shared" si="4"/>
        <v>1599140052</v>
      </c>
      <c r="F95" s="1564">
        <f t="shared" si="5"/>
        <v>1434801958</v>
      </c>
      <c r="G95" s="1563">
        <v>9039252.3354000002</v>
      </c>
      <c r="H95" s="1542">
        <v>2021</v>
      </c>
      <c r="I95" s="835"/>
    </row>
    <row r="96" spans="1:9" ht="21" customHeight="1">
      <c r="A96" s="723" t="s">
        <v>139</v>
      </c>
      <c r="B96" s="1545">
        <v>450153700</v>
      </c>
      <c r="C96" s="1545">
        <v>450153700</v>
      </c>
      <c r="D96" s="1545">
        <v>802242400</v>
      </c>
      <c r="E96" s="1546">
        <f t="shared" si="4"/>
        <v>1252396100</v>
      </c>
      <c r="F96" s="1546">
        <f t="shared" si="5"/>
        <v>1252396100</v>
      </c>
      <c r="G96" s="1545">
        <v>10019168.800000001</v>
      </c>
      <c r="H96" s="1542">
        <v>2021</v>
      </c>
      <c r="I96" s="835"/>
    </row>
    <row r="97" spans="1:69" ht="12" customHeight="1">
      <c r="A97" s="723" t="s">
        <v>141</v>
      </c>
      <c r="B97" s="1545">
        <v>2164088860</v>
      </c>
      <c r="C97" s="1545">
        <v>1576592660</v>
      </c>
      <c r="D97" s="1545">
        <v>2949376438</v>
      </c>
      <c r="E97" s="1546">
        <f t="shared" si="4"/>
        <v>5113465298</v>
      </c>
      <c r="F97" s="1546">
        <f t="shared" si="5"/>
        <v>4525969098</v>
      </c>
      <c r="G97" s="1545">
        <v>31229186.776199996</v>
      </c>
      <c r="H97" s="1542">
        <v>2021</v>
      </c>
      <c r="I97" s="835"/>
    </row>
    <row r="98" spans="1:69" ht="12" customHeight="1">
      <c r="A98" s="723" t="s">
        <v>143</v>
      </c>
      <c r="B98" s="1545">
        <v>582527300</v>
      </c>
      <c r="C98" s="1545">
        <v>404961497</v>
      </c>
      <c r="D98" s="1545">
        <v>1130285700</v>
      </c>
      <c r="E98" s="1546">
        <f t="shared" si="4"/>
        <v>1712813000</v>
      </c>
      <c r="F98" s="1546">
        <f t="shared" si="5"/>
        <v>1535247197</v>
      </c>
      <c r="G98" s="1545">
        <v>11360829.2578</v>
      </c>
      <c r="H98" s="1542">
        <v>2021</v>
      </c>
      <c r="I98" s="835"/>
    </row>
    <row r="99" spans="1:69" ht="12" customHeight="1">
      <c r="A99" s="723" t="s">
        <v>145</v>
      </c>
      <c r="B99" s="1545">
        <v>899177900</v>
      </c>
      <c r="C99" s="1545">
        <v>523728400</v>
      </c>
      <c r="D99" s="1545">
        <v>952328200</v>
      </c>
      <c r="E99" s="1546">
        <f t="shared" si="4"/>
        <v>1851506100</v>
      </c>
      <c r="F99" s="1546">
        <f t="shared" si="5"/>
        <v>1476056600</v>
      </c>
      <c r="G99" s="1545">
        <v>13136903.74</v>
      </c>
      <c r="H99" s="1542">
        <v>2021</v>
      </c>
      <c r="I99" s="835"/>
    </row>
    <row r="100" spans="1:69" ht="12" customHeight="1">
      <c r="A100" s="723" t="s">
        <v>147</v>
      </c>
      <c r="B100" s="1545">
        <v>6122148700</v>
      </c>
      <c r="C100" s="1545">
        <v>5763446656</v>
      </c>
      <c r="D100" s="1545">
        <v>11267421100</v>
      </c>
      <c r="E100" s="1546">
        <f t="shared" si="4"/>
        <v>17389569800</v>
      </c>
      <c r="F100" s="1546">
        <f t="shared" si="5"/>
        <v>17030867756</v>
      </c>
      <c r="G100" s="1545">
        <v>137847843.617064</v>
      </c>
      <c r="H100" s="1542">
        <v>2021</v>
      </c>
      <c r="I100" s="835"/>
    </row>
    <row r="101" spans="1:69" ht="21" customHeight="1">
      <c r="A101" s="723" t="s">
        <v>149</v>
      </c>
      <c r="B101" s="1545">
        <v>6459707600</v>
      </c>
      <c r="C101" s="1545">
        <v>6178407495</v>
      </c>
      <c r="D101" s="1545">
        <v>12964562600</v>
      </c>
      <c r="E101" s="1546">
        <f t="shared" si="4"/>
        <v>19424270200</v>
      </c>
      <c r="F101" s="1546">
        <f t="shared" si="5"/>
        <v>19142970095</v>
      </c>
      <c r="G101" s="1545">
        <v>185656693.36000001</v>
      </c>
      <c r="H101" s="1542">
        <v>2021</v>
      </c>
      <c r="I101" s="835"/>
    </row>
    <row r="102" spans="1:69" ht="12" customHeight="1">
      <c r="A102" s="723" t="s">
        <v>151</v>
      </c>
      <c r="B102" s="1545">
        <v>475207700</v>
      </c>
      <c r="C102" s="1545">
        <v>475207700</v>
      </c>
      <c r="D102" s="1545">
        <v>489791300</v>
      </c>
      <c r="E102" s="1546">
        <f t="shared" si="4"/>
        <v>964999000</v>
      </c>
      <c r="F102" s="1546">
        <f t="shared" si="5"/>
        <v>964999000</v>
      </c>
      <c r="G102" s="1545">
        <v>7430492.2999999998</v>
      </c>
      <c r="H102" s="1542">
        <v>2021</v>
      </c>
      <c r="I102" s="835"/>
    </row>
    <row r="103" spans="1:69" ht="12" customHeight="1">
      <c r="A103" s="723" t="s">
        <v>153</v>
      </c>
      <c r="B103" s="1545">
        <v>499032800</v>
      </c>
      <c r="C103" s="1545">
        <v>499032800</v>
      </c>
      <c r="D103" s="1545">
        <v>399204122</v>
      </c>
      <c r="E103" s="1546">
        <f t="shared" si="4"/>
        <v>898236922</v>
      </c>
      <c r="F103" s="1546">
        <f t="shared" si="5"/>
        <v>898236922</v>
      </c>
      <c r="G103" s="1545">
        <v>5209774.1475999998</v>
      </c>
      <c r="H103" s="1542">
        <v>2021</v>
      </c>
      <c r="I103" s="835"/>
    </row>
    <row r="104" spans="1:69" ht="12" customHeight="1">
      <c r="A104" s="723" t="s">
        <v>155</v>
      </c>
      <c r="B104" s="1545">
        <v>743098500</v>
      </c>
      <c r="C104" s="1545">
        <v>615865700</v>
      </c>
      <c r="D104" s="1545">
        <v>2016354500</v>
      </c>
      <c r="E104" s="1546">
        <f t="shared" si="4"/>
        <v>2759453000</v>
      </c>
      <c r="F104" s="1546">
        <f t="shared" si="5"/>
        <v>2632220200</v>
      </c>
      <c r="G104" s="1545">
        <v>15266877.159999998</v>
      </c>
      <c r="H104" s="1542">
        <v>2021</v>
      </c>
      <c r="I104" s="835"/>
    </row>
    <row r="105" spans="1:69" ht="12" customHeight="1">
      <c r="A105" s="723" t="s">
        <v>157</v>
      </c>
      <c r="B105" s="1545">
        <v>1759927700</v>
      </c>
      <c r="C105" s="1545">
        <v>1033562500</v>
      </c>
      <c r="D105" s="1545">
        <v>3426172600</v>
      </c>
      <c r="E105" s="1546">
        <f t="shared" si="4"/>
        <v>5186100300</v>
      </c>
      <c r="F105" s="1546">
        <f t="shared" si="5"/>
        <v>4459735100</v>
      </c>
      <c r="G105" s="1545">
        <v>29211264.905000001</v>
      </c>
      <c r="H105" s="1542">
        <v>2021</v>
      </c>
      <c r="I105" s="835"/>
    </row>
    <row r="106" spans="1:69" ht="21" customHeight="1">
      <c r="A106" s="723" t="s">
        <v>159</v>
      </c>
      <c r="B106" s="1544">
        <v>1982105588</v>
      </c>
      <c r="C106" s="1544">
        <v>1278652188</v>
      </c>
      <c r="D106" s="1544">
        <v>3250170300</v>
      </c>
      <c r="E106" s="1562">
        <f t="shared" ref="E106:E110" si="6">IF(SUM(B106,D106)=0,"",SUM(B106,D106))</f>
        <v>5232275888</v>
      </c>
      <c r="F106" s="1562">
        <f t="shared" ref="F106:F110" si="7">IF(SUM(C106:D106)=0,"",SUM(C106:D106))</f>
        <v>4528822488</v>
      </c>
      <c r="G106" s="1544">
        <v>27172934.927999999</v>
      </c>
      <c r="H106" s="1542">
        <v>2021</v>
      </c>
      <c r="I106" s="835"/>
    </row>
    <row r="107" spans="1:69">
      <c r="A107" s="723" t="s">
        <v>161</v>
      </c>
      <c r="B107" s="1545">
        <v>1199990300</v>
      </c>
      <c r="C107" s="1545">
        <v>1071543550</v>
      </c>
      <c r="D107" s="1545">
        <v>1491350200</v>
      </c>
      <c r="E107" s="1546">
        <f t="shared" si="6"/>
        <v>2691340500</v>
      </c>
      <c r="F107" s="1546">
        <f t="shared" si="7"/>
        <v>2562893750</v>
      </c>
      <c r="G107" s="1545">
        <v>19477992.5</v>
      </c>
      <c r="H107" s="1542">
        <v>2021</v>
      </c>
      <c r="I107" s="835"/>
    </row>
    <row r="108" spans="1:69">
      <c r="A108" s="723" t="s">
        <v>163</v>
      </c>
      <c r="B108" s="1545">
        <v>485459673</v>
      </c>
      <c r="C108" s="1545">
        <v>482299939</v>
      </c>
      <c r="D108" s="1545">
        <v>1376307900</v>
      </c>
      <c r="E108" s="1546">
        <f t="shared" si="6"/>
        <v>1861767573</v>
      </c>
      <c r="F108" s="1546">
        <f t="shared" si="7"/>
        <v>1858607839</v>
      </c>
      <c r="G108" s="1545">
        <v>12824394.0891</v>
      </c>
      <c r="H108" s="1542">
        <v>2021</v>
      </c>
      <c r="I108" s="835"/>
    </row>
    <row r="109" spans="1:69">
      <c r="A109" s="723" t="s">
        <v>165</v>
      </c>
      <c r="B109" s="1545">
        <v>1058204100</v>
      </c>
      <c r="C109" s="1545">
        <v>796720817</v>
      </c>
      <c r="D109" s="1545">
        <v>1564220000</v>
      </c>
      <c r="E109" s="1546">
        <f t="shared" si="6"/>
        <v>2622424100</v>
      </c>
      <c r="F109" s="1546">
        <f t="shared" si="7"/>
        <v>2360940817</v>
      </c>
      <c r="G109" s="1545">
        <v>12787816.771800002</v>
      </c>
      <c r="H109" s="1542">
        <v>2021</v>
      </c>
      <c r="I109" s="835"/>
    </row>
    <row r="110" spans="1:69">
      <c r="A110" s="723" t="s">
        <v>167</v>
      </c>
      <c r="B110" s="1545">
        <v>3638597293</v>
      </c>
      <c r="C110" s="1545">
        <v>3632371793</v>
      </c>
      <c r="D110" s="1545">
        <v>6060443100</v>
      </c>
      <c r="E110" s="1546">
        <f t="shared" si="6"/>
        <v>9699040393</v>
      </c>
      <c r="F110" s="1546">
        <f t="shared" si="7"/>
        <v>9692814893</v>
      </c>
      <c r="G110" s="1545">
        <v>77057878.399350002</v>
      </c>
      <c r="H110" s="1542">
        <v>2021</v>
      </c>
      <c r="I110" s="835"/>
    </row>
    <row r="111" spans="1:69" ht="6" customHeight="1">
      <c r="C111" s="1548"/>
      <c r="D111" s="1548"/>
    </row>
    <row r="112" spans="1:69" s="736" customFormat="1" ht="12.75" customHeight="1">
      <c r="A112" s="907" t="s">
        <v>22</v>
      </c>
      <c r="B112" s="1573">
        <f t="shared" ref="B112:G112" si="8">SUM(B6:B110)</f>
        <v>345442194608</v>
      </c>
      <c r="C112" s="1573">
        <f t="shared" si="8"/>
        <v>319536183794.32001</v>
      </c>
      <c r="D112" s="1573">
        <f t="shared" si="8"/>
        <v>645107631782</v>
      </c>
      <c r="E112" s="1573">
        <f t="shared" si="8"/>
        <v>990549826390</v>
      </c>
      <c r="F112" s="1573">
        <f t="shared" si="8"/>
        <v>964643815576.31995</v>
      </c>
      <c r="G112" s="1573">
        <f t="shared" si="8"/>
        <v>9073071569.1376572</v>
      </c>
      <c r="H112" s="1549"/>
      <c r="I112" s="836"/>
      <c r="J112" s="737"/>
      <c r="K112" s="737"/>
      <c r="L112" s="737"/>
      <c r="M112" s="737"/>
      <c r="N112" s="737"/>
      <c r="O112" s="737"/>
      <c r="P112" s="737"/>
      <c r="Q112" s="737"/>
      <c r="R112" s="737"/>
      <c r="S112" s="737"/>
      <c r="T112" s="737"/>
      <c r="U112" s="737"/>
      <c r="V112" s="737"/>
      <c r="W112" s="737"/>
      <c r="X112" s="737"/>
      <c r="Y112" s="737"/>
      <c r="Z112" s="737"/>
      <c r="AA112" s="737"/>
      <c r="AB112" s="737"/>
      <c r="AC112" s="737"/>
      <c r="AD112" s="737"/>
      <c r="AE112" s="737"/>
      <c r="AF112" s="737"/>
      <c r="AG112" s="737"/>
      <c r="AH112" s="737"/>
      <c r="AI112" s="737"/>
      <c r="AJ112" s="737"/>
      <c r="AK112" s="737"/>
      <c r="AL112" s="737"/>
      <c r="AM112" s="737"/>
      <c r="AN112" s="737"/>
      <c r="AO112" s="737"/>
      <c r="AP112" s="737"/>
      <c r="AQ112" s="737"/>
      <c r="AR112" s="737"/>
      <c r="AS112" s="737"/>
      <c r="AT112" s="737"/>
      <c r="AU112" s="737"/>
      <c r="AV112" s="737"/>
      <c r="AW112" s="737"/>
      <c r="AX112" s="737"/>
      <c r="AY112" s="737"/>
      <c r="AZ112" s="737"/>
      <c r="BA112" s="737"/>
      <c r="BB112" s="737"/>
      <c r="BC112" s="737"/>
      <c r="BD112" s="737"/>
      <c r="BE112" s="737"/>
      <c r="BF112" s="737"/>
      <c r="BG112" s="737"/>
      <c r="BH112" s="737"/>
      <c r="BI112" s="737"/>
      <c r="BJ112" s="737"/>
      <c r="BK112" s="737"/>
      <c r="BL112" s="737"/>
      <c r="BM112" s="737"/>
      <c r="BN112" s="737"/>
      <c r="BO112" s="737"/>
      <c r="BP112" s="737"/>
      <c r="BQ112" s="737"/>
    </row>
    <row r="113" spans="1:69" ht="15" customHeight="1">
      <c r="A113" s="908" t="s">
        <v>833</v>
      </c>
    </row>
    <row r="114" spans="1:69" ht="12.65" customHeight="1">
      <c r="A114" s="938" t="str">
        <f>A2</f>
        <v>Real Estate Fair Market Value (FMV), Fair Market Value (Taxable), and Local Levy by Locality - Tax Year 2021</v>
      </c>
    </row>
    <row r="115" spans="1:69" ht="4" customHeight="1">
      <c r="B115" s="1544"/>
      <c r="C115" s="1544"/>
      <c r="D115" s="1544"/>
      <c r="E115" s="1544"/>
      <c r="F115" s="1544"/>
      <c r="G115" s="1544"/>
    </row>
    <row r="116" spans="1:69" ht="4" customHeight="1" thickBot="1">
      <c r="B116" s="1544"/>
      <c r="C116" s="1544"/>
      <c r="D116" s="1544"/>
      <c r="E116" s="1544"/>
      <c r="F116" s="1544"/>
      <c r="G116" s="1544"/>
    </row>
    <row r="117" spans="1:69" s="738" customFormat="1" ht="23.15" customHeight="1">
      <c r="A117" s="1400" t="s">
        <v>23</v>
      </c>
      <c r="B117" s="1660" t="s">
        <v>825</v>
      </c>
      <c r="C117" s="1659" t="s">
        <v>826</v>
      </c>
      <c r="D117" s="1659" t="s">
        <v>827</v>
      </c>
      <c r="E117" s="1660" t="s">
        <v>828</v>
      </c>
      <c r="F117" s="1659" t="s">
        <v>829</v>
      </c>
      <c r="G117" s="1660" t="s">
        <v>830</v>
      </c>
      <c r="H117" s="1588" t="s">
        <v>831</v>
      </c>
      <c r="I117" s="791"/>
      <c r="J117" s="739"/>
      <c r="K117" s="739"/>
      <c r="L117" s="739"/>
      <c r="M117" s="739"/>
      <c r="N117" s="739"/>
      <c r="O117" s="739"/>
      <c r="P117" s="739"/>
      <c r="Q117" s="739"/>
      <c r="R117" s="739"/>
      <c r="S117" s="739"/>
      <c r="T117" s="739"/>
      <c r="U117" s="739"/>
      <c r="V117" s="739"/>
      <c r="W117" s="739"/>
      <c r="X117" s="739"/>
      <c r="Y117" s="739"/>
      <c r="Z117" s="739"/>
      <c r="AA117" s="739"/>
      <c r="AB117" s="739"/>
      <c r="AC117" s="739"/>
      <c r="AD117" s="739"/>
      <c r="AE117" s="739"/>
      <c r="AF117" s="739"/>
      <c r="AG117" s="739"/>
      <c r="AH117" s="739"/>
      <c r="AI117" s="739"/>
      <c r="AJ117" s="739"/>
      <c r="AK117" s="739"/>
      <c r="AL117" s="739"/>
      <c r="AM117" s="739"/>
      <c r="AN117" s="739"/>
      <c r="AO117" s="739"/>
      <c r="AP117" s="739"/>
      <c r="AQ117" s="739"/>
      <c r="AR117" s="739"/>
      <c r="AS117" s="739"/>
      <c r="AT117" s="739"/>
      <c r="AU117" s="739"/>
      <c r="AV117" s="739"/>
      <c r="AW117" s="739"/>
      <c r="AX117" s="739"/>
      <c r="AY117" s="739"/>
      <c r="AZ117" s="739"/>
      <c r="BA117" s="739"/>
      <c r="BB117" s="739"/>
      <c r="BC117" s="739"/>
      <c r="BD117" s="739"/>
      <c r="BE117" s="739"/>
      <c r="BF117" s="739"/>
      <c r="BG117" s="739"/>
      <c r="BH117" s="739"/>
      <c r="BI117" s="739"/>
      <c r="BJ117" s="739"/>
      <c r="BK117" s="739"/>
      <c r="BL117" s="739"/>
      <c r="BM117" s="739"/>
      <c r="BN117" s="739"/>
      <c r="BO117" s="739"/>
      <c r="BP117" s="739"/>
      <c r="BQ117" s="739"/>
    </row>
    <row r="118" spans="1:69" ht="18" customHeight="1">
      <c r="A118" s="723" t="s">
        <v>172</v>
      </c>
      <c r="B118" s="1544">
        <v>18075315279</v>
      </c>
      <c r="C118" s="1544">
        <v>18075315279</v>
      </c>
      <c r="D118" s="1544">
        <v>24740158065</v>
      </c>
      <c r="E118" s="1562">
        <f t="shared" ref="E118:E137" si="9">IF(SUM(B118,D118)=0,"",SUM(B118,D118))</f>
        <v>42815473344</v>
      </c>
      <c r="F118" s="1562">
        <f t="shared" ref="F118:F137" si="10">IF(SUM(C118:D118)=0,"",SUM(C118:D118))</f>
        <v>42815473344</v>
      </c>
      <c r="G118" s="1544">
        <v>475251754.11840004</v>
      </c>
      <c r="H118" s="1542">
        <v>2021</v>
      </c>
      <c r="I118" s="835"/>
    </row>
    <row r="119" spans="1:69" ht="11.9" customHeight="1">
      <c r="A119" s="723" t="s">
        <v>174</v>
      </c>
      <c r="B119" s="1545">
        <v>305664054</v>
      </c>
      <c r="C119" s="1545">
        <v>305664054</v>
      </c>
      <c r="D119" s="1545">
        <v>1002970507</v>
      </c>
      <c r="E119" s="1546">
        <f t="shared" si="9"/>
        <v>1308634561</v>
      </c>
      <c r="F119" s="1546">
        <f t="shared" si="10"/>
        <v>1308634561</v>
      </c>
      <c r="G119" s="1545">
        <v>14656707.0832</v>
      </c>
      <c r="H119" s="1542">
        <v>2021</v>
      </c>
      <c r="I119" s="835"/>
    </row>
    <row r="120" spans="1:69" ht="11.9" customHeight="1">
      <c r="A120" s="723" t="s">
        <v>176</v>
      </c>
      <c r="B120" s="1545">
        <v>71169800</v>
      </c>
      <c r="C120" s="1545">
        <v>70990900</v>
      </c>
      <c r="D120" s="1545">
        <v>269554200</v>
      </c>
      <c r="E120" s="1546">
        <f t="shared" si="9"/>
        <v>340724000</v>
      </c>
      <c r="F120" s="1546">
        <f t="shared" si="10"/>
        <v>340545100</v>
      </c>
      <c r="G120" s="1545">
        <v>4324848.54</v>
      </c>
      <c r="H120" s="1542">
        <v>2021</v>
      </c>
      <c r="I120" s="835"/>
    </row>
    <row r="121" spans="1:69" ht="11.9" customHeight="1">
      <c r="A121" s="723" t="s">
        <v>178</v>
      </c>
      <c r="B121" s="1545">
        <v>2648111900</v>
      </c>
      <c r="C121" s="1545">
        <v>2648111900</v>
      </c>
      <c r="D121" s="1545">
        <v>5769148700</v>
      </c>
      <c r="E121" s="1546">
        <f t="shared" si="9"/>
        <v>8417260600</v>
      </c>
      <c r="F121" s="1546">
        <f t="shared" si="10"/>
        <v>8417260600</v>
      </c>
      <c r="G121" s="1545">
        <v>79963975.700000003</v>
      </c>
      <c r="H121" s="1542">
        <v>2021</v>
      </c>
      <c r="I121" s="835"/>
    </row>
    <row r="122" spans="1:69" ht="11.9" customHeight="1">
      <c r="A122" s="723" t="s">
        <v>1306</v>
      </c>
      <c r="B122" s="1545">
        <v>10084192100</v>
      </c>
      <c r="C122" s="1545">
        <v>9844400200</v>
      </c>
      <c r="D122" s="1545">
        <v>19157397700</v>
      </c>
      <c r="E122" s="1546">
        <f t="shared" si="9"/>
        <v>29241589800</v>
      </c>
      <c r="F122" s="1546">
        <f t="shared" si="10"/>
        <v>29001797900</v>
      </c>
      <c r="G122" s="1545">
        <v>304518877.94999999</v>
      </c>
      <c r="H122" s="1542">
        <v>2021</v>
      </c>
      <c r="I122" s="835"/>
    </row>
    <row r="123" spans="1:69" ht="18" customHeight="1">
      <c r="A123" s="723" t="s">
        <v>125</v>
      </c>
      <c r="B123" s="1545">
        <v>585133100</v>
      </c>
      <c r="C123" s="1545">
        <v>585133100</v>
      </c>
      <c r="D123" s="1545">
        <v>1180560520</v>
      </c>
      <c r="E123" s="1546">
        <f t="shared" si="9"/>
        <v>1765693620</v>
      </c>
      <c r="F123" s="1546">
        <f t="shared" si="10"/>
        <v>1765693620</v>
      </c>
      <c r="G123" s="1545">
        <v>21188323.439999998</v>
      </c>
      <c r="H123" s="1542">
        <v>2021</v>
      </c>
      <c r="I123" s="835"/>
    </row>
    <row r="124" spans="1:69" ht="11.9" customHeight="1">
      <c r="A124" s="723" t="s">
        <v>127</v>
      </c>
      <c r="B124" s="1545">
        <v>57206700</v>
      </c>
      <c r="C124" s="1545">
        <v>57206700</v>
      </c>
      <c r="D124" s="1545">
        <v>242776300</v>
      </c>
      <c r="E124" s="1546">
        <f t="shared" si="9"/>
        <v>299983000</v>
      </c>
      <c r="F124" s="1546">
        <f t="shared" si="10"/>
        <v>299983000</v>
      </c>
      <c r="G124" s="1545">
        <v>2399864</v>
      </c>
      <c r="H124" s="1542">
        <v>2021</v>
      </c>
      <c r="I124" s="835"/>
    </row>
    <row r="125" spans="1:69" ht="11.9" customHeight="1">
      <c r="A125" s="723" t="s">
        <v>129</v>
      </c>
      <c r="B125" s="1545">
        <v>314530000</v>
      </c>
      <c r="C125" s="1545">
        <v>313295300</v>
      </c>
      <c r="D125" s="1545">
        <v>2006473800</v>
      </c>
      <c r="E125" s="1546">
        <f t="shared" si="9"/>
        <v>2321003800</v>
      </c>
      <c r="F125" s="1546">
        <f t="shared" si="10"/>
        <v>2319769100</v>
      </c>
      <c r="G125" s="1545">
        <v>19486060.439999998</v>
      </c>
      <c r="H125" s="1542">
        <v>2021</v>
      </c>
      <c r="I125" s="835"/>
    </row>
    <row r="126" spans="1:69" ht="11.9" customHeight="1">
      <c r="A126" s="723" t="s">
        <v>131</v>
      </c>
      <c r="B126" s="1545">
        <v>63833900</v>
      </c>
      <c r="C126" s="1545">
        <v>63833900</v>
      </c>
      <c r="D126" s="1545">
        <v>290238600</v>
      </c>
      <c r="E126" s="1546">
        <f t="shared" si="9"/>
        <v>354072500</v>
      </c>
      <c r="F126" s="1546">
        <f t="shared" si="10"/>
        <v>354072500</v>
      </c>
      <c r="G126" s="1545">
        <v>3363688.75</v>
      </c>
      <c r="H126" s="1542">
        <v>2021</v>
      </c>
      <c r="I126" s="835"/>
    </row>
    <row r="127" spans="1:69" ht="11.9" customHeight="1">
      <c r="A127" s="723" t="s">
        <v>908</v>
      </c>
      <c r="B127" s="1545">
        <v>2607412900</v>
      </c>
      <c r="C127" s="1545">
        <v>2607412900</v>
      </c>
      <c r="D127" s="1545">
        <v>4084762800</v>
      </c>
      <c r="E127" s="1546">
        <f t="shared" si="9"/>
        <v>6692175700</v>
      </c>
      <c r="F127" s="1546">
        <f t="shared" si="10"/>
        <v>6692175700</v>
      </c>
      <c r="G127" s="1545">
        <v>71940888.774999991</v>
      </c>
      <c r="H127" s="1542">
        <v>2021</v>
      </c>
      <c r="I127" s="835"/>
    </row>
    <row r="128" spans="1:69" ht="18" customHeight="1">
      <c r="A128" s="723" t="s">
        <v>1307</v>
      </c>
      <c r="B128" s="1545">
        <v>2126996700</v>
      </c>
      <c r="C128" s="1545">
        <v>2126966700</v>
      </c>
      <c r="D128" s="1545">
        <v>2443373700</v>
      </c>
      <c r="E128" s="1546">
        <f t="shared" si="9"/>
        <v>4570370400</v>
      </c>
      <c r="F128" s="1546">
        <f t="shared" si="10"/>
        <v>4570340400</v>
      </c>
      <c r="G128" s="1545">
        <v>60328493.280000001</v>
      </c>
      <c r="H128" s="1542">
        <v>2021</v>
      </c>
      <c r="I128" s="835"/>
    </row>
    <row r="129" spans="1:9" ht="11.9" customHeight="1">
      <c r="A129" s="723" t="s">
        <v>24</v>
      </c>
      <c r="B129" s="1545">
        <v>149974600</v>
      </c>
      <c r="C129" s="1545">
        <v>144672111</v>
      </c>
      <c r="D129" s="1545">
        <v>428323900</v>
      </c>
      <c r="E129" s="1546">
        <f t="shared" si="9"/>
        <v>578298500</v>
      </c>
      <c r="F129" s="1546">
        <f t="shared" si="10"/>
        <v>572996011</v>
      </c>
      <c r="G129" s="1545">
        <v>5952057.7599999998</v>
      </c>
      <c r="H129" s="1542">
        <v>2021</v>
      </c>
      <c r="I129" s="835"/>
    </row>
    <row r="130" spans="1:9" ht="11.9" customHeight="1">
      <c r="A130" s="723" t="s">
        <v>136</v>
      </c>
      <c r="B130" s="1545">
        <v>1568958600</v>
      </c>
      <c r="C130" s="1545">
        <v>1537338900</v>
      </c>
      <c r="D130" s="1545">
        <v>2974942800</v>
      </c>
      <c r="E130" s="1546">
        <f t="shared" si="9"/>
        <v>4543901400</v>
      </c>
      <c r="F130" s="1546">
        <f t="shared" si="10"/>
        <v>4512281700</v>
      </c>
      <c r="G130" s="1545">
        <v>36098253.600000001</v>
      </c>
      <c r="H130" s="1542">
        <v>2021</v>
      </c>
      <c r="I130" s="835"/>
    </row>
    <row r="131" spans="1:9" ht="11.9" customHeight="1">
      <c r="A131" s="723" t="s">
        <v>138</v>
      </c>
      <c r="B131" s="1545">
        <v>91835900</v>
      </c>
      <c r="C131" s="1545">
        <v>91835900</v>
      </c>
      <c r="D131" s="1545">
        <v>382019850</v>
      </c>
      <c r="E131" s="1546">
        <f t="shared" si="9"/>
        <v>473855750</v>
      </c>
      <c r="F131" s="1546">
        <f t="shared" si="10"/>
        <v>473855750</v>
      </c>
      <c r="G131" s="1545">
        <v>4359472.9000000004</v>
      </c>
      <c r="H131" s="1542">
        <v>2021</v>
      </c>
      <c r="I131" s="835"/>
    </row>
    <row r="132" spans="1:9" ht="11.9" customHeight="1">
      <c r="A132" s="723" t="s">
        <v>1308</v>
      </c>
      <c r="B132" s="1545">
        <v>3400854400</v>
      </c>
      <c r="C132" s="1545">
        <v>3385617600</v>
      </c>
      <c r="D132" s="1545">
        <v>8319006500</v>
      </c>
      <c r="E132" s="1546">
        <f t="shared" si="9"/>
        <v>11719860900</v>
      </c>
      <c r="F132" s="1546">
        <f t="shared" si="10"/>
        <v>11704624100</v>
      </c>
      <c r="G132" s="1545">
        <v>145137338.84</v>
      </c>
      <c r="H132" s="1542">
        <v>2021</v>
      </c>
      <c r="I132" s="835"/>
    </row>
    <row r="133" spans="1:9" ht="18" customHeight="1">
      <c r="A133" s="723" t="s">
        <v>1309</v>
      </c>
      <c r="B133" s="1545">
        <v>1390637500</v>
      </c>
      <c r="C133" s="1545">
        <v>1334263400</v>
      </c>
      <c r="D133" s="1545">
        <v>3095378310</v>
      </c>
      <c r="E133" s="1546">
        <f t="shared" si="9"/>
        <v>4486015810</v>
      </c>
      <c r="F133" s="1546">
        <f t="shared" si="10"/>
        <v>4429641710</v>
      </c>
      <c r="G133" s="1545">
        <v>38094918.706</v>
      </c>
      <c r="H133" s="1542">
        <v>2021</v>
      </c>
      <c r="I133" s="835"/>
    </row>
    <row r="134" spans="1:9" ht="11.9" customHeight="1">
      <c r="A134" s="723" t="s">
        <v>144</v>
      </c>
      <c r="B134" s="1545">
        <v>335770799</v>
      </c>
      <c r="C134" s="1545">
        <v>335770799</v>
      </c>
      <c r="D134" s="1545">
        <v>1122775001</v>
      </c>
      <c r="E134" s="1546">
        <f t="shared" si="9"/>
        <v>1458545800</v>
      </c>
      <c r="F134" s="1546">
        <f t="shared" si="10"/>
        <v>1458545800</v>
      </c>
      <c r="G134" s="1545">
        <v>16481567.539999999</v>
      </c>
      <c r="H134" s="1542">
        <v>2021</v>
      </c>
      <c r="I134" s="835"/>
    </row>
    <row r="135" spans="1:9" ht="11.9" customHeight="1">
      <c r="A135" s="723" t="s">
        <v>835</v>
      </c>
      <c r="B135" s="1545">
        <v>172283100</v>
      </c>
      <c r="C135" s="1545">
        <v>172283100</v>
      </c>
      <c r="D135" s="1545">
        <v>410350300</v>
      </c>
      <c r="E135" s="1546">
        <f t="shared" si="9"/>
        <v>582633400</v>
      </c>
      <c r="F135" s="1546">
        <f t="shared" si="10"/>
        <v>582633400</v>
      </c>
      <c r="G135" s="1545">
        <v>6168567.9699999997</v>
      </c>
      <c r="H135" s="1542">
        <v>2021</v>
      </c>
      <c r="I135" s="835"/>
    </row>
    <row r="136" spans="1:9" ht="11.9" customHeight="1">
      <c r="A136" s="725" t="s">
        <v>148</v>
      </c>
      <c r="B136" s="1545">
        <v>1348840900</v>
      </c>
      <c r="C136" s="1545">
        <v>1334425700</v>
      </c>
      <c r="D136" s="1545">
        <v>4847237300</v>
      </c>
      <c r="E136" s="1564">
        <f t="shared" si="9"/>
        <v>6196078200</v>
      </c>
      <c r="F136" s="1564">
        <f t="shared" si="10"/>
        <v>6181663000</v>
      </c>
      <c r="G136" s="1545">
        <v>68616459.300000012</v>
      </c>
      <c r="H136" s="1542">
        <v>2021</v>
      </c>
      <c r="I136" s="835"/>
    </row>
    <row r="137" spans="1:9">
      <c r="A137" s="723" t="s">
        <v>1310</v>
      </c>
      <c r="B137" s="1545">
        <v>1806111060</v>
      </c>
      <c r="C137" s="1545">
        <v>1806111060</v>
      </c>
      <c r="D137" s="1545">
        <v>3596974180</v>
      </c>
      <c r="E137" s="1546">
        <f t="shared" si="9"/>
        <v>5403085240</v>
      </c>
      <c r="F137" s="1546">
        <f t="shared" si="10"/>
        <v>5403085240</v>
      </c>
      <c r="G137" s="1545">
        <v>78885044.503999993</v>
      </c>
      <c r="H137" s="1542">
        <v>2021</v>
      </c>
      <c r="I137" s="835"/>
    </row>
    <row r="138" spans="1:9" ht="18" customHeight="1">
      <c r="A138" s="723" t="s">
        <v>1311</v>
      </c>
      <c r="B138" s="1544">
        <v>592948000</v>
      </c>
      <c r="C138" s="1544">
        <v>592948000</v>
      </c>
      <c r="D138" s="1544">
        <v>1316513300</v>
      </c>
      <c r="E138" s="1562">
        <f t="shared" ref="E138:E155" si="11">IF(SUM(B138,D138)=0,"",SUM(B138,D138))</f>
        <v>1909461300</v>
      </c>
      <c r="F138" s="1562">
        <f t="shared" ref="F138:F155" si="12">IF(SUM(C138:D138)=0,"",SUM(C138:D138))</f>
        <v>1909461300</v>
      </c>
      <c r="G138" s="1544">
        <v>29214757.890000001</v>
      </c>
      <c r="H138" s="1542">
        <v>2021</v>
      </c>
      <c r="I138" s="835"/>
    </row>
    <row r="139" spans="1:9" ht="11.9" customHeight="1">
      <c r="A139" s="723" t="s">
        <v>1312</v>
      </c>
      <c r="B139" s="1545">
        <v>126299600</v>
      </c>
      <c r="C139" s="1545">
        <v>126299600</v>
      </c>
      <c r="D139" s="1545">
        <v>523522586</v>
      </c>
      <c r="E139" s="1546">
        <f t="shared" si="11"/>
        <v>649822186</v>
      </c>
      <c r="F139" s="1546">
        <f t="shared" si="12"/>
        <v>649822186</v>
      </c>
      <c r="G139" s="1545">
        <v>6756526.1789349997</v>
      </c>
      <c r="H139" s="1542">
        <v>2021</v>
      </c>
      <c r="I139" s="835"/>
    </row>
    <row r="140" spans="1:9" ht="11.9" customHeight="1">
      <c r="A140" s="723" t="s">
        <v>156</v>
      </c>
      <c r="B140" s="1545">
        <v>4774106700</v>
      </c>
      <c r="C140" s="1545">
        <v>4774106700</v>
      </c>
      <c r="D140" s="1545">
        <v>11890405500</v>
      </c>
      <c r="E140" s="1546">
        <f t="shared" si="11"/>
        <v>16664512200</v>
      </c>
      <c r="F140" s="1546">
        <f t="shared" si="12"/>
        <v>16664512200</v>
      </c>
      <c r="G140" s="1545">
        <v>203307048.84</v>
      </c>
      <c r="H140" s="1542">
        <v>2021</v>
      </c>
      <c r="I140" s="835"/>
    </row>
    <row r="141" spans="1:9" ht="11.9" customHeight="1">
      <c r="A141" s="723" t="s">
        <v>158</v>
      </c>
      <c r="B141" s="1545">
        <v>6591775000</v>
      </c>
      <c r="C141" s="1545">
        <v>6591775000</v>
      </c>
      <c r="D141" s="1545">
        <v>15385899100</v>
      </c>
      <c r="E141" s="1546">
        <f t="shared" si="11"/>
        <v>21977674100</v>
      </c>
      <c r="F141" s="1546">
        <f t="shared" si="12"/>
        <v>21977674100</v>
      </c>
      <c r="G141" s="1545">
        <v>274720926.25</v>
      </c>
      <c r="H141" s="1542">
        <v>2021</v>
      </c>
      <c r="I141" s="835"/>
    </row>
    <row r="142" spans="1:9" ht="11.9" customHeight="1">
      <c r="A142" s="723" t="s">
        <v>837</v>
      </c>
      <c r="B142" s="1545">
        <v>56710100</v>
      </c>
      <c r="C142" s="1545">
        <v>56710100</v>
      </c>
      <c r="D142" s="1545">
        <v>170561800</v>
      </c>
      <c r="E142" s="1546">
        <f t="shared" si="11"/>
        <v>227271900</v>
      </c>
      <c r="F142" s="1546">
        <f t="shared" si="12"/>
        <v>227271900</v>
      </c>
      <c r="G142" s="1545">
        <v>2045447.1</v>
      </c>
      <c r="H142" s="1542">
        <v>2021</v>
      </c>
      <c r="I142" s="835"/>
    </row>
    <row r="143" spans="1:9" ht="18" customHeight="1">
      <c r="A143" s="741" t="s">
        <v>1313</v>
      </c>
      <c r="B143" s="1545">
        <v>420336500</v>
      </c>
      <c r="C143" s="1545">
        <v>413050360</v>
      </c>
      <c r="D143" s="1545">
        <v>1581238250</v>
      </c>
      <c r="E143" s="1546">
        <f t="shared" si="11"/>
        <v>2001574750</v>
      </c>
      <c r="F143" s="1546">
        <f t="shared" si="12"/>
        <v>1994288610</v>
      </c>
      <c r="G143" s="1545">
        <v>26922896.235000003</v>
      </c>
      <c r="H143" s="1542">
        <v>2021</v>
      </c>
      <c r="I143" s="835"/>
    </row>
    <row r="144" spans="1:9" ht="11.9" customHeight="1">
      <c r="A144" s="723" t="s">
        <v>1314</v>
      </c>
      <c r="B144" s="1545">
        <v>671044200</v>
      </c>
      <c r="C144" s="1545">
        <v>671044200</v>
      </c>
      <c r="D144" s="1545">
        <v>994288200</v>
      </c>
      <c r="E144" s="1546">
        <f t="shared" si="11"/>
        <v>1665332400</v>
      </c>
      <c r="F144" s="1546">
        <f t="shared" si="12"/>
        <v>1665332400</v>
      </c>
      <c r="G144" s="1545">
        <v>18984789.359999999</v>
      </c>
      <c r="H144" s="1542">
        <v>2021</v>
      </c>
      <c r="I144" s="835"/>
    </row>
    <row r="145" spans="1:69" ht="11.9" customHeight="1">
      <c r="A145" s="723" t="s">
        <v>362</v>
      </c>
      <c r="B145" s="1545">
        <v>2225424340</v>
      </c>
      <c r="C145" s="1545">
        <v>2225424340</v>
      </c>
      <c r="D145" s="1545">
        <v>5683931167</v>
      </c>
      <c r="E145" s="1546">
        <f t="shared" si="11"/>
        <v>7909355507</v>
      </c>
      <c r="F145" s="1546">
        <f t="shared" si="12"/>
        <v>7909355507</v>
      </c>
      <c r="G145" s="1545">
        <v>102821621.59099999</v>
      </c>
      <c r="H145" s="1542">
        <v>2021</v>
      </c>
      <c r="I145" s="835"/>
    </row>
    <row r="146" spans="1:69" ht="11.9" customHeight="1">
      <c r="A146" s="723" t="s">
        <v>168</v>
      </c>
      <c r="B146" s="1545">
        <v>183098200</v>
      </c>
      <c r="C146" s="1545">
        <v>180802450</v>
      </c>
      <c r="D146" s="1545">
        <v>697045500</v>
      </c>
      <c r="E146" s="1546">
        <f t="shared" si="11"/>
        <v>880143700</v>
      </c>
      <c r="F146" s="1546">
        <f t="shared" si="12"/>
        <v>877847950</v>
      </c>
      <c r="G146" s="1545">
        <v>7373922.7799999993</v>
      </c>
      <c r="H146" s="1542">
        <v>2021</v>
      </c>
      <c r="I146" s="835"/>
    </row>
    <row r="147" spans="1:69" ht="11.9" customHeight="1">
      <c r="A147" s="723" t="s">
        <v>370</v>
      </c>
      <c r="B147" s="1545">
        <v>7244558000</v>
      </c>
      <c r="C147" s="1545">
        <v>7244558000</v>
      </c>
      <c r="D147" s="1545">
        <v>20772940000</v>
      </c>
      <c r="E147" s="1546">
        <f t="shared" si="11"/>
        <v>28017498000</v>
      </c>
      <c r="F147" s="1546">
        <f t="shared" si="12"/>
        <v>28017498000</v>
      </c>
      <c r="G147" s="1545">
        <v>336209976</v>
      </c>
      <c r="H147" s="1542">
        <v>2021</v>
      </c>
      <c r="I147" s="835"/>
    </row>
    <row r="148" spans="1:69" ht="18" customHeight="1">
      <c r="A148" s="723" t="s">
        <v>1315</v>
      </c>
      <c r="B148" s="1545">
        <v>1797549000</v>
      </c>
      <c r="C148" s="1545">
        <v>1797549000</v>
      </c>
      <c r="D148" s="1545">
        <v>7014609000</v>
      </c>
      <c r="E148" s="1546">
        <f t="shared" si="11"/>
        <v>8812158000</v>
      </c>
      <c r="F148" s="1546">
        <f t="shared" si="12"/>
        <v>8812158000</v>
      </c>
      <c r="G148" s="1545">
        <v>107508327.59999999</v>
      </c>
      <c r="H148" s="1542">
        <v>2021</v>
      </c>
      <c r="I148" s="835"/>
    </row>
    <row r="149" spans="1:69" ht="11.9" customHeight="1">
      <c r="A149" s="723" t="s">
        <v>1316</v>
      </c>
      <c r="B149" s="1545">
        <v>542571000</v>
      </c>
      <c r="C149" s="1545">
        <v>542571000</v>
      </c>
      <c r="D149" s="1545">
        <v>1814710500</v>
      </c>
      <c r="E149" s="1546">
        <f t="shared" si="11"/>
        <v>2357281500</v>
      </c>
      <c r="F149" s="1546">
        <f t="shared" si="12"/>
        <v>2357281500</v>
      </c>
      <c r="G149" s="1545">
        <v>28287378</v>
      </c>
      <c r="H149" s="1542">
        <v>2021</v>
      </c>
      <c r="I149" s="835"/>
    </row>
    <row r="150" spans="1:69" ht="11.9" customHeight="1">
      <c r="A150" s="723" t="s">
        <v>170</v>
      </c>
      <c r="B150" s="1545">
        <v>468263164</v>
      </c>
      <c r="C150" s="1545">
        <v>450525194</v>
      </c>
      <c r="D150" s="1545">
        <v>1807099480</v>
      </c>
      <c r="E150" s="1546">
        <f t="shared" si="11"/>
        <v>2275362644</v>
      </c>
      <c r="F150" s="1546">
        <f t="shared" si="12"/>
        <v>2257624674</v>
      </c>
      <c r="G150" s="1545">
        <v>20770147.000799999</v>
      </c>
      <c r="H150" s="1542">
        <v>2021</v>
      </c>
      <c r="I150" s="835"/>
    </row>
    <row r="151" spans="1:69" ht="11.9" customHeight="1">
      <c r="A151" s="723" t="s">
        <v>1317</v>
      </c>
      <c r="B151" s="1545">
        <v>3570450300</v>
      </c>
      <c r="C151" s="1545">
        <v>3108287400</v>
      </c>
      <c r="D151" s="1545">
        <v>7453892000</v>
      </c>
      <c r="E151" s="1546">
        <f t="shared" si="11"/>
        <v>11024342300</v>
      </c>
      <c r="F151" s="1546">
        <f t="shared" si="12"/>
        <v>10562179400</v>
      </c>
      <c r="G151" s="1545">
        <v>117240191.34</v>
      </c>
      <c r="H151" s="1542">
        <v>2021</v>
      </c>
      <c r="I151" s="835"/>
    </row>
    <row r="152" spans="1:69" ht="11.9" customHeight="1">
      <c r="A152" s="723" t="s">
        <v>602</v>
      </c>
      <c r="B152" s="1545">
        <v>25136466000</v>
      </c>
      <c r="C152" s="1545">
        <v>24866991000</v>
      </c>
      <c r="D152" s="1545">
        <v>36521895500</v>
      </c>
      <c r="E152" s="1546">
        <f t="shared" si="11"/>
        <v>61658361500</v>
      </c>
      <c r="F152" s="1546">
        <f t="shared" si="12"/>
        <v>61388886500</v>
      </c>
      <c r="G152" s="1545">
        <v>627856639.11000001</v>
      </c>
      <c r="H152" s="1542">
        <v>2021</v>
      </c>
      <c r="I152" s="835"/>
    </row>
    <row r="153" spans="1:69" ht="18" customHeight="1">
      <c r="A153" s="723" t="s">
        <v>173</v>
      </c>
      <c r="B153" s="1545">
        <v>622960100</v>
      </c>
      <c r="C153" s="1545">
        <v>612499100</v>
      </c>
      <c r="D153" s="1545">
        <v>1540256500</v>
      </c>
      <c r="E153" s="1546">
        <f t="shared" si="11"/>
        <v>2163216600</v>
      </c>
      <c r="F153" s="1546">
        <f t="shared" si="12"/>
        <v>2152755600</v>
      </c>
      <c r="G153" s="1545">
        <v>19374800.400000002</v>
      </c>
      <c r="H153" s="1542">
        <v>2021</v>
      </c>
      <c r="I153" s="835"/>
    </row>
    <row r="154" spans="1:69" ht="11.9" customHeight="1">
      <c r="A154" s="723" t="s">
        <v>838</v>
      </c>
      <c r="B154" s="1545">
        <v>686172200</v>
      </c>
      <c r="C154" s="1545">
        <v>686172200</v>
      </c>
      <c r="D154" s="1545">
        <v>1371249300</v>
      </c>
      <c r="E154" s="1546">
        <f t="shared" si="11"/>
        <v>2057421500</v>
      </c>
      <c r="F154" s="1546">
        <f t="shared" si="12"/>
        <v>2057421500</v>
      </c>
      <c r="G154" s="1545">
        <v>12344529</v>
      </c>
      <c r="H154" s="1542">
        <v>2021</v>
      </c>
      <c r="I154" s="835"/>
    </row>
    <row r="155" spans="1:69" ht="11.9" customHeight="1">
      <c r="A155" s="723" t="s">
        <v>177</v>
      </c>
      <c r="B155" s="1545">
        <v>1036206601</v>
      </c>
      <c r="C155" s="1545">
        <v>1034506773</v>
      </c>
      <c r="D155" s="1545">
        <v>2293959188</v>
      </c>
      <c r="E155" s="1546">
        <f t="shared" si="11"/>
        <v>3330165789</v>
      </c>
      <c r="F155" s="1546">
        <f t="shared" si="12"/>
        <v>3328465961</v>
      </c>
      <c r="G155" s="1545">
        <v>30954733.4373</v>
      </c>
      <c r="H155" s="1542">
        <v>2021</v>
      </c>
      <c r="I155" s="835"/>
    </row>
    <row r="156" spans="1:69" ht="5.15" customHeight="1">
      <c r="I156" s="835"/>
    </row>
    <row r="157" spans="1:69" s="736" customFormat="1" ht="12.65" customHeight="1">
      <c r="A157" s="905" t="s">
        <v>27</v>
      </c>
      <c r="B157" s="1572">
        <f t="shared" ref="B157:G157" si="13">SUM(B118:B137,B138:B155)</f>
        <v>103951772297</v>
      </c>
      <c r="C157" s="1572">
        <f t="shared" si="13"/>
        <v>102816469920</v>
      </c>
      <c r="D157" s="1572">
        <f t="shared" si="13"/>
        <v>205198439904</v>
      </c>
      <c r="E157" s="1572">
        <f t="shared" si="13"/>
        <v>309150212201</v>
      </c>
      <c r="F157" s="1572">
        <f t="shared" si="13"/>
        <v>308014909824</v>
      </c>
      <c r="G157" s="1572">
        <f t="shared" si="13"/>
        <v>3429911821.3096356</v>
      </c>
      <c r="H157" s="1549"/>
      <c r="I157" s="836"/>
      <c r="J157" s="737"/>
      <c r="K157" s="737"/>
      <c r="L157" s="737"/>
      <c r="M157" s="737"/>
      <c r="N157" s="737"/>
      <c r="O157" s="737"/>
      <c r="P157" s="737"/>
      <c r="Q157" s="737"/>
      <c r="R157" s="737"/>
      <c r="S157" s="737"/>
      <c r="T157" s="737"/>
      <c r="U157" s="737"/>
      <c r="V157" s="737"/>
      <c r="W157" s="737"/>
      <c r="X157" s="737"/>
      <c r="Y157" s="737"/>
      <c r="Z157" s="737"/>
      <c r="AA157" s="737"/>
      <c r="AB157" s="737"/>
      <c r="AC157" s="737"/>
      <c r="AD157" s="737"/>
      <c r="AE157" s="737"/>
      <c r="AF157" s="737"/>
      <c r="AG157" s="737"/>
      <c r="AH157" s="737"/>
      <c r="AI157" s="737"/>
      <c r="AJ157" s="737"/>
      <c r="AK157" s="737"/>
      <c r="AL157" s="737"/>
      <c r="AM157" s="737"/>
      <c r="AN157" s="737"/>
      <c r="AO157" s="737"/>
      <c r="AP157" s="737"/>
      <c r="AQ157" s="737"/>
      <c r="AR157" s="737"/>
      <c r="AS157" s="737"/>
      <c r="AT157" s="737"/>
      <c r="AU157" s="737"/>
      <c r="AV157" s="737"/>
      <c r="AW157" s="737"/>
      <c r="AX157" s="737"/>
      <c r="AY157" s="737"/>
      <c r="AZ157" s="737"/>
      <c r="BA157" s="737"/>
      <c r="BB157" s="737"/>
      <c r="BC157" s="737"/>
      <c r="BD157" s="737"/>
      <c r="BE157" s="737"/>
      <c r="BF157" s="737"/>
      <c r="BG157" s="737"/>
      <c r="BH157" s="737"/>
      <c r="BI157" s="737"/>
      <c r="BJ157" s="737"/>
      <c r="BK157" s="737"/>
      <c r="BL157" s="737"/>
      <c r="BM157" s="737"/>
      <c r="BN157" s="737"/>
      <c r="BO157" s="737"/>
      <c r="BP157" s="737"/>
      <c r="BQ157" s="737"/>
    </row>
    <row r="158" spans="1:69" s="736" customFormat="1" ht="12.65" customHeight="1">
      <c r="A158" s="905" t="s">
        <v>22</v>
      </c>
      <c r="B158" s="1572">
        <f t="shared" ref="B158:G158" si="14">B112</f>
        <v>345442194608</v>
      </c>
      <c r="C158" s="1572">
        <f t="shared" si="14"/>
        <v>319536183794.32001</v>
      </c>
      <c r="D158" s="1572">
        <f t="shared" si="14"/>
        <v>645107631782</v>
      </c>
      <c r="E158" s="1572">
        <f t="shared" si="14"/>
        <v>990549826390</v>
      </c>
      <c r="F158" s="1572">
        <f t="shared" si="14"/>
        <v>964643815576.31995</v>
      </c>
      <c r="G158" s="1572">
        <f t="shared" si="14"/>
        <v>9073071569.1376572</v>
      </c>
      <c r="H158" s="1549"/>
      <c r="I158" s="836"/>
      <c r="J158" s="737"/>
      <c r="K158" s="737"/>
      <c r="L158" s="737"/>
      <c r="M158" s="737"/>
      <c r="N158" s="737"/>
      <c r="O158" s="737"/>
      <c r="P158" s="737"/>
      <c r="Q158" s="737"/>
      <c r="R158" s="737"/>
      <c r="S158" s="737"/>
      <c r="T158" s="737"/>
      <c r="U158" s="737"/>
      <c r="V158" s="737"/>
      <c r="W158" s="737"/>
      <c r="X158" s="737"/>
      <c r="Y158" s="737"/>
      <c r="Z158" s="737"/>
      <c r="AA158" s="737"/>
      <c r="AB158" s="737"/>
      <c r="AC158" s="737"/>
      <c r="AD158" s="737"/>
      <c r="AE158" s="737"/>
      <c r="AF158" s="737"/>
      <c r="AG158" s="737"/>
      <c r="AH158" s="737"/>
      <c r="AI158" s="737"/>
      <c r="AJ158" s="737"/>
      <c r="AK158" s="737"/>
      <c r="AL158" s="737"/>
      <c r="AM158" s="737"/>
      <c r="AN158" s="737"/>
      <c r="AO158" s="737"/>
      <c r="AP158" s="737"/>
      <c r="AQ158" s="737"/>
      <c r="AR158" s="737"/>
      <c r="AS158" s="737"/>
      <c r="AT158" s="737"/>
      <c r="AU158" s="737"/>
      <c r="AV158" s="737"/>
      <c r="AW158" s="737"/>
      <c r="AX158" s="737"/>
      <c r="AY158" s="737"/>
      <c r="AZ158" s="737"/>
      <c r="BA158" s="737"/>
      <c r="BB158" s="737"/>
      <c r="BC158" s="737"/>
      <c r="BD158" s="737"/>
      <c r="BE158" s="737"/>
      <c r="BF158" s="737"/>
      <c r="BG158" s="737"/>
      <c r="BH158" s="737"/>
      <c r="BI158" s="737"/>
      <c r="BJ158" s="737"/>
      <c r="BK158" s="737"/>
      <c r="BL158" s="737"/>
      <c r="BM158" s="737"/>
      <c r="BN158" s="737"/>
      <c r="BO158" s="737"/>
      <c r="BP158" s="737"/>
      <c r="BQ158" s="737"/>
    </row>
    <row r="159" spans="1:69" ht="6" customHeight="1">
      <c r="A159" s="906"/>
      <c r="B159" s="1572"/>
      <c r="C159" s="1572"/>
      <c r="D159" s="1572"/>
      <c r="E159" s="1572"/>
      <c r="F159" s="1572"/>
      <c r="G159" s="1572"/>
      <c r="H159" s="1552"/>
    </row>
    <row r="160" spans="1:69" s="736" customFormat="1" ht="12.65" customHeight="1">
      <c r="A160" s="905" t="s">
        <v>28</v>
      </c>
      <c r="B160" s="1572">
        <f t="shared" ref="B160:G160" si="15">B157+B158</f>
        <v>449393966905</v>
      </c>
      <c r="C160" s="1572">
        <f t="shared" si="15"/>
        <v>422352653714.32001</v>
      </c>
      <c r="D160" s="1572">
        <f>D157+D158</f>
        <v>850306071686</v>
      </c>
      <c r="E160" s="1572">
        <f t="shared" si="15"/>
        <v>1299700038591</v>
      </c>
      <c r="F160" s="1572">
        <f t="shared" si="15"/>
        <v>1272658725400.3198</v>
      </c>
      <c r="G160" s="1572">
        <f t="shared" si="15"/>
        <v>12502983390.447292</v>
      </c>
      <c r="H160" s="1549"/>
      <c r="I160" s="836"/>
      <c r="J160" s="737"/>
      <c r="K160" s="737"/>
      <c r="L160" s="737"/>
      <c r="M160" s="737"/>
      <c r="N160" s="737"/>
      <c r="O160" s="737"/>
      <c r="P160" s="737"/>
      <c r="Q160" s="737"/>
      <c r="R160" s="737"/>
      <c r="S160" s="737"/>
      <c r="T160" s="737"/>
      <c r="U160" s="737"/>
      <c r="V160" s="737"/>
      <c r="W160" s="737"/>
      <c r="X160" s="737"/>
      <c r="Y160" s="737"/>
      <c r="Z160" s="737"/>
      <c r="AA160" s="737"/>
      <c r="AB160" s="737"/>
      <c r="AC160" s="737"/>
      <c r="AD160" s="737"/>
      <c r="AE160" s="737"/>
      <c r="AF160" s="737"/>
      <c r="AG160" s="737"/>
      <c r="AH160" s="737"/>
      <c r="AI160" s="737"/>
      <c r="AJ160" s="737"/>
      <c r="AK160" s="737"/>
      <c r="AL160" s="737"/>
      <c r="AM160" s="737"/>
      <c r="AN160" s="737"/>
      <c r="AO160" s="737"/>
      <c r="AP160" s="737"/>
      <c r="AQ160" s="737"/>
      <c r="AR160" s="737"/>
      <c r="AS160" s="737"/>
      <c r="AT160" s="737"/>
      <c r="AU160" s="737"/>
      <c r="AV160" s="737"/>
      <c r="AW160" s="737"/>
      <c r="AX160" s="737"/>
      <c r="AY160" s="737"/>
      <c r="AZ160" s="737"/>
      <c r="BA160" s="737"/>
      <c r="BB160" s="737"/>
      <c r="BC160" s="737"/>
      <c r="BD160" s="737"/>
      <c r="BE160" s="737"/>
      <c r="BF160" s="737"/>
      <c r="BG160" s="737"/>
      <c r="BH160" s="737"/>
      <c r="BI160" s="737"/>
      <c r="BJ160" s="737"/>
      <c r="BK160" s="737"/>
      <c r="BL160" s="737"/>
      <c r="BM160" s="737"/>
      <c r="BN160" s="737"/>
      <c r="BO160" s="737"/>
      <c r="BP160" s="737"/>
      <c r="BQ160" s="737"/>
    </row>
    <row r="161" spans="1:69" ht="5.15" customHeight="1">
      <c r="A161" s="741"/>
      <c r="B161" s="1850"/>
      <c r="C161" s="1850"/>
      <c r="D161" s="1850"/>
      <c r="E161" s="1850"/>
      <c r="F161" s="1850"/>
      <c r="G161" s="1850"/>
    </row>
    <row r="162" spans="1:69" s="1181" customFormat="1" ht="10" customHeight="1">
      <c r="A162" s="1402" t="s">
        <v>1</v>
      </c>
      <c r="B162" s="1851"/>
      <c r="C162" s="1851"/>
      <c r="D162" s="1851"/>
      <c r="E162" s="1851"/>
      <c r="F162" s="1851"/>
      <c r="G162" s="1851"/>
      <c r="H162" s="1641"/>
      <c r="I162" s="1182"/>
      <c r="J162" s="1183"/>
      <c r="K162" s="1183"/>
      <c r="L162" s="1183"/>
      <c r="M162" s="1183"/>
      <c r="N162" s="1183"/>
      <c r="O162" s="1183"/>
      <c r="P162" s="1183"/>
      <c r="Q162" s="1183"/>
      <c r="R162" s="1183"/>
      <c r="S162" s="1183"/>
      <c r="T162" s="1183"/>
      <c r="U162" s="1183"/>
      <c r="V162" s="1183"/>
      <c r="W162" s="1183"/>
      <c r="X162" s="1183"/>
      <c r="Y162" s="1183"/>
      <c r="Z162" s="1183"/>
      <c r="AA162" s="1183"/>
      <c r="AB162" s="1183"/>
      <c r="AC162" s="1183"/>
      <c r="AD162" s="1183"/>
      <c r="AE162" s="1183"/>
      <c r="AF162" s="1183"/>
      <c r="AG162" s="1183"/>
      <c r="AH162" s="1183"/>
      <c r="AI162" s="1183"/>
      <c r="AJ162" s="1183"/>
      <c r="AK162" s="1183"/>
      <c r="AL162" s="1183"/>
      <c r="AM162" s="1183"/>
      <c r="AN162" s="1183"/>
      <c r="AO162" s="1183"/>
      <c r="AP162" s="1183"/>
      <c r="AQ162" s="1183"/>
      <c r="AR162" s="1183"/>
      <c r="AS162" s="1183"/>
      <c r="AT162" s="1183"/>
      <c r="AU162" s="1183"/>
      <c r="AV162" s="1183"/>
      <c r="AW162" s="1183"/>
      <c r="AX162" s="1183"/>
      <c r="AY162" s="1183"/>
      <c r="AZ162" s="1183"/>
      <c r="BA162" s="1183"/>
      <c r="BB162" s="1183"/>
      <c r="BC162" s="1183"/>
      <c r="BD162" s="1183"/>
      <c r="BE162" s="1183"/>
      <c r="BF162" s="1183"/>
      <c r="BG162" s="1183"/>
      <c r="BH162" s="1183"/>
      <c r="BI162" s="1183"/>
      <c r="BJ162" s="1183"/>
      <c r="BK162" s="1183"/>
      <c r="BL162" s="1183"/>
      <c r="BM162" s="1183"/>
      <c r="BN162" s="1183"/>
      <c r="BO162" s="1183"/>
      <c r="BP162" s="1183"/>
      <c r="BQ162" s="1183"/>
    </row>
    <row r="163" spans="1:69" s="1181" customFormat="1" ht="10" customHeight="1">
      <c r="A163" s="1401" t="s">
        <v>1016</v>
      </c>
      <c r="B163" s="1640"/>
      <c r="C163" s="1640"/>
      <c r="D163" s="1640"/>
      <c r="E163" s="1640"/>
      <c r="F163" s="1640"/>
      <c r="G163" s="1640"/>
      <c r="H163" s="1640"/>
      <c r="I163" s="1182"/>
      <c r="J163" s="1183"/>
      <c r="K163" s="1183"/>
      <c r="L163" s="1183"/>
      <c r="M163" s="1183"/>
      <c r="N163" s="1183"/>
      <c r="O163" s="1183"/>
      <c r="P163" s="1183"/>
      <c r="Q163" s="1183"/>
      <c r="R163" s="1183"/>
      <c r="S163" s="1183"/>
      <c r="T163" s="1183"/>
      <c r="U163" s="1183"/>
      <c r="V163" s="1183"/>
      <c r="W163" s="1183"/>
      <c r="X163" s="1183"/>
      <c r="Y163" s="1183"/>
      <c r="Z163" s="1183"/>
      <c r="AA163" s="1183"/>
      <c r="AB163" s="1183"/>
      <c r="AC163" s="1183"/>
      <c r="AD163" s="1183"/>
      <c r="AE163" s="1183"/>
      <c r="AF163" s="1183"/>
      <c r="AG163" s="1183"/>
      <c r="AH163" s="1183"/>
      <c r="AI163" s="1183"/>
      <c r="AJ163" s="1183"/>
      <c r="AK163" s="1183"/>
      <c r="AL163" s="1183"/>
      <c r="AM163" s="1183"/>
      <c r="AN163" s="1183"/>
      <c r="AO163" s="1183"/>
      <c r="AP163" s="1183"/>
      <c r="AQ163" s="1183"/>
      <c r="AR163" s="1183"/>
      <c r="AS163" s="1183"/>
      <c r="AT163" s="1183"/>
      <c r="AU163" s="1183"/>
      <c r="AV163" s="1183"/>
      <c r="AW163" s="1183"/>
      <c r="AX163" s="1183"/>
      <c r="AY163" s="1183"/>
      <c r="AZ163" s="1183"/>
      <c r="BA163" s="1183"/>
      <c r="BB163" s="1183"/>
      <c r="BC163" s="1183"/>
      <c r="BD163" s="1183"/>
      <c r="BE163" s="1183"/>
      <c r="BF163" s="1183"/>
      <c r="BG163" s="1183"/>
      <c r="BH163" s="1183"/>
      <c r="BI163" s="1183"/>
      <c r="BJ163" s="1183"/>
      <c r="BK163" s="1183"/>
      <c r="BL163" s="1183"/>
      <c r="BM163" s="1183"/>
      <c r="BN163" s="1183"/>
      <c r="BO163" s="1183"/>
      <c r="BP163" s="1183"/>
      <c r="BQ163" s="1183"/>
    </row>
    <row r="164" spans="1:69" s="1181" customFormat="1" ht="10" customHeight="1">
      <c r="A164" s="1401" t="s">
        <v>840</v>
      </c>
      <c r="B164" s="1640"/>
      <c r="C164" s="1640"/>
      <c r="D164" s="1640"/>
      <c r="E164" s="1640"/>
      <c r="F164" s="1640"/>
      <c r="G164" s="1640"/>
      <c r="H164" s="1640"/>
      <c r="I164" s="1182"/>
      <c r="J164" s="1183"/>
      <c r="K164" s="1183"/>
      <c r="L164" s="1183"/>
      <c r="M164" s="1183"/>
      <c r="N164" s="1183"/>
      <c r="O164" s="1183"/>
      <c r="P164" s="1183"/>
      <c r="Q164" s="1183"/>
      <c r="R164" s="1183"/>
      <c r="S164" s="1183"/>
      <c r="T164" s="1183"/>
      <c r="U164" s="1183"/>
      <c r="V164" s="1183"/>
      <c r="W164" s="1183"/>
      <c r="X164" s="1183"/>
      <c r="Y164" s="1183"/>
      <c r="Z164" s="1183"/>
      <c r="AA164" s="1183"/>
      <c r="AB164" s="1183"/>
      <c r="AC164" s="1183"/>
      <c r="AD164" s="1183"/>
      <c r="AE164" s="1183"/>
      <c r="AF164" s="1183"/>
      <c r="AG164" s="1183"/>
      <c r="AH164" s="1183"/>
      <c r="AI164" s="1183"/>
      <c r="AJ164" s="1183"/>
      <c r="AK164" s="1183"/>
      <c r="AL164" s="1183"/>
      <c r="AM164" s="1183"/>
      <c r="AN164" s="1183"/>
      <c r="AO164" s="1183"/>
      <c r="AP164" s="1183"/>
      <c r="AQ164" s="1183"/>
      <c r="AR164" s="1183"/>
      <c r="AS164" s="1183"/>
      <c r="AT164" s="1183"/>
      <c r="AU164" s="1183"/>
      <c r="AV164" s="1183"/>
      <c r="AW164" s="1183"/>
      <c r="AX164" s="1183"/>
      <c r="AY164" s="1183"/>
      <c r="AZ164" s="1183"/>
      <c r="BA164" s="1183"/>
      <c r="BB164" s="1183"/>
      <c r="BC164" s="1183"/>
      <c r="BD164" s="1183"/>
      <c r="BE164" s="1183"/>
      <c r="BF164" s="1183"/>
      <c r="BG164" s="1183"/>
      <c r="BH164" s="1183"/>
      <c r="BI164" s="1183"/>
      <c r="BJ164" s="1183"/>
      <c r="BK164" s="1183"/>
      <c r="BL164" s="1183"/>
      <c r="BM164" s="1183"/>
      <c r="BN164" s="1183"/>
      <c r="BO164" s="1183"/>
      <c r="BP164" s="1183"/>
      <c r="BQ164" s="1183"/>
    </row>
    <row r="165" spans="1:69" s="1181" customFormat="1" ht="10" customHeight="1">
      <c r="A165" s="1401" t="s">
        <v>979</v>
      </c>
      <c r="B165" s="1640"/>
      <c r="C165" s="1640"/>
      <c r="D165" s="1640"/>
      <c r="E165" s="1640"/>
      <c r="F165" s="1640"/>
      <c r="G165" s="1640"/>
      <c r="H165" s="1640"/>
      <c r="I165" s="1182"/>
      <c r="J165" s="1183"/>
      <c r="K165" s="1183"/>
      <c r="L165" s="1183"/>
      <c r="M165" s="1183"/>
      <c r="N165" s="1183"/>
      <c r="O165" s="1183"/>
      <c r="P165" s="1183"/>
      <c r="Q165" s="1183"/>
      <c r="R165" s="1183"/>
      <c r="S165" s="1183"/>
      <c r="T165" s="1183"/>
      <c r="U165" s="1183"/>
      <c r="V165" s="1183"/>
      <c r="W165" s="1183"/>
      <c r="X165" s="1183"/>
      <c r="Y165" s="1183"/>
      <c r="Z165" s="1183"/>
      <c r="AA165" s="1183"/>
      <c r="AB165" s="1183"/>
      <c r="AC165" s="1183"/>
      <c r="AD165" s="1183"/>
      <c r="AE165" s="1183"/>
      <c r="AF165" s="1183"/>
      <c r="AG165" s="1183"/>
      <c r="AH165" s="1183"/>
      <c r="AI165" s="1183"/>
      <c r="AJ165" s="1183"/>
      <c r="AK165" s="1183"/>
      <c r="AL165" s="1183"/>
      <c r="AM165" s="1183"/>
      <c r="AN165" s="1183"/>
      <c r="AO165" s="1183"/>
      <c r="AP165" s="1183"/>
      <c r="AQ165" s="1183"/>
      <c r="AR165" s="1183"/>
      <c r="AS165" s="1183"/>
      <c r="AT165" s="1183"/>
      <c r="AU165" s="1183"/>
      <c r="AV165" s="1183"/>
      <c r="AW165" s="1183"/>
      <c r="AX165" s="1183"/>
      <c r="AY165" s="1183"/>
      <c r="AZ165" s="1183"/>
      <c r="BA165" s="1183"/>
      <c r="BB165" s="1183"/>
      <c r="BC165" s="1183"/>
      <c r="BD165" s="1183"/>
      <c r="BE165" s="1183"/>
      <c r="BF165" s="1183"/>
      <c r="BG165" s="1183"/>
      <c r="BH165" s="1183"/>
      <c r="BI165" s="1183"/>
      <c r="BJ165" s="1183"/>
      <c r="BK165" s="1183"/>
      <c r="BL165" s="1183"/>
      <c r="BM165" s="1183"/>
      <c r="BN165" s="1183"/>
      <c r="BO165" s="1183"/>
      <c r="BP165" s="1183"/>
      <c r="BQ165" s="1183"/>
    </row>
    <row r="166" spans="1:69" s="1181" customFormat="1" ht="10" customHeight="1">
      <c r="A166" s="1401" t="s">
        <v>842</v>
      </c>
      <c r="B166" s="1640"/>
      <c r="C166" s="1640"/>
      <c r="D166" s="1640"/>
      <c r="E166" s="1640"/>
      <c r="F166" s="1640"/>
      <c r="G166" s="1640"/>
      <c r="H166" s="1640"/>
      <c r="I166" s="1182"/>
      <c r="J166" s="1183"/>
      <c r="K166" s="1183"/>
      <c r="L166" s="1183"/>
      <c r="M166" s="1183"/>
      <c r="N166" s="1183"/>
      <c r="O166" s="1183"/>
      <c r="P166" s="1183"/>
      <c r="Q166" s="1183"/>
      <c r="R166" s="1183"/>
      <c r="S166" s="1183"/>
      <c r="T166" s="1183"/>
      <c r="U166" s="1183"/>
      <c r="V166" s="1183"/>
      <c r="W166" s="1183"/>
      <c r="X166" s="1183"/>
      <c r="Y166" s="1183"/>
      <c r="Z166" s="1183"/>
      <c r="AA166" s="1183"/>
      <c r="AB166" s="1183"/>
      <c r="AC166" s="1183"/>
      <c r="AD166" s="1183"/>
      <c r="AE166" s="1183"/>
      <c r="AF166" s="1183"/>
      <c r="AG166" s="1183"/>
      <c r="AH166" s="1183"/>
      <c r="AI166" s="1183"/>
      <c r="AJ166" s="1183"/>
      <c r="AK166" s="1183"/>
      <c r="AL166" s="1183"/>
      <c r="AM166" s="1183"/>
      <c r="AN166" s="1183"/>
      <c r="AO166" s="1183"/>
      <c r="AP166" s="1183"/>
      <c r="AQ166" s="1183"/>
      <c r="AR166" s="1183"/>
      <c r="AS166" s="1183"/>
      <c r="AT166" s="1183"/>
      <c r="AU166" s="1183"/>
      <c r="AV166" s="1183"/>
      <c r="AW166" s="1183"/>
      <c r="AX166" s="1183"/>
      <c r="AY166" s="1183"/>
      <c r="AZ166" s="1183"/>
      <c r="BA166" s="1183"/>
      <c r="BB166" s="1183"/>
      <c r="BC166" s="1183"/>
      <c r="BD166" s="1183"/>
      <c r="BE166" s="1183"/>
      <c r="BF166" s="1183"/>
      <c r="BG166" s="1183"/>
      <c r="BH166" s="1183"/>
      <c r="BI166" s="1183"/>
      <c r="BJ166" s="1183"/>
      <c r="BK166" s="1183"/>
      <c r="BL166" s="1183"/>
      <c r="BM166" s="1183"/>
      <c r="BN166" s="1183"/>
      <c r="BO166" s="1183"/>
      <c r="BP166" s="1183"/>
      <c r="BQ166" s="1183"/>
    </row>
    <row r="167" spans="1:69" s="1181" customFormat="1" ht="10" customHeight="1">
      <c r="A167" s="1407" t="s">
        <v>1331</v>
      </c>
      <c r="B167" s="1642"/>
      <c r="C167" s="1642"/>
      <c r="D167" s="1642"/>
      <c r="E167" s="1642"/>
      <c r="F167" s="1642"/>
      <c r="G167" s="1642"/>
      <c r="H167" s="1641"/>
      <c r="I167" s="1182"/>
      <c r="J167" s="1183"/>
      <c r="K167" s="1183"/>
      <c r="L167" s="1183"/>
      <c r="M167" s="1183"/>
      <c r="N167" s="1183"/>
      <c r="O167" s="1183"/>
      <c r="P167" s="1183"/>
      <c r="Q167" s="1183"/>
      <c r="R167" s="1183"/>
      <c r="S167" s="1183"/>
      <c r="T167" s="1183"/>
      <c r="U167" s="1183"/>
      <c r="V167" s="1183"/>
      <c r="W167" s="1183"/>
      <c r="X167" s="1183"/>
      <c r="Y167" s="1183"/>
      <c r="Z167" s="1183"/>
      <c r="AA167" s="1183"/>
      <c r="AB167" s="1183"/>
      <c r="AC167" s="1183"/>
      <c r="AD167" s="1183"/>
      <c r="AE167" s="1183"/>
      <c r="AF167" s="1183"/>
      <c r="AG167" s="1183"/>
      <c r="AH167" s="1183"/>
      <c r="AI167" s="1183"/>
      <c r="AJ167" s="1183"/>
      <c r="AK167" s="1183"/>
      <c r="AL167" s="1183"/>
      <c r="AM167" s="1183"/>
      <c r="AN167" s="1183"/>
      <c r="AO167" s="1183"/>
      <c r="AP167" s="1183"/>
      <c r="AQ167" s="1183"/>
      <c r="AR167" s="1183"/>
      <c r="AS167" s="1183"/>
      <c r="AT167" s="1183"/>
      <c r="AU167" s="1183"/>
      <c r="AV167" s="1183"/>
      <c r="AW167" s="1183"/>
      <c r="AX167" s="1183"/>
      <c r="AY167" s="1183"/>
      <c r="AZ167" s="1183"/>
      <c r="BA167" s="1183"/>
      <c r="BB167" s="1183"/>
      <c r="BC167" s="1183"/>
      <c r="BD167" s="1183"/>
      <c r="BE167" s="1183"/>
      <c r="BF167" s="1183"/>
      <c r="BG167" s="1183"/>
      <c r="BH167" s="1183"/>
      <c r="BI167" s="1183"/>
      <c r="BJ167" s="1183"/>
      <c r="BK167" s="1183"/>
      <c r="BL167" s="1183"/>
      <c r="BM167" s="1183"/>
      <c r="BN167" s="1183"/>
      <c r="BO167" s="1183"/>
      <c r="BP167" s="1183"/>
      <c r="BQ167" s="1183"/>
    </row>
    <row r="168" spans="1:69" s="1181" customFormat="1" ht="10" customHeight="1">
      <c r="A168" s="1407" t="s">
        <v>1332</v>
      </c>
      <c r="B168" s="1639"/>
      <c r="C168" s="1639"/>
      <c r="D168" s="1639"/>
      <c r="E168" s="1639"/>
      <c r="F168" s="1639"/>
      <c r="G168" s="1639"/>
      <c r="H168" s="1641"/>
      <c r="I168" s="1182"/>
      <c r="J168" s="1183"/>
      <c r="K168" s="1183"/>
      <c r="L168" s="1183"/>
      <c r="M168" s="1183"/>
      <c r="N168" s="1183"/>
      <c r="O168" s="1183"/>
      <c r="P168" s="1183"/>
      <c r="Q168" s="1183"/>
      <c r="R168" s="1183"/>
      <c r="S168" s="1183"/>
      <c r="T168" s="1183"/>
      <c r="U168" s="1183"/>
      <c r="V168" s="1183"/>
      <c r="W168" s="1183"/>
      <c r="X168" s="1183"/>
      <c r="Y168" s="1183"/>
      <c r="Z168" s="1183"/>
      <c r="AA168" s="1183"/>
      <c r="AB168" s="1183"/>
      <c r="AC168" s="1183"/>
      <c r="AD168" s="1183"/>
      <c r="AE168" s="1183"/>
      <c r="AF168" s="1183"/>
      <c r="AG168" s="1183"/>
      <c r="AH168" s="1183"/>
      <c r="AI168" s="1183"/>
      <c r="AJ168" s="1183"/>
      <c r="AK168" s="1183"/>
      <c r="AL168" s="1183"/>
      <c r="AM168" s="1183"/>
      <c r="AN168" s="1183"/>
      <c r="AO168" s="1183"/>
      <c r="AP168" s="1183"/>
      <c r="AQ168" s="1183"/>
      <c r="AR168" s="1183"/>
      <c r="AS168" s="1183"/>
      <c r="AT168" s="1183"/>
      <c r="AU168" s="1183"/>
      <c r="AV168" s="1183"/>
      <c r="AW168" s="1183"/>
      <c r="AX168" s="1183"/>
      <c r="AY168" s="1183"/>
      <c r="AZ168" s="1183"/>
      <c r="BA168" s="1183"/>
      <c r="BB168" s="1183"/>
      <c r="BC168" s="1183"/>
      <c r="BD168" s="1183"/>
      <c r="BE168" s="1183"/>
      <c r="BF168" s="1183"/>
      <c r="BG168" s="1183"/>
      <c r="BH168" s="1183"/>
      <c r="BI168" s="1183"/>
      <c r="BJ168" s="1183"/>
      <c r="BK168" s="1183"/>
      <c r="BL168" s="1183"/>
      <c r="BM168" s="1183"/>
      <c r="BN168" s="1183"/>
      <c r="BO168" s="1183"/>
      <c r="BP168" s="1183"/>
      <c r="BQ168" s="1183"/>
    </row>
    <row r="169" spans="1:69" ht="10" customHeight="1">
      <c r="A169" s="1184" t="s">
        <v>987</v>
      </c>
      <c r="B169" s="1553"/>
      <c r="C169" s="1553"/>
      <c r="D169" s="1553"/>
      <c r="E169" s="1553"/>
      <c r="F169" s="1553"/>
      <c r="G169" s="1553"/>
    </row>
    <row r="170" spans="1:69">
      <c r="A170" s="743"/>
      <c r="B170" s="1553"/>
      <c r="C170" s="1553"/>
      <c r="D170" s="1553"/>
      <c r="E170" s="1553"/>
      <c r="F170" s="1553"/>
      <c r="G170" s="1553"/>
      <c r="I170" s="723"/>
    </row>
    <row r="171" spans="1:69">
      <c r="B171" s="1544"/>
      <c r="C171" s="1544"/>
      <c r="D171" s="1544"/>
      <c r="E171" s="1544"/>
      <c r="F171" s="1544"/>
      <c r="G171" s="1544"/>
      <c r="I171" s="723"/>
    </row>
    <row r="172" spans="1:69">
      <c r="B172" s="1554"/>
      <c r="C172" s="1554"/>
      <c r="D172" s="1554"/>
      <c r="E172" s="1554"/>
      <c r="F172" s="1554"/>
      <c r="G172" s="1554"/>
      <c r="I172" s="723"/>
    </row>
    <row r="173" spans="1:69">
      <c r="B173" s="1554"/>
      <c r="C173" s="1554"/>
      <c r="D173" s="1554"/>
      <c r="E173" s="1554"/>
      <c r="F173" s="1554"/>
      <c r="G173" s="1554"/>
      <c r="I173" s="723"/>
    </row>
    <row r="174" spans="1:69">
      <c r="B174" s="1544"/>
      <c r="C174" s="1544"/>
      <c r="D174" s="1544"/>
      <c r="E174" s="1544"/>
      <c r="F174" s="1544"/>
      <c r="G174" s="1544"/>
      <c r="I174" s="723"/>
    </row>
    <row r="175" spans="1:69">
      <c r="B175" s="1569"/>
      <c r="C175" s="1569"/>
      <c r="D175" s="1569"/>
      <c r="E175" s="1569"/>
      <c r="F175" s="1569"/>
      <c r="G175" s="1569"/>
      <c r="I175" s="723"/>
    </row>
    <row r="176" spans="1:69">
      <c r="B176" s="1569"/>
      <c r="C176" s="1569"/>
      <c r="D176" s="1569"/>
      <c r="E176" s="1569"/>
      <c r="F176" s="1569"/>
      <c r="G176" s="1569"/>
      <c r="I176" s="723"/>
    </row>
    <row r="177" spans="2:9">
      <c r="B177" s="1569"/>
      <c r="C177" s="1569"/>
      <c r="D177" s="1569"/>
      <c r="E177" s="1569"/>
      <c r="F177" s="1569"/>
      <c r="G177" s="1569"/>
      <c r="I177" s="723"/>
    </row>
    <row r="178" spans="2:9">
      <c r="B178" s="1569"/>
      <c r="C178" s="1569"/>
      <c r="D178" s="1569"/>
      <c r="E178" s="1569"/>
      <c r="F178" s="1569"/>
      <c r="G178" s="1569"/>
    </row>
  </sheetData>
  <hyperlinks>
    <hyperlink ref="I1" location="TOC!A1" display="Back"/>
  </hyperlinks>
  <pageMargins left="0.75" right="0.25" top="0.4" bottom="0.2" header="0.25" footer="0"/>
  <pageSetup scale="83" fitToHeight="4" orientation="landscape" r:id="rId1"/>
  <headerFooter scaleWithDoc="0">
    <oddHeader>&amp;R&amp;P</oddHeader>
  </headerFooter>
  <rowBreaks count="3" manualBreakCount="3">
    <brk id="35" max="7" man="1"/>
    <brk id="70" max="7" man="1"/>
    <brk id="112"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S214"/>
  <sheetViews>
    <sheetView topLeftCell="A175" zoomScale="90" zoomScaleNormal="90" workbookViewId="0">
      <selection activeCell="N59" sqref="N59"/>
    </sheetView>
  </sheetViews>
  <sheetFormatPr defaultColWidth="13.7265625" defaultRowHeight="11.5"/>
  <cols>
    <col min="1" max="1" width="14.453125" style="473" customWidth="1"/>
    <col min="2" max="2" width="15.26953125" style="473" customWidth="1"/>
    <col min="3" max="3" width="15.7265625" style="473" customWidth="1"/>
    <col min="4" max="4" width="15.26953125" style="473" customWidth="1"/>
    <col min="5" max="6" width="16.81640625" style="473" customWidth="1"/>
    <col min="7" max="7" width="14.453125" style="473" customWidth="1"/>
    <col min="8" max="8" width="14.453125" style="536" customWidth="1"/>
    <col min="9" max="10" width="8.26953125" style="473" customWidth="1"/>
    <col min="11" max="97" width="13.7265625" style="477" customWidth="1"/>
    <col min="98" max="16384" width="13.7265625" style="473"/>
  </cols>
  <sheetData>
    <row r="1" spans="1:97" ht="14">
      <c r="A1" s="472" t="s">
        <v>824</v>
      </c>
      <c r="L1" s="486"/>
    </row>
    <row r="2" spans="1:97" ht="13">
      <c r="A2" s="1959" t="s">
        <v>901</v>
      </c>
      <c r="B2" s="1959"/>
      <c r="C2" s="1959"/>
      <c r="D2" s="1959"/>
      <c r="E2" s="1959"/>
      <c r="F2" s="1959"/>
      <c r="G2" s="1959"/>
      <c r="H2" s="1959"/>
      <c r="L2" s="1960"/>
      <c r="M2" s="1960"/>
      <c r="N2" s="1960"/>
      <c r="O2" s="1960"/>
      <c r="P2" s="1960"/>
      <c r="Q2" s="1960"/>
      <c r="R2" s="1960"/>
      <c r="S2" s="1960"/>
      <c r="U2" s="486"/>
    </row>
    <row r="3" spans="1:97" ht="12" thickBot="1">
      <c r="A3" s="490"/>
      <c r="B3" s="490"/>
      <c r="C3" s="490"/>
      <c r="D3" s="490"/>
      <c r="E3" s="490"/>
      <c r="F3" s="490"/>
      <c r="G3" s="490"/>
      <c r="H3" s="493"/>
      <c r="L3" s="534"/>
      <c r="M3" s="534"/>
      <c r="N3" s="534"/>
      <c r="O3" s="534"/>
      <c r="P3" s="534"/>
      <c r="Q3" s="534"/>
      <c r="R3" s="534"/>
      <c r="S3" s="534"/>
      <c r="U3" s="486"/>
    </row>
    <row r="5" spans="1:97" s="545" customFormat="1">
      <c r="A5" s="495" t="s">
        <v>21</v>
      </c>
      <c r="B5" s="495" t="s">
        <v>825</v>
      </c>
      <c r="C5" s="495" t="s">
        <v>826</v>
      </c>
      <c r="D5" s="495" t="s">
        <v>827</v>
      </c>
      <c r="E5" s="495" t="s">
        <v>828</v>
      </c>
      <c r="F5" s="495" t="s">
        <v>829</v>
      </c>
      <c r="G5" s="495" t="s">
        <v>830</v>
      </c>
      <c r="H5" s="537" t="s">
        <v>831</v>
      </c>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4"/>
      <c r="CJ5" s="494"/>
      <c r="CK5" s="494"/>
      <c r="CL5" s="494"/>
      <c r="CM5" s="494"/>
      <c r="CN5" s="494"/>
      <c r="CO5" s="494"/>
      <c r="CP5" s="494"/>
      <c r="CQ5" s="494"/>
      <c r="CR5" s="494"/>
      <c r="CS5" s="494"/>
    </row>
    <row r="6" spans="1:97" ht="8.25" customHeight="1"/>
    <row r="7" spans="1:97" ht="12" customHeight="1">
      <c r="A7" s="473" t="s">
        <v>54</v>
      </c>
      <c r="B7" s="730">
        <v>1637882600</v>
      </c>
      <c r="C7" s="730">
        <v>1551107600</v>
      </c>
      <c r="D7" s="730">
        <v>2022125700</v>
      </c>
      <c r="E7" s="475">
        <v>3660008300</v>
      </c>
      <c r="F7" s="475">
        <v>3573233300</v>
      </c>
      <c r="G7" s="730">
        <v>21360827.5</v>
      </c>
      <c r="H7" s="724">
        <v>2019</v>
      </c>
      <c r="I7" s="476"/>
      <c r="J7" s="476"/>
      <c r="M7" s="478"/>
      <c r="N7" s="478"/>
      <c r="O7" s="478"/>
      <c r="P7" s="478"/>
      <c r="Q7" s="478"/>
      <c r="R7" s="478"/>
      <c r="S7" s="479"/>
      <c r="V7" s="480"/>
      <c r="W7" s="480"/>
      <c r="X7" s="480"/>
      <c r="Y7" s="480"/>
      <c r="Z7" s="480"/>
      <c r="AA7" s="480"/>
      <c r="AB7" s="480"/>
    </row>
    <row r="8" spans="1:97" ht="12" customHeight="1">
      <c r="A8" s="473" t="s">
        <v>56</v>
      </c>
      <c r="B8" s="731">
        <v>7986959200</v>
      </c>
      <c r="C8" s="731">
        <v>6457390800</v>
      </c>
      <c r="D8" s="731">
        <v>12565800900</v>
      </c>
      <c r="E8" s="482">
        <v>20552760100</v>
      </c>
      <c r="F8" s="482">
        <v>19023191700</v>
      </c>
      <c r="G8" s="731">
        <v>162458057.118</v>
      </c>
      <c r="H8" s="724">
        <v>2019</v>
      </c>
      <c r="I8" s="476"/>
      <c r="J8" s="476"/>
      <c r="M8" s="483"/>
      <c r="N8" s="483"/>
      <c r="O8" s="483"/>
      <c r="P8" s="483"/>
      <c r="Q8" s="483"/>
      <c r="R8" s="483"/>
      <c r="S8" s="479"/>
      <c r="V8" s="480"/>
      <c r="W8" s="480"/>
      <c r="X8" s="480"/>
      <c r="Y8" s="480"/>
      <c r="Z8" s="480"/>
      <c r="AA8" s="480"/>
      <c r="AB8" s="480"/>
    </row>
    <row r="9" spans="1:97" ht="12" customHeight="1">
      <c r="A9" s="473" t="s">
        <v>58</v>
      </c>
      <c r="B9" s="731">
        <v>330184200</v>
      </c>
      <c r="C9" s="731">
        <v>254185800</v>
      </c>
      <c r="D9" s="731">
        <v>791622000</v>
      </c>
      <c r="E9" s="482">
        <v>1121806200</v>
      </c>
      <c r="F9" s="482">
        <v>1045807800</v>
      </c>
      <c r="G9" s="731">
        <v>7634396.9399999995</v>
      </c>
      <c r="H9" s="724">
        <v>2019</v>
      </c>
      <c r="I9" s="476"/>
      <c r="J9" s="476"/>
      <c r="M9" s="483"/>
      <c r="N9" s="483"/>
      <c r="O9" s="483"/>
      <c r="P9" s="483"/>
      <c r="Q9" s="483"/>
      <c r="R9" s="483"/>
      <c r="S9" s="479"/>
      <c r="V9" s="480"/>
      <c r="W9" s="480"/>
      <c r="X9" s="480"/>
      <c r="Y9" s="480"/>
      <c r="Z9" s="480"/>
      <c r="AA9" s="480"/>
      <c r="AB9" s="480"/>
    </row>
    <row r="10" spans="1:97" ht="12" customHeight="1">
      <c r="A10" s="473" t="s">
        <v>60</v>
      </c>
      <c r="B10" s="731">
        <v>515564155</v>
      </c>
      <c r="C10" s="731">
        <v>441675755</v>
      </c>
      <c r="D10" s="731">
        <v>777360900</v>
      </c>
      <c r="E10" s="482">
        <v>1292925055</v>
      </c>
      <c r="F10" s="482">
        <v>1219036655</v>
      </c>
      <c r="G10" s="731">
        <v>5851375.9440000001</v>
      </c>
      <c r="H10" s="724">
        <v>2019</v>
      </c>
      <c r="I10" s="476"/>
      <c r="J10" s="476"/>
      <c r="M10" s="483"/>
      <c r="N10" s="483"/>
      <c r="O10" s="483"/>
      <c r="P10" s="483"/>
      <c r="Q10" s="483"/>
      <c r="R10" s="483"/>
      <c r="S10" s="479"/>
      <c r="V10" s="480"/>
      <c r="W10" s="480"/>
      <c r="X10" s="480"/>
      <c r="Y10" s="480"/>
      <c r="Z10" s="480"/>
      <c r="AA10" s="480"/>
      <c r="AB10" s="480"/>
    </row>
    <row r="11" spans="1:97" ht="12" customHeight="1">
      <c r="A11" s="473" t="s">
        <v>62</v>
      </c>
      <c r="B11" s="731">
        <v>1090356600</v>
      </c>
      <c r="C11" s="731">
        <v>800464900</v>
      </c>
      <c r="D11" s="731">
        <v>1561757400</v>
      </c>
      <c r="E11" s="482">
        <v>2652114000</v>
      </c>
      <c r="F11" s="482">
        <v>2362222300</v>
      </c>
      <c r="G11" s="731">
        <v>14409556.029999999</v>
      </c>
      <c r="H11" s="724">
        <v>2019</v>
      </c>
      <c r="I11" s="476"/>
      <c r="J11" s="476"/>
      <c r="M11" s="483"/>
      <c r="N11" s="483"/>
      <c r="O11" s="483"/>
      <c r="P11" s="483"/>
      <c r="Q11" s="483"/>
      <c r="R11" s="483"/>
      <c r="S11" s="479"/>
      <c r="V11" s="480"/>
      <c r="W11" s="480"/>
      <c r="X11" s="480"/>
      <c r="Y11" s="480"/>
      <c r="Z11" s="480"/>
      <c r="AA11" s="480"/>
      <c r="AB11" s="480"/>
    </row>
    <row r="12" spans="1:97" ht="9" customHeight="1">
      <c r="B12" s="731"/>
      <c r="C12" s="731"/>
      <c r="D12" s="731"/>
      <c r="E12" s="482"/>
      <c r="F12" s="482"/>
      <c r="G12" s="731"/>
      <c r="H12" s="724"/>
      <c r="M12" s="483"/>
      <c r="N12" s="483"/>
      <c r="O12" s="483"/>
      <c r="P12" s="483"/>
      <c r="Q12" s="483"/>
      <c r="R12" s="483"/>
      <c r="S12" s="479"/>
      <c r="V12" s="480"/>
      <c r="W12" s="480"/>
      <c r="X12" s="480"/>
      <c r="Y12" s="480"/>
      <c r="Z12" s="480"/>
      <c r="AA12" s="480"/>
      <c r="AB12" s="480"/>
    </row>
    <row r="13" spans="1:97" ht="12" customHeight="1">
      <c r="A13" s="473" t="s">
        <v>64</v>
      </c>
      <c r="B13" s="731">
        <v>594750700</v>
      </c>
      <c r="C13" s="731">
        <v>546481132</v>
      </c>
      <c r="D13" s="731">
        <v>789806300</v>
      </c>
      <c r="E13" s="482">
        <v>1384557000</v>
      </c>
      <c r="F13" s="482">
        <v>1336287432</v>
      </c>
      <c r="G13" s="731">
        <v>8685868.3080000002</v>
      </c>
      <c r="H13" s="724">
        <v>2019</v>
      </c>
      <c r="I13" s="476"/>
      <c r="J13" s="476"/>
      <c r="M13" s="483"/>
      <c r="N13" s="483"/>
      <c r="O13" s="483"/>
      <c r="P13" s="483"/>
      <c r="Q13" s="483"/>
      <c r="R13" s="483"/>
      <c r="S13" s="479"/>
      <c r="V13" s="480"/>
      <c r="W13" s="480"/>
      <c r="X13" s="480"/>
      <c r="Y13" s="480"/>
      <c r="Z13" s="480"/>
      <c r="AA13" s="480"/>
      <c r="AB13" s="480"/>
    </row>
    <row r="14" spans="1:97" ht="12" customHeight="1">
      <c r="A14" s="473" t="s">
        <v>915</v>
      </c>
      <c r="B14" s="731">
        <v>30299633700</v>
      </c>
      <c r="C14" s="731">
        <v>30299633700</v>
      </c>
      <c r="D14" s="731">
        <v>47290504500</v>
      </c>
      <c r="E14" s="482">
        <v>77590138200</v>
      </c>
      <c r="F14" s="482">
        <v>77590138200</v>
      </c>
      <c r="G14" s="732">
        <v>785988099.96599996</v>
      </c>
      <c r="H14" s="724">
        <v>2018</v>
      </c>
      <c r="I14" s="476"/>
      <c r="J14" s="476"/>
      <c r="M14" s="483"/>
      <c r="N14" s="483"/>
      <c r="O14" s="483"/>
      <c r="P14" s="483"/>
      <c r="Q14" s="483"/>
      <c r="R14" s="483"/>
      <c r="S14" s="479"/>
      <c r="V14" s="480"/>
      <c r="W14" s="480"/>
      <c r="X14" s="480"/>
      <c r="Y14" s="480"/>
      <c r="Z14" s="480"/>
      <c r="AA14" s="480"/>
      <c r="AB14" s="480"/>
    </row>
    <row r="15" spans="1:97" ht="12" customHeight="1">
      <c r="A15" s="473" t="s">
        <v>68</v>
      </c>
      <c r="B15" s="731">
        <v>3685755300</v>
      </c>
      <c r="C15" s="731">
        <v>2439748330</v>
      </c>
      <c r="D15" s="731">
        <v>5077074400</v>
      </c>
      <c r="E15" s="482">
        <v>8762829700</v>
      </c>
      <c r="F15" s="482">
        <v>7516822730</v>
      </c>
      <c r="G15" s="731">
        <v>47355980.409999996</v>
      </c>
      <c r="H15" s="724">
        <v>2019</v>
      </c>
      <c r="I15" s="476"/>
      <c r="J15" s="476"/>
      <c r="M15" s="483"/>
      <c r="N15" s="483"/>
      <c r="O15" s="483"/>
      <c r="P15" s="483"/>
      <c r="Q15" s="483"/>
      <c r="R15" s="483"/>
      <c r="S15" s="479"/>
      <c r="V15" s="480"/>
      <c r="W15" s="480"/>
      <c r="X15" s="480"/>
      <c r="Y15" s="480"/>
      <c r="Z15" s="480"/>
      <c r="AA15" s="480"/>
      <c r="AB15" s="480"/>
    </row>
    <row r="16" spans="1:97" ht="12" customHeight="1">
      <c r="A16" s="473" t="s">
        <v>70</v>
      </c>
      <c r="B16" s="731">
        <v>383209800</v>
      </c>
      <c r="C16" s="731">
        <v>355770400</v>
      </c>
      <c r="D16" s="731">
        <v>500181900</v>
      </c>
      <c r="E16" s="482">
        <v>883391700</v>
      </c>
      <c r="F16" s="482">
        <v>855952300</v>
      </c>
      <c r="G16" s="731">
        <v>4279761.5</v>
      </c>
      <c r="H16" s="724" t="s">
        <v>907</v>
      </c>
      <c r="I16" s="476"/>
      <c r="J16" s="476"/>
      <c r="M16" s="483"/>
      <c r="N16" s="483"/>
      <c r="O16" s="483"/>
      <c r="P16" s="483"/>
      <c r="Q16" s="483"/>
      <c r="R16" s="483"/>
      <c r="S16" s="479"/>
      <c r="V16" s="480"/>
      <c r="W16" s="480"/>
      <c r="X16" s="480"/>
      <c r="Y16" s="480"/>
      <c r="Z16" s="480"/>
      <c r="AA16" s="480"/>
      <c r="AB16" s="480"/>
    </row>
    <row r="17" spans="1:28" ht="12" customHeight="1">
      <c r="A17" s="473" t="s">
        <v>832</v>
      </c>
      <c r="B17" s="731">
        <v>4174813500</v>
      </c>
      <c r="C17" s="731">
        <v>2977823600</v>
      </c>
      <c r="D17" s="731">
        <v>6078110034</v>
      </c>
      <c r="E17" s="482">
        <v>10252923534</v>
      </c>
      <c r="F17" s="482">
        <v>9055933634</v>
      </c>
      <c r="G17" s="731">
        <v>45279668.170000002</v>
      </c>
      <c r="H17" s="724">
        <v>2019</v>
      </c>
      <c r="I17" s="476"/>
      <c r="J17" s="476"/>
      <c r="P17" s="484"/>
      <c r="Q17" s="484"/>
      <c r="S17" s="479"/>
      <c r="V17" s="480"/>
      <c r="W17" s="480"/>
      <c r="X17" s="480"/>
      <c r="Y17" s="480"/>
      <c r="Z17" s="480"/>
      <c r="AA17" s="480"/>
      <c r="AB17" s="480"/>
    </row>
    <row r="18" spans="1:28" ht="9" customHeight="1">
      <c r="B18" s="546"/>
      <c r="C18" s="546"/>
      <c r="D18" s="546"/>
      <c r="E18" s="482"/>
      <c r="F18" s="482"/>
      <c r="G18" s="546"/>
      <c r="H18" s="538"/>
      <c r="M18" s="483"/>
      <c r="N18" s="483"/>
      <c r="O18" s="483"/>
      <c r="P18" s="483"/>
      <c r="Q18" s="483"/>
      <c r="R18" s="483"/>
      <c r="S18" s="479"/>
      <c r="V18" s="480"/>
      <c r="W18" s="480"/>
      <c r="X18" s="480"/>
      <c r="Y18" s="480"/>
      <c r="Z18" s="480"/>
      <c r="AA18" s="480"/>
      <c r="AB18" s="480"/>
    </row>
    <row r="19" spans="1:28" ht="12" customHeight="1">
      <c r="A19" s="473" t="s">
        <v>73</v>
      </c>
      <c r="B19" s="731">
        <v>349800400</v>
      </c>
      <c r="C19" s="731">
        <v>198324600</v>
      </c>
      <c r="D19" s="731">
        <v>259747700</v>
      </c>
      <c r="E19" s="482">
        <v>609548100</v>
      </c>
      <c r="F19" s="482">
        <v>458072300</v>
      </c>
      <c r="G19" s="731">
        <v>2748433.8</v>
      </c>
      <c r="H19" s="724">
        <v>2019</v>
      </c>
      <c r="I19" s="476"/>
      <c r="J19" s="476"/>
      <c r="M19" s="483"/>
      <c r="N19" s="483"/>
      <c r="O19" s="483"/>
      <c r="P19" s="483"/>
      <c r="Q19" s="483"/>
      <c r="R19" s="483"/>
      <c r="S19" s="479"/>
      <c r="V19" s="480"/>
      <c r="W19" s="480"/>
      <c r="X19" s="480"/>
      <c r="Y19" s="480"/>
      <c r="Z19" s="480"/>
      <c r="AA19" s="480"/>
      <c r="AB19" s="480"/>
    </row>
    <row r="20" spans="1:28" ht="12" customHeight="1">
      <c r="A20" s="473" t="s">
        <v>75</v>
      </c>
      <c r="B20" s="731">
        <v>1285197053</v>
      </c>
      <c r="C20" s="731">
        <v>1284915953</v>
      </c>
      <c r="D20" s="731">
        <v>2483287650</v>
      </c>
      <c r="E20" s="482">
        <v>3768484703</v>
      </c>
      <c r="F20" s="482">
        <v>3768203603</v>
      </c>
      <c r="G20" s="731">
        <v>29768808.463700004</v>
      </c>
      <c r="H20" s="724">
        <v>2019</v>
      </c>
      <c r="I20" s="476"/>
      <c r="J20" s="476"/>
      <c r="M20" s="483"/>
      <c r="N20" s="483"/>
      <c r="O20" s="483"/>
      <c r="P20" s="483"/>
      <c r="Q20" s="483"/>
      <c r="R20" s="483"/>
      <c r="S20" s="479"/>
      <c r="V20" s="480"/>
      <c r="W20" s="480"/>
      <c r="X20" s="480"/>
      <c r="Y20" s="480"/>
      <c r="Z20" s="480"/>
      <c r="AA20" s="480"/>
      <c r="AB20" s="480"/>
    </row>
    <row r="21" spans="1:28" ht="12" customHeight="1">
      <c r="A21" s="473" t="s">
        <v>77</v>
      </c>
      <c r="B21" s="731">
        <v>698530200</v>
      </c>
      <c r="C21" s="731">
        <v>698530200</v>
      </c>
      <c r="D21" s="731">
        <v>605774360</v>
      </c>
      <c r="E21" s="482">
        <v>1304304560</v>
      </c>
      <c r="F21" s="482">
        <v>1304304560</v>
      </c>
      <c r="G21" s="731">
        <v>6912814.1680000005</v>
      </c>
      <c r="H21" s="724">
        <v>2019</v>
      </c>
      <c r="I21" s="476"/>
      <c r="J21" s="476"/>
      <c r="M21" s="483"/>
      <c r="N21" s="483"/>
      <c r="O21" s="483"/>
      <c r="P21" s="483"/>
      <c r="Q21" s="483"/>
      <c r="R21" s="483"/>
      <c r="S21" s="479"/>
      <c r="V21" s="480"/>
      <c r="W21" s="480"/>
      <c r="X21" s="480"/>
      <c r="Y21" s="480"/>
      <c r="Z21" s="480"/>
      <c r="AA21" s="480"/>
      <c r="AB21" s="480"/>
    </row>
    <row r="22" spans="1:28" ht="12" customHeight="1">
      <c r="A22" s="473" t="s">
        <v>79</v>
      </c>
      <c r="B22" s="731">
        <v>653374358</v>
      </c>
      <c r="C22" s="731">
        <v>653374358</v>
      </c>
      <c r="D22" s="731">
        <v>1588791189</v>
      </c>
      <c r="E22" s="482">
        <v>2242165547</v>
      </c>
      <c r="F22" s="482">
        <v>2242165547</v>
      </c>
      <c r="G22" s="731">
        <v>8744446.1799999997</v>
      </c>
      <c r="H22" s="724">
        <v>2019</v>
      </c>
      <c r="I22" s="476"/>
      <c r="J22" s="476"/>
      <c r="M22" s="483"/>
      <c r="N22" s="483"/>
      <c r="O22" s="483"/>
      <c r="P22" s="483"/>
      <c r="Q22" s="483"/>
      <c r="R22" s="483"/>
      <c r="S22" s="479"/>
      <c r="V22" s="480"/>
      <c r="W22" s="480"/>
      <c r="X22" s="480"/>
      <c r="Y22" s="480"/>
      <c r="Z22" s="480"/>
      <c r="AA22" s="480"/>
      <c r="AB22" s="480"/>
    </row>
    <row r="23" spans="1:28" ht="12" customHeight="1">
      <c r="A23" s="473" t="s">
        <v>81</v>
      </c>
      <c r="B23" s="731">
        <v>758915000</v>
      </c>
      <c r="C23" s="731">
        <v>758915000</v>
      </c>
      <c r="D23" s="731">
        <v>678007800</v>
      </c>
      <c r="E23" s="482">
        <v>1436922800</v>
      </c>
      <c r="F23" s="482">
        <v>1436922800</v>
      </c>
      <c r="G23" s="731">
        <v>7903075.4000000004</v>
      </c>
      <c r="H23" s="724">
        <v>2019</v>
      </c>
      <c r="I23" s="476"/>
      <c r="J23" s="476"/>
      <c r="M23" s="483"/>
      <c r="N23" s="483"/>
      <c r="O23" s="483"/>
      <c r="P23" s="483"/>
      <c r="Q23" s="483"/>
      <c r="R23" s="483"/>
      <c r="S23" s="479"/>
      <c r="V23" s="480"/>
      <c r="W23" s="480"/>
      <c r="X23" s="480"/>
      <c r="Y23" s="480"/>
      <c r="Z23" s="480"/>
      <c r="AA23" s="480"/>
      <c r="AB23" s="480"/>
    </row>
    <row r="24" spans="1:28" ht="9" customHeight="1">
      <c r="B24" s="731"/>
      <c r="C24" s="731"/>
      <c r="D24" s="731"/>
      <c r="E24" s="482"/>
      <c r="F24" s="482"/>
      <c r="G24" s="731"/>
      <c r="H24" s="724"/>
      <c r="M24" s="483"/>
      <c r="N24" s="483"/>
      <c r="O24" s="483"/>
      <c r="P24" s="483"/>
      <c r="Q24" s="483"/>
      <c r="R24" s="483"/>
      <c r="S24" s="479"/>
      <c r="V24" s="480"/>
      <c r="W24" s="480"/>
      <c r="X24" s="480"/>
      <c r="Y24" s="480"/>
      <c r="Z24" s="480"/>
      <c r="AA24" s="480"/>
      <c r="AB24" s="480"/>
    </row>
    <row r="25" spans="1:28" ht="12.65" customHeight="1">
      <c r="A25" s="473" t="s">
        <v>83</v>
      </c>
      <c r="B25" s="731">
        <v>1371123957</v>
      </c>
      <c r="C25" s="731">
        <v>1100605972</v>
      </c>
      <c r="D25" s="731">
        <v>3017243500</v>
      </c>
      <c r="E25" s="482">
        <v>4388367457</v>
      </c>
      <c r="F25" s="482">
        <v>4117849472</v>
      </c>
      <c r="G25" s="731">
        <v>21412817.2544</v>
      </c>
      <c r="H25" s="724">
        <v>2019</v>
      </c>
      <c r="I25" s="476"/>
      <c r="J25" s="476"/>
      <c r="O25" s="483"/>
      <c r="P25" s="483"/>
      <c r="Q25" s="483"/>
      <c r="R25" s="483"/>
      <c r="S25" s="479"/>
      <c r="V25" s="480"/>
      <c r="W25" s="480"/>
      <c r="X25" s="480"/>
      <c r="Y25" s="480"/>
      <c r="Z25" s="480"/>
      <c r="AA25" s="480"/>
      <c r="AB25" s="480"/>
    </row>
    <row r="26" spans="1:28" ht="12" customHeight="1">
      <c r="A26" s="473" t="s">
        <v>85</v>
      </c>
      <c r="B26" s="731">
        <v>1167337812</v>
      </c>
      <c r="C26" s="731">
        <v>991858769</v>
      </c>
      <c r="D26" s="731">
        <v>1688570400</v>
      </c>
      <c r="E26" s="482">
        <v>2855908212</v>
      </c>
      <c r="F26" s="482">
        <v>2680429169</v>
      </c>
      <c r="G26" s="731">
        <v>22247562.102699999</v>
      </c>
      <c r="H26" s="724">
        <v>2019</v>
      </c>
      <c r="I26" s="476"/>
      <c r="J26" s="476"/>
      <c r="M26" s="483"/>
      <c r="N26" s="483"/>
      <c r="O26" s="483"/>
      <c r="P26" s="483"/>
      <c r="Q26" s="483"/>
      <c r="R26" s="483"/>
      <c r="S26" s="479"/>
      <c r="V26" s="480"/>
      <c r="W26" s="480"/>
      <c r="X26" s="480"/>
      <c r="Y26" s="480"/>
      <c r="Z26" s="480"/>
      <c r="AA26" s="480"/>
      <c r="AB26" s="480"/>
    </row>
    <row r="27" spans="1:28" ht="12" customHeight="1">
      <c r="A27" s="473" t="s">
        <v>87</v>
      </c>
      <c r="B27" s="731">
        <v>1016744300</v>
      </c>
      <c r="C27" s="731">
        <v>828465111</v>
      </c>
      <c r="D27" s="731">
        <v>1333182500</v>
      </c>
      <c r="E27" s="482">
        <v>2349926800</v>
      </c>
      <c r="F27" s="482">
        <v>2161647611</v>
      </c>
      <c r="G27" s="731">
        <v>15023450.896449998</v>
      </c>
      <c r="H27" s="724">
        <v>2019</v>
      </c>
      <c r="I27" s="476"/>
      <c r="J27" s="476"/>
      <c r="M27" s="483"/>
      <c r="N27" s="483"/>
      <c r="O27" s="483"/>
      <c r="P27" s="483"/>
      <c r="Q27" s="483"/>
      <c r="R27" s="483"/>
      <c r="S27" s="479"/>
      <c r="V27" s="480"/>
      <c r="W27" s="480"/>
      <c r="X27" s="480"/>
      <c r="Y27" s="480"/>
      <c r="Z27" s="480"/>
      <c r="AA27" s="480"/>
      <c r="AB27" s="480"/>
    </row>
    <row r="28" spans="1:28" ht="12" customHeight="1">
      <c r="A28" s="473" t="s">
        <v>89</v>
      </c>
      <c r="B28" s="731">
        <v>420441310</v>
      </c>
      <c r="C28" s="731">
        <v>420441310</v>
      </c>
      <c r="D28" s="731">
        <v>432815370</v>
      </c>
      <c r="E28" s="482">
        <v>853256680</v>
      </c>
      <c r="F28" s="482">
        <v>853256680</v>
      </c>
      <c r="G28" s="731">
        <v>6484750.7680000011</v>
      </c>
      <c r="H28" s="724" t="s">
        <v>907</v>
      </c>
      <c r="I28" s="476"/>
      <c r="J28" s="476"/>
      <c r="P28" s="484"/>
      <c r="Q28" s="484"/>
      <c r="S28" s="479"/>
      <c r="V28" s="480"/>
      <c r="W28" s="480"/>
      <c r="X28" s="480"/>
      <c r="Y28" s="480"/>
      <c r="Z28" s="480"/>
      <c r="AA28" s="480"/>
      <c r="AB28" s="480"/>
    </row>
    <row r="29" spans="1:28" ht="12" customHeight="1">
      <c r="A29" s="473" t="s">
        <v>91</v>
      </c>
      <c r="B29" s="731">
        <v>525096421</v>
      </c>
      <c r="C29" s="731">
        <v>525096421</v>
      </c>
      <c r="D29" s="731">
        <v>484863402</v>
      </c>
      <c r="E29" s="482">
        <v>1009959823</v>
      </c>
      <c r="F29" s="482">
        <v>1009959823</v>
      </c>
      <c r="G29" s="731">
        <v>6261750.9026000006</v>
      </c>
      <c r="H29" s="724" t="s">
        <v>907</v>
      </c>
      <c r="I29" s="476"/>
      <c r="J29" s="476"/>
      <c r="M29" s="483"/>
      <c r="N29" s="483"/>
      <c r="O29" s="483"/>
      <c r="P29" s="483"/>
      <c r="Q29" s="483"/>
      <c r="R29" s="483"/>
      <c r="S29" s="479"/>
      <c r="V29" s="480"/>
      <c r="W29" s="480"/>
      <c r="X29" s="480"/>
      <c r="Y29" s="480"/>
      <c r="Z29" s="480"/>
      <c r="AA29" s="480"/>
      <c r="AB29" s="480"/>
    </row>
    <row r="30" spans="1:28" ht="9" customHeight="1">
      <c r="B30" s="731"/>
      <c r="C30" s="731"/>
      <c r="D30" s="731"/>
      <c r="E30" s="482"/>
      <c r="F30" s="482"/>
      <c r="G30" s="731"/>
      <c r="H30" s="724"/>
      <c r="M30" s="483"/>
      <c r="N30" s="483"/>
      <c r="O30" s="483"/>
      <c r="P30" s="483"/>
      <c r="Q30" s="483"/>
      <c r="R30" s="483"/>
      <c r="S30" s="479"/>
      <c r="V30" s="480"/>
      <c r="W30" s="480"/>
      <c r="X30" s="480"/>
      <c r="Y30" s="480"/>
      <c r="Z30" s="480"/>
      <c r="AA30" s="480"/>
      <c r="AB30" s="480"/>
    </row>
    <row r="31" spans="1:28" ht="12" customHeight="1">
      <c r="A31" s="473" t="s">
        <v>93</v>
      </c>
      <c r="B31" s="731">
        <v>10064289900</v>
      </c>
      <c r="C31" s="731">
        <v>9890725291</v>
      </c>
      <c r="D31" s="731">
        <v>28999590300</v>
      </c>
      <c r="E31" s="482">
        <v>39063880200</v>
      </c>
      <c r="F31" s="482">
        <v>38890315591</v>
      </c>
      <c r="G31" s="732">
        <v>369457998.11449999</v>
      </c>
      <c r="H31" s="724">
        <v>2019</v>
      </c>
      <c r="I31" s="476"/>
      <c r="J31" s="476"/>
      <c r="M31" s="483"/>
      <c r="N31" s="483"/>
      <c r="O31" s="483"/>
      <c r="P31" s="483"/>
      <c r="Q31" s="483"/>
      <c r="R31" s="483"/>
      <c r="S31" s="479"/>
      <c r="V31" s="480"/>
      <c r="W31" s="480"/>
      <c r="X31" s="480"/>
      <c r="Y31" s="480"/>
      <c r="Z31" s="480"/>
      <c r="AA31" s="480"/>
      <c r="AB31" s="480"/>
    </row>
    <row r="32" spans="1:28" ht="12" customHeight="1">
      <c r="A32" s="473" t="s">
        <v>95</v>
      </c>
      <c r="B32" s="731">
        <v>1081906900</v>
      </c>
      <c r="C32" s="731">
        <v>758630039</v>
      </c>
      <c r="D32" s="731">
        <v>1325056500</v>
      </c>
      <c r="E32" s="482">
        <v>2406963400</v>
      </c>
      <c r="F32" s="482">
        <v>2083686539</v>
      </c>
      <c r="G32" s="731">
        <v>14794174.426899999</v>
      </c>
      <c r="H32" s="724">
        <v>2019</v>
      </c>
      <c r="I32" s="476"/>
      <c r="J32" s="476"/>
      <c r="M32" s="483"/>
      <c r="N32" s="483"/>
      <c r="O32" s="483"/>
      <c r="P32" s="483"/>
      <c r="Q32" s="483"/>
      <c r="R32" s="483"/>
      <c r="S32" s="479"/>
      <c r="V32" s="480"/>
      <c r="W32" s="480"/>
      <c r="X32" s="480"/>
      <c r="Y32" s="480"/>
      <c r="Z32" s="480"/>
      <c r="AA32" s="480"/>
      <c r="AB32" s="480"/>
    </row>
    <row r="33" spans="1:28" ht="12" customHeight="1">
      <c r="A33" s="473" t="s">
        <v>97</v>
      </c>
      <c r="B33" s="731">
        <v>229725800</v>
      </c>
      <c r="C33" s="731">
        <v>229725800</v>
      </c>
      <c r="D33" s="731">
        <v>285404400</v>
      </c>
      <c r="E33" s="482">
        <v>515130200</v>
      </c>
      <c r="F33" s="482">
        <v>515130200</v>
      </c>
      <c r="G33" s="731">
        <v>3039268.1799999997</v>
      </c>
      <c r="H33" s="724">
        <v>2019</v>
      </c>
      <c r="I33" s="476"/>
      <c r="J33" s="476"/>
      <c r="M33" s="483"/>
      <c r="N33" s="483"/>
      <c r="O33" s="483"/>
      <c r="P33" s="483"/>
      <c r="Q33" s="483"/>
      <c r="R33" s="483"/>
      <c r="S33" s="479"/>
      <c r="V33" s="480"/>
      <c r="W33" s="480"/>
      <c r="X33" s="480"/>
      <c r="Y33" s="480"/>
      <c r="Z33" s="480"/>
      <c r="AA33" s="480"/>
      <c r="AB33" s="480"/>
    </row>
    <row r="34" spans="1:28">
      <c r="A34" s="473" t="s">
        <v>99</v>
      </c>
      <c r="B34" s="731">
        <v>2334418118</v>
      </c>
      <c r="C34" s="731">
        <v>1835875218</v>
      </c>
      <c r="D34" s="731">
        <v>3785165300</v>
      </c>
      <c r="E34" s="482">
        <v>6119583418</v>
      </c>
      <c r="F34" s="482">
        <v>5621040518</v>
      </c>
      <c r="G34" s="731">
        <v>34850451.211599998</v>
      </c>
      <c r="H34" s="724">
        <v>2019</v>
      </c>
      <c r="I34" s="476"/>
      <c r="J34" s="476"/>
      <c r="M34" s="483"/>
      <c r="N34" s="483"/>
      <c r="O34" s="483"/>
      <c r="P34" s="483"/>
      <c r="Q34" s="483"/>
      <c r="R34" s="483"/>
      <c r="S34" s="479"/>
      <c r="V34" s="480"/>
      <c r="W34" s="480"/>
      <c r="X34" s="480"/>
      <c r="Y34" s="480"/>
      <c r="Z34" s="480"/>
      <c r="AA34" s="480"/>
      <c r="AB34" s="480"/>
    </row>
    <row r="35" spans="1:28" ht="12" customHeight="1">
      <c r="A35" s="473" t="s">
        <v>101</v>
      </c>
      <c r="B35" s="731">
        <v>411782935</v>
      </c>
      <c r="C35" s="731">
        <v>323566939</v>
      </c>
      <c r="D35" s="731">
        <v>451654000</v>
      </c>
      <c r="E35" s="482">
        <v>863436935</v>
      </c>
      <c r="F35" s="482">
        <v>775220939</v>
      </c>
      <c r="G35" s="731">
        <v>6046723.3241999997</v>
      </c>
      <c r="H35" s="724">
        <v>2019</v>
      </c>
      <c r="I35" s="476"/>
      <c r="J35" s="476"/>
      <c r="M35" s="483"/>
      <c r="N35" s="483"/>
      <c r="O35" s="483"/>
      <c r="P35" s="483"/>
      <c r="Q35" s="483"/>
      <c r="R35" s="483"/>
      <c r="S35" s="479"/>
      <c r="V35" s="480"/>
      <c r="W35" s="480"/>
      <c r="X35" s="480"/>
      <c r="Y35" s="480"/>
      <c r="Z35" s="480"/>
      <c r="AA35" s="480"/>
      <c r="AB35" s="480"/>
    </row>
    <row r="36" spans="1:28" ht="9" customHeight="1">
      <c r="B36" s="731"/>
      <c r="C36" s="731"/>
      <c r="D36" s="731"/>
      <c r="E36" s="482"/>
      <c r="F36" s="482"/>
      <c r="G36" s="731"/>
      <c r="H36" s="724"/>
      <c r="M36" s="483"/>
      <c r="N36" s="483"/>
      <c r="O36" s="483"/>
      <c r="P36" s="483"/>
      <c r="Q36" s="483"/>
      <c r="R36" s="483"/>
      <c r="S36" s="479"/>
      <c r="V36" s="480"/>
      <c r="W36" s="480"/>
      <c r="X36" s="480"/>
      <c r="Y36" s="480"/>
      <c r="Z36" s="480"/>
      <c r="AA36" s="480"/>
      <c r="AB36" s="480"/>
    </row>
    <row r="37" spans="1:28" ht="12" customHeight="1">
      <c r="A37" s="473" t="s">
        <v>103</v>
      </c>
      <c r="B37" s="731">
        <v>393914600</v>
      </c>
      <c r="C37" s="731">
        <v>393914600</v>
      </c>
      <c r="D37" s="731">
        <v>898812600</v>
      </c>
      <c r="E37" s="482">
        <v>1292727200</v>
      </c>
      <c r="F37" s="482">
        <v>1292727200</v>
      </c>
      <c r="G37" s="731">
        <v>7756363.1999999993</v>
      </c>
      <c r="H37" s="724">
        <v>2019</v>
      </c>
      <c r="I37" s="476"/>
      <c r="J37" s="476"/>
      <c r="M37" s="483"/>
      <c r="N37" s="483"/>
      <c r="O37" s="483"/>
      <c r="P37" s="483"/>
      <c r="Q37" s="483"/>
      <c r="R37" s="483"/>
      <c r="S37" s="479"/>
      <c r="V37" s="480"/>
      <c r="W37" s="480"/>
      <c r="X37" s="480"/>
      <c r="Y37" s="480"/>
      <c r="Z37" s="480"/>
      <c r="AA37" s="480"/>
      <c r="AB37" s="480"/>
    </row>
    <row r="38" spans="1:28" ht="12" customHeight="1">
      <c r="A38" s="473" t="s">
        <v>105</v>
      </c>
      <c r="B38" s="731">
        <v>1043356913</v>
      </c>
      <c r="C38" s="731">
        <v>727713763</v>
      </c>
      <c r="D38" s="731">
        <v>1720031700</v>
      </c>
      <c r="E38" s="482">
        <v>2763388613</v>
      </c>
      <c r="F38" s="482">
        <v>2447745463</v>
      </c>
      <c r="G38" s="731">
        <v>19337189.157699998</v>
      </c>
      <c r="H38" s="724">
        <v>2019</v>
      </c>
      <c r="I38" s="476"/>
      <c r="J38" s="476"/>
      <c r="M38" s="483"/>
      <c r="N38" s="483"/>
      <c r="O38" s="483"/>
      <c r="P38" s="483"/>
      <c r="Q38" s="483"/>
      <c r="R38" s="483"/>
      <c r="S38" s="479"/>
      <c r="V38" s="480"/>
      <c r="W38" s="480"/>
      <c r="X38" s="480"/>
      <c r="Y38" s="480"/>
      <c r="Z38" s="480"/>
      <c r="AA38" s="480"/>
      <c r="AB38" s="480"/>
    </row>
    <row r="39" spans="1:28" ht="12" customHeight="1">
      <c r="A39" s="473" t="s">
        <v>107</v>
      </c>
      <c r="B39" s="731">
        <v>711880900</v>
      </c>
      <c r="C39" s="731">
        <v>621217419</v>
      </c>
      <c r="D39" s="731">
        <v>679111100</v>
      </c>
      <c r="E39" s="482">
        <v>1390992000</v>
      </c>
      <c r="F39" s="482">
        <v>1300328519</v>
      </c>
      <c r="G39" s="731">
        <v>11442890.9672</v>
      </c>
      <c r="H39" s="724">
        <v>2019</v>
      </c>
      <c r="I39" s="476"/>
      <c r="J39" s="476"/>
      <c r="P39" s="484"/>
      <c r="Q39" s="484"/>
      <c r="S39" s="479"/>
      <c r="V39" s="480"/>
      <c r="W39" s="480"/>
      <c r="X39" s="480"/>
      <c r="Y39" s="480"/>
      <c r="Z39" s="480"/>
      <c r="AA39" s="480"/>
      <c r="AB39" s="480"/>
    </row>
    <row r="40" spans="1:28" ht="11.25" customHeight="1">
      <c r="A40" s="473" t="s">
        <v>423</v>
      </c>
      <c r="B40" s="731">
        <v>89982549903</v>
      </c>
      <c r="C40" s="731">
        <v>89821836470</v>
      </c>
      <c r="D40" s="731">
        <v>165370118480</v>
      </c>
      <c r="E40" s="482">
        <v>255352668383</v>
      </c>
      <c r="F40" s="482">
        <v>255191954950</v>
      </c>
      <c r="G40" s="731">
        <v>2934707481.9249997</v>
      </c>
      <c r="H40" s="844" t="s">
        <v>965</v>
      </c>
      <c r="I40" s="476"/>
      <c r="J40" s="476"/>
      <c r="M40" s="483"/>
      <c r="N40" s="483"/>
      <c r="O40" s="483"/>
      <c r="P40" s="483"/>
      <c r="Q40" s="483"/>
      <c r="R40" s="483"/>
      <c r="S40" s="479"/>
      <c r="V40" s="480"/>
      <c r="W40" s="480"/>
      <c r="X40" s="480"/>
      <c r="Y40" s="480"/>
      <c r="Z40" s="480"/>
      <c r="AA40" s="480"/>
      <c r="AB40" s="480"/>
    </row>
    <row r="41" spans="1:28" ht="12" customHeight="1">
      <c r="A41" s="473" t="s">
        <v>111</v>
      </c>
      <c r="B41" s="731">
        <v>6091558000</v>
      </c>
      <c r="C41" s="731">
        <v>4710596200</v>
      </c>
      <c r="D41" s="731">
        <v>7334427500</v>
      </c>
      <c r="E41" s="482">
        <v>13425985500</v>
      </c>
      <c r="F41" s="482">
        <v>12045023700</v>
      </c>
      <c r="G41" s="731">
        <v>119727535.57799999</v>
      </c>
      <c r="H41" s="724">
        <v>2019</v>
      </c>
      <c r="I41" s="476"/>
      <c r="J41" s="476"/>
      <c r="M41" s="483"/>
      <c r="N41" s="483"/>
      <c r="O41" s="483"/>
      <c r="P41" s="483"/>
      <c r="Q41" s="483"/>
      <c r="R41" s="483"/>
      <c r="S41" s="479"/>
      <c r="V41" s="480"/>
      <c r="W41" s="480"/>
      <c r="X41" s="480"/>
      <c r="Y41" s="480"/>
      <c r="Z41" s="480"/>
      <c r="AA41" s="480"/>
      <c r="AB41" s="480"/>
    </row>
    <row r="42" spans="1:28" ht="14">
      <c r="A42" s="472" t="s">
        <v>833</v>
      </c>
      <c r="M42" s="483"/>
      <c r="N42" s="483"/>
      <c r="O42" s="483"/>
      <c r="P42" s="483"/>
      <c r="Q42" s="483"/>
      <c r="R42" s="483"/>
      <c r="S42" s="479"/>
      <c r="V42" s="480"/>
      <c r="W42" s="480"/>
      <c r="X42" s="480"/>
      <c r="Y42" s="480"/>
      <c r="Z42" s="480"/>
      <c r="AA42" s="480"/>
      <c r="AB42" s="480"/>
    </row>
    <row r="43" spans="1:28" ht="13">
      <c r="A43" s="1959" t="str">
        <f>A2</f>
        <v>Real Estate Fair Market Value (FMV), Fair Market Value (Taxable), and Local Levy by Locality - Tax Year 2019</v>
      </c>
      <c r="B43" s="1959"/>
      <c r="C43" s="1959"/>
      <c r="D43" s="1959"/>
      <c r="E43" s="1959"/>
      <c r="F43" s="1959"/>
      <c r="G43" s="1959"/>
      <c r="H43" s="1959"/>
      <c r="M43" s="483"/>
      <c r="N43" s="483"/>
      <c r="O43" s="483"/>
      <c r="P43" s="483"/>
      <c r="Q43" s="483"/>
      <c r="R43" s="483"/>
      <c r="S43" s="479"/>
      <c r="V43" s="480"/>
      <c r="W43" s="480"/>
      <c r="X43" s="480"/>
      <c r="Y43" s="480"/>
      <c r="Z43" s="480"/>
      <c r="AA43" s="480"/>
      <c r="AB43" s="480"/>
    </row>
    <row r="44" spans="1:28" ht="12" thickBot="1">
      <c r="A44" s="490"/>
      <c r="B44" s="490"/>
      <c r="C44" s="490"/>
      <c r="D44" s="490"/>
      <c r="E44" s="490"/>
      <c r="F44" s="490"/>
      <c r="G44" s="490"/>
      <c r="H44" s="490"/>
      <c r="M44" s="483"/>
      <c r="N44" s="483"/>
      <c r="O44" s="483"/>
      <c r="P44" s="483"/>
      <c r="Q44" s="483"/>
      <c r="R44" s="483"/>
      <c r="S44" s="479"/>
      <c r="V44" s="480"/>
      <c r="W44" s="480"/>
      <c r="X44" s="480"/>
      <c r="Y44" s="480"/>
      <c r="Z44" s="480"/>
      <c r="AA44" s="480"/>
      <c r="AB44" s="480"/>
    </row>
    <row r="45" spans="1:28">
      <c r="M45" s="483"/>
      <c r="N45" s="483"/>
      <c r="O45" s="483"/>
      <c r="P45" s="483"/>
      <c r="Q45" s="483"/>
      <c r="R45" s="483"/>
      <c r="S45" s="479"/>
      <c r="V45" s="480"/>
      <c r="W45" s="480"/>
      <c r="X45" s="480"/>
      <c r="Y45" s="480"/>
      <c r="Z45" s="480"/>
      <c r="AA45" s="480"/>
      <c r="AB45" s="480"/>
    </row>
    <row r="46" spans="1:28">
      <c r="A46" s="495" t="s">
        <v>21</v>
      </c>
      <c r="B46" s="495" t="s">
        <v>825</v>
      </c>
      <c r="C46" s="495" t="s">
        <v>826</v>
      </c>
      <c r="D46" s="495" t="s">
        <v>827</v>
      </c>
      <c r="E46" s="495" t="s">
        <v>828</v>
      </c>
      <c r="F46" s="495" t="s">
        <v>829</v>
      </c>
      <c r="G46" s="495" t="s">
        <v>830</v>
      </c>
      <c r="H46" s="537" t="s">
        <v>831</v>
      </c>
      <c r="M46" s="483"/>
      <c r="N46" s="483"/>
      <c r="O46" s="483"/>
      <c r="P46" s="483"/>
      <c r="Q46" s="483"/>
      <c r="R46" s="483"/>
      <c r="S46" s="479"/>
      <c r="V46" s="480"/>
      <c r="W46" s="480"/>
      <c r="X46" s="480"/>
      <c r="Y46" s="480"/>
      <c r="Z46" s="480"/>
      <c r="AA46" s="480"/>
      <c r="AB46" s="480"/>
    </row>
    <row r="47" spans="1:28" ht="8.25" customHeight="1">
      <c r="B47" s="481"/>
      <c r="C47" s="481"/>
      <c r="D47" s="481"/>
      <c r="E47" s="485"/>
      <c r="F47" s="485"/>
      <c r="G47" s="481"/>
      <c r="M47" s="483"/>
      <c r="N47" s="483"/>
      <c r="O47" s="483"/>
      <c r="P47" s="483"/>
      <c r="Q47" s="483"/>
      <c r="R47" s="483"/>
      <c r="S47" s="479"/>
      <c r="V47" s="480"/>
      <c r="W47" s="480"/>
      <c r="X47" s="480"/>
      <c r="Y47" s="480"/>
      <c r="Z47" s="480"/>
      <c r="AA47" s="480"/>
      <c r="AB47" s="480"/>
    </row>
    <row r="48" spans="1:28" ht="12" customHeight="1">
      <c r="A48" s="473" t="s">
        <v>113</v>
      </c>
      <c r="B48" s="730">
        <v>898471000</v>
      </c>
      <c r="C48" s="730">
        <v>707822000</v>
      </c>
      <c r="D48" s="730">
        <v>892933700</v>
      </c>
      <c r="E48" s="475">
        <v>1791404700</v>
      </c>
      <c r="F48" s="475">
        <v>1600755700</v>
      </c>
      <c r="G48" s="730">
        <v>9604534.1999999993</v>
      </c>
      <c r="H48" s="724">
        <v>2019</v>
      </c>
      <c r="I48" s="476"/>
      <c r="J48" s="476"/>
      <c r="M48" s="483"/>
      <c r="N48" s="483"/>
      <c r="O48" s="483"/>
      <c r="P48" s="483"/>
      <c r="Q48" s="483"/>
      <c r="R48" s="483"/>
      <c r="S48" s="479"/>
      <c r="V48" s="480"/>
      <c r="W48" s="480"/>
      <c r="X48" s="480"/>
      <c r="Y48" s="480"/>
      <c r="Z48" s="480"/>
      <c r="AA48" s="480"/>
      <c r="AB48" s="480"/>
    </row>
    <row r="49" spans="1:28" ht="12" customHeight="1">
      <c r="A49" s="473" t="s">
        <v>115</v>
      </c>
      <c r="B49" s="731">
        <v>1040922402</v>
      </c>
      <c r="C49" s="731">
        <v>739667302</v>
      </c>
      <c r="D49" s="731">
        <v>1928958100</v>
      </c>
      <c r="E49" s="482">
        <v>2969880502</v>
      </c>
      <c r="F49" s="482">
        <v>2668625402</v>
      </c>
      <c r="G49" s="731">
        <v>24684784.968499999</v>
      </c>
      <c r="H49" s="724">
        <v>2019</v>
      </c>
      <c r="I49" s="476"/>
      <c r="J49" s="476"/>
      <c r="M49" s="483"/>
      <c r="N49" s="483"/>
      <c r="O49" s="483"/>
      <c r="P49" s="483"/>
      <c r="Q49" s="483"/>
      <c r="R49" s="483"/>
      <c r="S49" s="479"/>
      <c r="V49" s="480"/>
      <c r="W49" s="480"/>
      <c r="X49" s="480"/>
      <c r="Y49" s="480"/>
      <c r="Z49" s="480"/>
      <c r="AA49" s="480"/>
      <c r="AB49" s="480"/>
    </row>
    <row r="50" spans="1:28" ht="12" customHeight="1">
      <c r="A50" s="473" t="s">
        <v>24</v>
      </c>
      <c r="B50" s="731">
        <v>3061519000</v>
      </c>
      <c r="C50" s="731">
        <v>2628338016</v>
      </c>
      <c r="D50" s="731">
        <v>4091206800</v>
      </c>
      <c r="E50" s="482">
        <v>7152725800</v>
      </c>
      <c r="F50" s="482">
        <v>6719544816</v>
      </c>
      <c r="G50" s="731">
        <v>40989223.377599999</v>
      </c>
      <c r="H50" s="724">
        <v>2019</v>
      </c>
      <c r="I50" s="476"/>
      <c r="J50" s="476"/>
      <c r="M50" s="483"/>
      <c r="N50" s="483"/>
      <c r="O50" s="483"/>
      <c r="P50" s="483"/>
      <c r="Q50" s="483"/>
      <c r="R50" s="483"/>
      <c r="S50" s="479"/>
      <c r="V50" s="480"/>
      <c r="W50" s="480"/>
      <c r="X50" s="480"/>
      <c r="Y50" s="480"/>
      <c r="Z50" s="480"/>
      <c r="AA50" s="480"/>
      <c r="AB50" s="480"/>
    </row>
    <row r="51" spans="1:28" ht="12" customHeight="1">
      <c r="A51" s="473" t="s">
        <v>118</v>
      </c>
      <c r="B51" s="731">
        <v>3842066700</v>
      </c>
      <c r="C51" s="731">
        <v>3336247300</v>
      </c>
      <c r="D51" s="731">
        <v>7112106475</v>
      </c>
      <c r="E51" s="482">
        <v>10954173175</v>
      </c>
      <c r="F51" s="482">
        <v>10448353775</v>
      </c>
      <c r="G51" s="732">
        <v>63734958.027499996</v>
      </c>
      <c r="H51" s="724">
        <v>2019</v>
      </c>
      <c r="I51" s="476"/>
      <c r="J51" s="476"/>
      <c r="M51" s="483"/>
      <c r="N51" s="483"/>
      <c r="O51" s="483"/>
      <c r="P51" s="483"/>
      <c r="Q51" s="483"/>
      <c r="R51" s="483"/>
      <c r="S51" s="479"/>
      <c r="V51" s="480"/>
      <c r="W51" s="480"/>
      <c r="X51" s="480"/>
      <c r="Y51" s="480"/>
      <c r="Z51" s="480"/>
      <c r="AA51" s="480"/>
      <c r="AB51" s="480"/>
    </row>
    <row r="52" spans="1:28" ht="12" customHeight="1">
      <c r="A52" s="473" t="s">
        <v>120</v>
      </c>
      <c r="B52" s="731">
        <v>453321700</v>
      </c>
      <c r="C52" s="731">
        <v>319226000</v>
      </c>
      <c r="D52" s="731">
        <v>755482000</v>
      </c>
      <c r="E52" s="482">
        <v>1208803700</v>
      </c>
      <c r="F52" s="482">
        <v>1074708000</v>
      </c>
      <c r="G52" s="731">
        <v>7200543.6000000006</v>
      </c>
      <c r="H52" s="724">
        <v>2019</v>
      </c>
      <c r="I52" s="476"/>
      <c r="J52" s="476"/>
      <c r="M52" s="483"/>
      <c r="N52" s="483"/>
      <c r="O52" s="483"/>
      <c r="P52" s="483"/>
      <c r="Q52" s="483"/>
      <c r="R52" s="483"/>
      <c r="S52" s="479"/>
      <c r="V52" s="480"/>
      <c r="W52" s="480"/>
      <c r="X52" s="480"/>
      <c r="Y52" s="480"/>
      <c r="Z52" s="480"/>
      <c r="AA52" s="480"/>
      <c r="AB52" s="480"/>
    </row>
    <row r="53" spans="1:28" ht="9" customHeight="1">
      <c r="B53" s="731"/>
      <c r="C53" s="731"/>
      <c r="D53" s="731"/>
      <c r="E53" s="482"/>
      <c r="F53" s="482"/>
      <c r="G53" s="731"/>
      <c r="H53" s="724"/>
      <c r="M53" s="483"/>
      <c r="N53" s="483"/>
      <c r="O53" s="483"/>
      <c r="P53" s="483"/>
      <c r="Q53" s="483"/>
      <c r="R53" s="483"/>
      <c r="S53" s="479"/>
      <c r="V53" s="480"/>
      <c r="W53" s="480"/>
      <c r="X53" s="480"/>
      <c r="Y53" s="480"/>
      <c r="Z53" s="480"/>
      <c r="AA53" s="480"/>
      <c r="AB53" s="480"/>
    </row>
    <row r="54" spans="1:28" ht="12" customHeight="1">
      <c r="A54" s="473" t="s">
        <v>55</v>
      </c>
      <c r="B54" s="731">
        <v>1784288284</v>
      </c>
      <c r="C54" s="731">
        <v>1687328084</v>
      </c>
      <c r="D54" s="731">
        <v>2704479402</v>
      </c>
      <c r="E54" s="482">
        <v>4488767686</v>
      </c>
      <c r="F54" s="482">
        <v>4391807486</v>
      </c>
      <c r="G54" s="731">
        <v>30523062.027699996</v>
      </c>
      <c r="H54" s="724">
        <v>2019</v>
      </c>
      <c r="I54" s="476"/>
      <c r="J54" s="476"/>
      <c r="M54" s="483"/>
      <c r="N54" s="483"/>
      <c r="O54" s="483"/>
      <c r="P54" s="483"/>
      <c r="Q54" s="483"/>
      <c r="R54" s="483"/>
      <c r="S54" s="479"/>
      <c r="V54" s="480"/>
      <c r="W54" s="480"/>
      <c r="X54" s="480"/>
      <c r="Y54" s="480"/>
      <c r="Z54" s="480"/>
      <c r="AA54" s="480"/>
      <c r="AB54" s="480"/>
    </row>
    <row r="55" spans="1:28" ht="12" customHeight="1">
      <c r="A55" s="473" t="s">
        <v>57</v>
      </c>
      <c r="B55" s="731">
        <v>2631210300</v>
      </c>
      <c r="C55" s="731">
        <v>2045806300</v>
      </c>
      <c r="D55" s="731">
        <v>3275434400</v>
      </c>
      <c r="E55" s="482">
        <v>5906644700</v>
      </c>
      <c r="F55" s="482">
        <v>5321240700</v>
      </c>
      <c r="G55" s="731">
        <v>28202575.710000001</v>
      </c>
      <c r="H55" s="724">
        <v>2019</v>
      </c>
      <c r="I55" s="476"/>
      <c r="J55" s="476"/>
      <c r="L55" s="1961"/>
      <c r="M55" s="1961"/>
      <c r="N55" s="1961"/>
      <c r="O55" s="1961"/>
      <c r="P55" s="1961"/>
      <c r="Q55" s="1961"/>
      <c r="R55" s="1961"/>
      <c r="S55" s="1961"/>
      <c r="V55" s="480"/>
      <c r="W55" s="480"/>
      <c r="X55" s="480"/>
      <c r="Y55" s="480"/>
      <c r="Z55" s="480"/>
      <c r="AA55" s="480"/>
      <c r="AB55" s="480"/>
    </row>
    <row r="56" spans="1:28" ht="12" customHeight="1">
      <c r="A56" s="473" t="s">
        <v>59</v>
      </c>
      <c r="B56" s="731">
        <v>1044343700</v>
      </c>
      <c r="C56" s="731">
        <v>1044343700</v>
      </c>
      <c r="D56" s="731">
        <v>623790200</v>
      </c>
      <c r="E56" s="482">
        <v>1668133900</v>
      </c>
      <c r="F56" s="482">
        <v>1668133900</v>
      </c>
      <c r="G56" s="731">
        <v>9341549.8400000017</v>
      </c>
      <c r="H56" s="724">
        <v>2019</v>
      </c>
      <c r="I56" s="476"/>
      <c r="J56" s="476"/>
      <c r="L56" s="486"/>
      <c r="V56" s="480"/>
      <c r="W56" s="480"/>
      <c r="X56" s="480"/>
      <c r="Y56" s="480"/>
      <c r="Z56" s="480"/>
      <c r="AA56" s="480"/>
      <c r="AB56" s="480"/>
    </row>
    <row r="57" spans="1:28" ht="12" customHeight="1">
      <c r="A57" s="473" t="s">
        <v>61</v>
      </c>
      <c r="B57" s="731">
        <v>950103602</v>
      </c>
      <c r="C57" s="731">
        <v>670683052</v>
      </c>
      <c r="D57" s="731">
        <v>1364388047</v>
      </c>
      <c r="E57" s="482">
        <v>2314491649</v>
      </c>
      <c r="F57" s="482">
        <v>2035071099</v>
      </c>
      <c r="G57" s="731">
        <v>16687583.011799999</v>
      </c>
      <c r="H57" s="724">
        <v>2019</v>
      </c>
      <c r="I57" s="476"/>
      <c r="J57" s="476"/>
      <c r="L57" s="1960"/>
      <c r="M57" s="1960"/>
      <c r="N57" s="1960"/>
      <c r="O57" s="1960"/>
      <c r="P57" s="1960"/>
      <c r="Q57" s="1960"/>
      <c r="R57" s="1960"/>
      <c r="S57" s="1960"/>
      <c r="V57" s="480"/>
      <c r="W57" s="480"/>
      <c r="X57" s="480"/>
      <c r="Y57" s="480"/>
      <c r="Z57" s="480"/>
      <c r="AA57" s="480"/>
      <c r="AB57" s="480"/>
    </row>
    <row r="58" spans="1:28" ht="12" customHeight="1">
      <c r="A58" s="477" t="s">
        <v>63</v>
      </c>
      <c r="B58" s="731">
        <v>313742510</v>
      </c>
      <c r="C58" s="731">
        <v>312119397</v>
      </c>
      <c r="D58" s="731">
        <v>323224400</v>
      </c>
      <c r="E58" s="482">
        <v>636966910</v>
      </c>
      <c r="F58" s="482">
        <v>635343797</v>
      </c>
      <c r="G58" s="731">
        <v>4256803.4398999996</v>
      </c>
      <c r="H58" s="724">
        <v>2019</v>
      </c>
      <c r="I58" s="476"/>
      <c r="J58" s="476"/>
      <c r="V58" s="480"/>
      <c r="W58" s="480"/>
      <c r="X58" s="480"/>
      <c r="Y58" s="480"/>
      <c r="Z58" s="480"/>
      <c r="AA58" s="480"/>
      <c r="AB58" s="480"/>
    </row>
    <row r="59" spans="1:28" ht="9" customHeight="1">
      <c r="B59" s="723"/>
      <c r="C59" s="723"/>
      <c r="D59" s="723"/>
      <c r="E59" s="723"/>
      <c r="F59" s="723"/>
      <c r="G59" s="723"/>
      <c r="H59" s="724"/>
      <c r="V59" s="480"/>
      <c r="W59" s="480"/>
      <c r="X59" s="480"/>
      <c r="Y59" s="480"/>
      <c r="Z59" s="480"/>
      <c r="AA59" s="480"/>
      <c r="AB59" s="480"/>
    </row>
    <row r="60" spans="1:28" ht="12" customHeight="1">
      <c r="A60" s="473" t="s">
        <v>328</v>
      </c>
      <c r="B60" s="731">
        <v>1145755167</v>
      </c>
      <c r="C60" s="731">
        <v>1145755167</v>
      </c>
      <c r="D60" s="731">
        <v>1543988869</v>
      </c>
      <c r="E60" s="482">
        <v>2689744036</v>
      </c>
      <c r="F60" s="482">
        <v>2689744036</v>
      </c>
      <c r="G60" s="731">
        <v>13448784.9</v>
      </c>
      <c r="H60" s="724">
        <v>2019</v>
      </c>
      <c r="I60" s="476"/>
      <c r="J60" s="476"/>
      <c r="M60" s="478"/>
      <c r="N60" s="478"/>
      <c r="O60" s="478"/>
      <c r="P60" s="478"/>
      <c r="Q60" s="478"/>
      <c r="R60" s="478"/>
      <c r="S60" s="479"/>
      <c r="V60" s="480"/>
      <c r="W60" s="480"/>
      <c r="X60" s="480"/>
      <c r="Y60" s="480"/>
      <c r="Z60" s="480"/>
      <c r="AA60" s="480"/>
      <c r="AB60" s="480"/>
    </row>
    <row r="61" spans="1:28" ht="12" customHeight="1">
      <c r="A61" s="473" t="s">
        <v>67</v>
      </c>
      <c r="B61" s="731">
        <v>5237984795</v>
      </c>
      <c r="C61" s="731">
        <v>4639318602</v>
      </c>
      <c r="D61" s="731">
        <v>10603055015</v>
      </c>
      <c r="E61" s="482">
        <v>15841039810</v>
      </c>
      <c r="F61" s="482">
        <v>15242373617</v>
      </c>
      <c r="G61" s="731">
        <v>123463226.2977</v>
      </c>
      <c r="H61" s="724">
        <v>2019</v>
      </c>
      <c r="I61" s="476"/>
      <c r="J61" s="476"/>
      <c r="M61" s="483"/>
      <c r="N61" s="483"/>
      <c r="O61" s="483"/>
      <c r="P61" s="483"/>
      <c r="Q61" s="483"/>
      <c r="R61" s="483"/>
      <c r="S61" s="479"/>
      <c r="V61" s="480"/>
      <c r="W61" s="480"/>
      <c r="X61" s="480"/>
      <c r="Y61" s="480"/>
      <c r="Z61" s="480"/>
      <c r="AA61" s="480"/>
      <c r="AB61" s="480"/>
    </row>
    <row r="62" spans="1:28" ht="12" customHeight="1">
      <c r="A62" s="473" t="s">
        <v>69</v>
      </c>
      <c r="B62" s="731">
        <v>9991204300</v>
      </c>
      <c r="C62" s="731">
        <v>9804033400</v>
      </c>
      <c r="D62" s="731">
        <v>30399855100</v>
      </c>
      <c r="E62" s="482">
        <v>40391059400</v>
      </c>
      <c r="F62" s="482">
        <v>40203888500</v>
      </c>
      <c r="G62" s="731">
        <v>349773829.94999999</v>
      </c>
      <c r="H62" s="724">
        <v>2019</v>
      </c>
      <c r="I62" s="476"/>
      <c r="J62" s="476"/>
      <c r="M62" s="483"/>
      <c r="N62" s="483"/>
      <c r="O62" s="483"/>
      <c r="P62" s="483"/>
      <c r="Q62" s="483"/>
      <c r="R62" s="483"/>
      <c r="S62" s="479"/>
      <c r="V62" s="480"/>
      <c r="W62" s="480"/>
      <c r="X62" s="480"/>
      <c r="Y62" s="480"/>
      <c r="Z62" s="480"/>
      <c r="AA62" s="480"/>
      <c r="AB62" s="480"/>
    </row>
    <row r="63" spans="1:28" ht="12" customHeight="1">
      <c r="A63" s="473" t="s">
        <v>71</v>
      </c>
      <c r="B63" s="731">
        <v>796022500</v>
      </c>
      <c r="C63" s="731">
        <v>760547300</v>
      </c>
      <c r="D63" s="731">
        <v>2150619200</v>
      </c>
      <c r="E63" s="482">
        <v>2946641700</v>
      </c>
      <c r="F63" s="482">
        <v>2911166500</v>
      </c>
      <c r="G63" s="731">
        <v>16156974.075000001</v>
      </c>
      <c r="H63" s="724">
        <v>2019</v>
      </c>
      <c r="I63" s="476"/>
      <c r="J63" s="476"/>
      <c r="M63" s="483"/>
      <c r="N63" s="483"/>
      <c r="O63" s="483"/>
      <c r="P63" s="483"/>
      <c r="Q63" s="483"/>
      <c r="R63" s="483"/>
      <c r="S63" s="479"/>
      <c r="V63" s="480"/>
      <c r="W63" s="480"/>
      <c r="X63" s="480"/>
      <c r="Y63" s="480"/>
      <c r="Z63" s="480"/>
      <c r="AA63" s="480"/>
      <c r="AB63" s="480"/>
    </row>
    <row r="64" spans="1:28" ht="12" customHeight="1">
      <c r="A64" s="473" t="s">
        <v>72</v>
      </c>
      <c r="B64" s="731">
        <v>437545700</v>
      </c>
      <c r="C64" s="731">
        <v>437545700</v>
      </c>
      <c r="D64" s="731">
        <v>236608500</v>
      </c>
      <c r="E64" s="482">
        <v>674154200</v>
      </c>
      <c r="F64" s="482">
        <v>674154200</v>
      </c>
      <c r="G64" s="731">
        <v>3235940.1599999997</v>
      </c>
      <c r="H64" s="724">
        <v>2019</v>
      </c>
      <c r="I64" s="476"/>
      <c r="J64" s="476"/>
      <c r="M64" s="483"/>
      <c r="N64" s="483"/>
      <c r="O64" s="483"/>
      <c r="P64" s="483"/>
      <c r="Q64" s="483"/>
      <c r="R64" s="483"/>
      <c r="S64" s="479"/>
      <c r="V64" s="480"/>
      <c r="W64" s="480"/>
      <c r="X64" s="480"/>
      <c r="Y64" s="480"/>
      <c r="Z64" s="480"/>
      <c r="AA64" s="480"/>
      <c r="AB64" s="480"/>
    </row>
    <row r="65" spans="1:28" ht="9" customHeight="1">
      <c r="B65" s="731"/>
      <c r="C65" s="731"/>
      <c r="D65" s="731"/>
      <c r="E65" s="482"/>
      <c r="F65" s="482"/>
      <c r="G65" s="731"/>
      <c r="H65" s="724"/>
      <c r="M65" s="483"/>
      <c r="N65" s="483"/>
      <c r="O65" s="483"/>
      <c r="P65" s="483"/>
      <c r="Q65" s="483"/>
      <c r="R65" s="483"/>
      <c r="S65" s="479"/>
      <c r="V65" s="480"/>
      <c r="W65" s="480"/>
      <c r="X65" s="480"/>
      <c r="Y65" s="480"/>
      <c r="Z65" s="480"/>
      <c r="AA65" s="480"/>
      <c r="AB65" s="480"/>
    </row>
    <row r="66" spans="1:28" ht="12" customHeight="1">
      <c r="A66" s="473" t="s">
        <v>74</v>
      </c>
      <c r="B66" s="731">
        <v>1728224624</v>
      </c>
      <c r="C66" s="731">
        <v>1418746124</v>
      </c>
      <c r="D66" s="731">
        <v>3278949656</v>
      </c>
      <c r="E66" s="482">
        <v>5007174280</v>
      </c>
      <c r="F66" s="482">
        <v>4697695780</v>
      </c>
      <c r="G66" s="731">
        <v>39930414.129999995</v>
      </c>
      <c r="H66" s="724" t="s">
        <v>907</v>
      </c>
      <c r="I66" s="476"/>
      <c r="J66" s="476"/>
      <c r="M66" s="483"/>
      <c r="N66" s="483"/>
      <c r="O66" s="483"/>
      <c r="P66" s="483"/>
      <c r="Q66" s="483"/>
      <c r="R66" s="483"/>
      <c r="S66" s="479"/>
      <c r="V66" s="480"/>
      <c r="W66" s="480"/>
      <c r="X66" s="480"/>
      <c r="Y66" s="480"/>
      <c r="Z66" s="480"/>
      <c r="AA66" s="480"/>
      <c r="AB66" s="480"/>
    </row>
    <row r="67" spans="1:28" ht="12" customHeight="1">
      <c r="A67" s="473" t="s">
        <v>914</v>
      </c>
      <c r="B67" s="731">
        <v>3312260100</v>
      </c>
      <c r="C67" s="731">
        <v>3182804467</v>
      </c>
      <c r="D67" s="731">
        <v>8906498600</v>
      </c>
      <c r="E67" s="482">
        <v>12218758700</v>
      </c>
      <c r="F67" s="482">
        <v>12089303067</v>
      </c>
      <c r="G67" s="731">
        <v>101550145.76279999</v>
      </c>
      <c r="H67" s="724" t="s">
        <v>891</v>
      </c>
      <c r="I67" s="476"/>
      <c r="J67" s="476"/>
      <c r="M67" s="483"/>
      <c r="N67" s="483"/>
      <c r="O67" s="483"/>
      <c r="P67" s="483"/>
      <c r="Q67" s="483"/>
      <c r="R67" s="483"/>
      <c r="S67" s="479"/>
      <c r="V67" s="480"/>
      <c r="W67" s="480"/>
      <c r="X67" s="480"/>
      <c r="Y67" s="480"/>
      <c r="Z67" s="480"/>
      <c r="AA67" s="480"/>
      <c r="AB67" s="480"/>
    </row>
    <row r="68" spans="1:28" ht="12" customHeight="1">
      <c r="A68" s="473" t="s">
        <v>78</v>
      </c>
      <c r="B68" s="731">
        <v>493452000</v>
      </c>
      <c r="C68" s="731">
        <v>493452000</v>
      </c>
      <c r="D68" s="731">
        <v>408975400</v>
      </c>
      <c r="E68" s="482">
        <v>902427400</v>
      </c>
      <c r="F68" s="482">
        <v>902427400</v>
      </c>
      <c r="G68" s="731">
        <v>4782865.2200000007</v>
      </c>
      <c r="H68" s="724">
        <v>2019</v>
      </c>
      <c r="I68" s="476"/>
      <c r="J68" s="476"/>
      <c r="M68" s="483"/>
      <c r="N68" s="483"/>
      <c r="O68" s="483"/>
      <c r="P68" s="483"/>
      <c r="Q68" s="483"/>
      <c r="R68" s="483"/>
      <c r="S68" s="479"/>
      <c r="V68" s="480"/>
      <c r="W68" s="480"/>
      <c r="X68" s="480"/>
      <c r="Y68" s="480"/>
      <c r="Z68" s="480"/>
      <c r="AA68" s="480"/>
      <c r="AB68" s="480"/>
    </row>
    <row r="69" spans="1:28" ht="12" customHeight="1">
      <c r="A69" s="473" t="s">
        <v>80</v>
      </c>
      <c r="B69" s="731">
        <v>1154902849</v>
      </c>
      <c r="C69" s="731">
        <v>973342151</v>
      </c>
      <c r="D69" s="731">
        <v>1818786390</v>
      </c>
      <c r="E69" s="482">
        <v>2973689239</v>
      </c>
      <c r="F69" s="482">
        <v>2792128541</v>
      </c>
      <c r="G69" s="731">
        <v>19544899.787</v>
      </c>
      <c r="H69" s="724">
        <v>2019</v>
      </c>
      <c r="I69" s="476"/>
      <c r="J69" s="476"/>
      <c r="M69" s="483"/>
      <c r="N69" s="483"/>
      <c r="O69" s="483"/>
      <c r="P69" s="483"/>
      <c r="Q69" s="483"/>
      <c r="R69" s="483"/>
      <c r="S69" s="479"/>
      <c r="V69" s="480"/>
      <c r="W69" s="480"/>
      <c r="X69" s="480"/>
      <c r="Y69" s="480"/>
      <c r="Z69" s="480"/>
      <c r="AA69" s="480"/>
      <c r="AB69" s="480"/>
    </row>
    <row r="70" spans="1:28" ht="12" customHeight="1">
      <c r="A70" s="473" t="s">
        <v>364</v>
      </c>
      <c r="B70" s="731">
        <v>637951200</v>
      </c>
      <c r="C70" s="731">
        <v>510344800</v>
      </c>
      <c r="D70" s="731">
        <v>771291079</v>
      </c>
      <c r="E70" s="482">
        <v>1409242279</v>
      </c>
      <c r="F70" s="482">
        <v>1281635879</v>
      </c>
      <c r="G70" s="731">
        <v>11022068.5594</v>
      </c>
      <c r="H70" s="724">
        <v>2019</v>
      </c>
      <c r="I70" s="476"/>
      <c r="J70" s="476"/>
      <c r="S70" s="479"/>
      <c r="V70" s="480"/>
      <c r="W70" s="480"/>
      <c r="X70" s="480"/>
      <c r="Y70" s="480"/>
      <c r="Z70" s="480"/>
      <c r="AA70" s="480"/>
      <c r="AB70" s="480"/>
    </row>
    <row r="71" spans="1:28" ht="9" customHeight="1">
      <c r="B71" s="546"/>
      <c r="C71" s="546"/>
      <c r="D71" s="546"/>
      <c r="E71" s="731"/>
      <c r="F71" s="731"/>
      <c r="G71" s="546"/>
      <c r="H71" s="538"/>
      <c r="M71" s="483"/>
      <c r="N71" s="483"/>
      <c r="O71" s="483"/>
      <c r="P71" s="483"/>
      <c r="Q71" s="483"/>
      <c r="R71" s="483"/>
      <c r="S71" s="479"/>
      <c r="V71" s="480"/>
      <c r="W71" s="480"/>
      <c r="X71" s="480"/>
      <c r="Y71" s="480"/>
      <c r="Z71" s="480"/>
      <c r="AA71" s="480"/>
      <c r="AB71" s="480"/>
    </row>
    <row r="72" spans="1:28" ht="12" customHeight="1">
      <c r="A72" s="473" t="s">
        <v>84</v>
      </c>
      <c r="B72" s="731">
        <v>1184998600</v>
      </c>
      <c r="C72" s="731">
        <v>1168427300</v>
      </c>
      <c r="D72" s="731">
        <v>1487217700</v>
      </c>
      <c r="E72" s="482">
        <v>2672216300</v>
      </c>
      <c r="F72" s="482">
        <v>2655645000</v>
      </c>
      <c r="G72" s="731">
        <v>16730563.5</v>
      </c>
      <c r="H72" s="724">
        <v>2019</v>
      </c>
      <c r="I72" s="476"/>
      <c r="J72" s="476"/>
      <c r="M72" s="483"/>
      <c r="N72" s="483"/>
      <c r="O72" s="483"/>
      <c r="P72" s="483"/>
      <c r="Q72" s="483"/>
      <c r="R72" s="483"/>
      <c r="S72" s="479"/>
      <c r="V72" s="480"/>
      <c r="W72" s="480"/>
      <c r="X72" s="480"/>
      <c r="Y72" s="480"/>
      <c r="Z72" s="480"/>
      <c r="AA72" s="480"/>
      <c r="AB72" s="480"/>
    </row>
    <row r="73" spans="1:28" ht="12" customHeight="1">
      <c r="A73" s="473" t="s">
        <v>86</v>
      </c>
      <c r="B73" s="731">
        <v>325049900</v>
      </c>
      <c r="C73" s="731">
        <v>325049900</v>
      </c>
      <c r="D73" s="731">
        <v>640086082</v>
      </c>
      <c r="E73" s="482">
        <v>965135982</v>
      </c>
      <c r="F73" s="482">
        <v>965135982</v>
      </c>
      <c r="G73" s="731">
        <v>5971296.320634</v>
      </c>
      <c r="H73" s="724">
        <v>2019</v>
      </c>
      <c r="I73" s="476"/>
      <c r="J73" s="476"/>
      <c r="M73" s="483"/>
      <c r="N73" s="483"/>
      <c r="O73" s="483"/>
      <c r="P73" s="483"/>
      <c r="Q73" s="483"/>
      <c r="R73" s="483"/>
      <c r="S73" s="479"/>
      <c r="V73" s="480"/>
      <c r="W73" s="480"/>
      <c r="X73" s="480"/>
      <c r="Y73" s="480"/>
      <c r="Z73" s="480"/>
      <c r="AA73" s="480"/>
      <c r="AB73" s="480"/>
    </row>
    <row r="74" spans="1:28" ht="12" customHeight="1">
      <c r="A74" s="473" t="s">
        <v>88</v>
      </c>
      <c r="B74" s="731">
        <v>28429297380</v>
      </c>
      <c r="C74" s="731">
        <v>26650663690</v>
      </c>
      <c r="D74" s="731">
        <v>57479984540</v>
      </c>
      <c r="E74" s="482">
        <v>85909281920</v>
      </c>
      <c r="F74" s="482">
        <v>84130648230</v>
      </c>
      <c r="G74" s="731">
        <v>879165274.00349987</v>
      </c>
      <c r="H74" s="724">
        <v>2019</v>
      </c>
      <c r="I74" s="476"/>
      <c r="J74" s="476"/>
      <c r="M74" s="483"/>
      <c r="N74" s="483"/>
      <c r="O74" s="483"/>
      <c r="P74" s="483"/>
      <c r="Q74" s="483"/>
      <c r="R74" s="483"/>
      <c r="S74" s="479"/>
      <c r="V74" s="480"/>
      <c r="W74" s="480"/>
      <c r="X74" s="480"/>
      <c r="Y74" s="480"/>
      <c r="Z74" s="480"/>
      <c r="AA74" s="480"/>
      <c r="AB74" s="480"/>
    </row>
    <row r="75" spans="1:28" ht="12" customHeight="1">
      <c r="A75" s="473" t="s">
        <v>90</v>
      </c>
      <c r="B75" s="731">
        <v>2258394400</v>
      </c>
      <c r="C75" s="731">
        <v>1727143900</v>
      </c>
      <c r="D75" s="731">
        <v>3322061100</v>
      </c>
      <c r="E75" s="482">
        <v>5580455500</v>
      </c>
      <c r="F75" s="482">
        <v>5049205000</v>
      </c>
      <c r="G75" s="731">
        <v>36354276</v>
      </c>
      <c r="H75" s="724">
        <v>2019</v>
      </c>
      <c r="I75" s="476"/>
      <c r="J75" s="476"/>
      <c r="M75" s="483"/>
      <c r="N75" s="483"/>
      <c r="O75" s="483"/>
      <c r="P75" s="483"/>
      <c r="Q75" s="483"/>
      <c r="R75" s="483"/>
      <c r="S75" s="479"/>
      <c r="V75" s="480"/>
      <c r="W75" s="480"/>
      <c r="X75" s="480"/>
      <c r="Y75" s="480"/>
      <c r="Z75" s="480"/>
      <c r="AA75" s="480"/>
      <c r="AB75" s="480"/>
    </row>
    <row r="76" spans="1:28" ht="12" customHeight="1">
      <c r="A76" s="473" t="s">
        <v>92</v>
      </c>
      <c r="B76" s="731">
        <v>470154700</v>
      </c>
      <c r="C76" s="731">
        <v>470154700</v>
      </c>
      <c r="D76" s="731">
        <v>456347700</v>
      </c>
      <c r="E76" s="482">
        <v>926502400</v>
      </c>
      <c r="F76" s="482">
        <v>926502400</v>
      </c>
      <c r="G76" s="731">
        <v>3520709.12</v>
      </c>
      <c r="H76" s="724">
        <v>2019</v>
      </c>
      <c r="I76" s="476"/>
      <c r="J76" s="476"/>
      <c r="M76" s="483"/>
      <c r="N76" s="483"/>
      <c r="O76" s="483"/>
      <c r="P76" s="483"/>
      <c r="Q76" s="483"/>
      <c r="R76" s="483"/>
      <c r="S76" s="479"/>
      <c r="V76" s="480"/>
      <c r="W76" s="480"/>
      <c r="X76" s="480"/>
      <c r="Y76" s="480"/>
      <c r="Z76" s="480"/>
      <c r="AA76" s="480"/>
      <c r="AB76" s="480"/>
    </row>
    <row r="77" spans="1:28" ht="9" customHeight="1">
      <c r="B77" s="731"/>
      <c r="C77" s="731"/>
      <c r="D77" s="731"/>
      <c r="E77" s="482"/>
      <c r="F77" s="482"/>
      <c r="G77" s="731"/>
      <c r="H77" s="724"/>
      <c r="M77" s="1962"/>
      <c r="N77" s="1962"/>
      <c r="O77" s="1962"/>
      <c r="P77" s="1962"/>
      <c r="Q77" s="1962"/>
      <c r="R77" s="1962"/>
      <c r="S77" s="479"/>
      <c r="V77" s="480"/>
      <c r="W77" s="480"/>
      <c r="X77" s="480"/>
      <c r="Y77" s="480"/>
      <c r="Z77" s="480"/>
      <c r="AA77" s="480"/>
      <c r="AB77" s="480"/>
    </row>
    <row r="78" spans="1:28" ht="12" customHeight="1">
      <c r="A78" s="473" t="s">
        <v>94</v>
      </c>
      <c r="B78" s="731">
        <v>1193714400</v>
      </c>
      <c r="C78" s="731">
        <v>678128700</v>
      </c>
      <c r="D78" s="731">
        <v>1072192500</v>
      </c>
      <c r="E78" s="482">
        <v>2265906900</v>
      </c>
      <c r="F78" s="482">
        <v>1750321200</v>
      </c>
      <c r="G78" s="731">
        <v>12252248.399999999</v>
      </c>
      <c r="H78" s="724">
        <v>2019</v>
      </c>
      <c r="I78" s="476"/>
      <c r="J78" s="476"/>
      <c r="M78" s="483"/>
      <c r="N78" s="483"/>
      <c r="O78" s="483"/>
      <c r="P78" s="483"/>
      <c r="Q78" s="483"/>
      <c r="R78" s="483"/>
      <c r="S78" s="479"/>
      <c r="V78" s="480"/>
      <c r="W78" s="480"/>
      <c r="X78" s="480"/>
      <c r="Y78" s="480"/>
      <c r="Z78" s="480"/>
      <c r="AA78" s="480"/>
      <c r="AB78" s="480"/>
    </row>
    <row r="79" spans="1:28" ht="12" customHeight="1">
      <c r="A79" s="473" t="s">
        <v>96</v>
      </c>
      <c r="B79" s="731">
        <v>718001300</v>
      </c>
      <c r="C79" s="731">
        <v>718001300</v>
      </c>
      <c r="D79" s="731">
        <v>911385200</v>
      </c>
      <c r="E79" s="482">
        <v>1629386500</v>
      </c>
      <c r="F79" s="482">
        <v>1629386500</v>
      </c>
      <c r="G79" s="731">
        <v>10509542.925000001</v>
      </c>
      <c r="H79" s="724">
        <v>2019</v>
      </c>
      <c r="I79" s="476"/>
      <c r="J79" s="476"/>
      <c r="M79" s="483"/>
      <c r="N79" s="483"/>
      <c r="O79" s="483"/>
      <c r="P79" s="483"/>
      <c r="Q79" s="483"/>
      <c r="R79" s="483"/>
      <c r="S79" s="479"/>
      <c r="V79" s="480"/>
      <c r="W79" s="480"/>
      <c r="X79" s="480"/>
      <c r="Y79" s="480"/>
      <c r="Z79" s="480"/>
      <c r="AA79" s="480"/>
      <c r="AB79" s="480"/>
    </row>
    <row r="80" spans="1:28" ht="12" customHeight="1">
      <c r="A80" s="473" t="s">
        <v>98</v>
      </c>
      <c r="B80" s="731">
        <v>1555222600</v>
      </c>
      <c r="C80" s="731">
        <v>1555222600</v>
      </c>
      <c r="D80" s="731">
        <v>2978212000</v>
      </c>
      <c r="E80" s="482">
        <v>4533434600</v>
      </c>
      <c r="F80" s="482">
        <v>4533434600</v>
      </c>
      <c r="G80" s="731">
        <v>19040425.32</v>
      </c>
      <c r="H80" s="724" t="s">
        <v>907</v>
      </c>
      <c r="I80" s="476"/>
      <c r="J80" s="476"/>
      <c r="M80" s="483"/>
      <c r="N80" s="483"/>
      <c r="O80" s="483"/>
      <c r="P80" s="483"/>
      <c r="Q80" s="483"/>
      <c r="R80" s="483"/>
      <c r="S80" s="479"/>
      <c r="V80" s="480"/>
      <c r="W80" s="480"/>
      <c r="X80" s="480"/>
      <c r="Y80" s="480"/>
      <c r="Z80" s="480"/>
      <c r="AA80" s="480"/>
      <c r="AB80" s="480"/>
    </row>
    <row r="81" spans="1:28" ht="12" customHeight="1">
      <c r="A81" s="473" t="s">
        <v>100</v>
      </c>
      <c r="B81" s="731">
        <v>1124997700</v>
      </c>
      <c r="C81" s="731">
        <v>1048431900</v>
      </c>
      <c r="D81" s="731">
        <v>1148923100</v>
      </c>
      <c r="E81" s="482">
        <v>2273920800</v>
      </c>
      <c r="F81" s="482">
        <v>2197355000</v>
      </c>
      <c r="G81" s="731">
        <v>13623601</v>
      </c>
      <c r="H81" s="724">
        <v>2019</v>
      </c>
      <c r="I81" s="476"/>
      <c r="J81" s="476"/>
      <c r="M81" s="484"/>
      <c r="S81" s="479"/>
      <c r="V81" s="480"/>
      <c r="W81" s="480"/>
      <c r="X81" s="480"/>
      <c r="Y81" s="480"/>
      <c r="Z81" s="480"/>
      <c r="AA81" s="480"/>
      <c r="AB81" s="480"/>
    </row>
    <row r="82" spans="1:28" ht="12" customHeight="1">
      <c r="A82" s="473" t="s">
        <v>102</v>
      </c>
      <c r="B82" s="731">
        <v>2288786000</v>
      </c>
      <c r="C82" s="731">
        <v>2094075100</v>
      </c>
      <c r="D82" s="731">
        <v>6369346300</v>
      </c>
      <c r="E82" s="482">
        <v>8658132300</v>
      </c>
      <c r="F82" s="482">
        <v>8463421400</v>
      </c>
      <c r="G82" s="731">
        <v>75324450.460000008</v>
      </c>
      <c r="H82" s="724">
        <v>2019</v>
      </c>
      <c r="I82" s="476"/>
      <c r="J82" s="476"/>
      <c r="M82" s="483"/>
      <c r="N82" s="483"/>
      <c r="O82" s="483"/>
      <c r="P82" s="483"/>
      <c r="Q82" s="483"/>
      <c r="R82" s="483"/>
      <c r="S82" s="479"/>
      <c r="V82" s="480"/>
      <c r="W82" s="480"/>
      <c r="X82" s="480"/>
      <c r="Y82" s="480"/>
      <c r="Z82" s="480"/>
      <c r="AA82" s="480"/>
      <c r="AB82" s="480"/>
    </row>
    <row r="83" spans="1:28" ht="14">
      <c r="A83" s="472" t="s">
        <v>833</v>
      </c>
      <c r="M83" s="483"/>
      <c r="N83" s="483"/>
      <c r="O83" s="483"/>
      <c r="P83" s="483"/>
      <c r="Q83" s="483"/>
      <c r="R83" s="483"/>
      <c r="S83" s="479"/>
      <c r="V83" s="480"/>
      <c r="W83" s="480"/>
      <c r="X83" s="480"/>
      <c r="Y83" s="480"/>
      <c r="Z83" s="480"/>
      <c r="AA83" s="480"/>
      <c r="AB83" s="480"/>
    </row>
    <row r="84" spans="1:28" ht="13">
      <c r="A84" s="1959" t="str">
        <f>A43</f>
        <v>Real Estate Fair Market Value (FMV), Fair Market Value (Taxable), and Local Levy by Locality - Tax Year 2019</v>
      </c>
      <c r="B84" s="1959"/>
      <c r="C84" s="1959"/>
      <c r="D84" s="1959"/>
      <c r="E84" s="1959"/>
      <c r="F84" s="1959"/>
      <c r="G84" s="1959"/>
      <c r="H84" s="1959"/>
      <c r="M84" s="483"/>
      <c r="N84" s="483"/>
      <c r="O84" s="483"/>
      <c r="P84" s="483"/>
      <c r="Q84" s="483"/>
      <c r="R84" s="483"/>
      <c r="S84" s="479"/>
      <c r="V84" s="480"/>
      <c r="W84" s="480"/>
      <c r="X84" s="480"/>
      <c r="Y84" s="480"/>
      <c r="Z84" s="480"/>
      <c r="AA84" s="480"/>
      <c r="AB84" s="480"/>
    </row>
    <row r="85" spans="1:28" ht="11.25" customHeight="1" thickBot="1">
      <c r="A85" s="490"/>
      <c r="B85" s="490"/>
      <c r="C85" s="490"/>
      <c r="D85" s="490"/>
      <c r="E85" s="490"/>
      <c r="F85" s="490"/>
      <c r="G85" s="490"/>
      <c r="H85" s="490"/>
      <c r="M85" s="483"/>
      <c r="N85" s="483"/>
      <c r="O85" s="483"/>
      <c r="P85" s="483"/>
      <c r="Q85" s="483"/>
      <c r="R85" s="483"/>
      <c r="S85" s="479"/>
      <c r="V85" s="480"/>
      <c r="W85" s="480"/>
      <c r="X85" s="480"/>
      <c r="Y85" s="480"/>
      <c r="Z85" s="480"/>
      <c r="AA85" s="480"/>
      <c r="AB85" s="480"/>
    </row>
    <row r="86" spans="1:28" ht="11.25" customHeight="1">
      <c r="M86" s="483"/>
      <c r="N86" s="483"/>
      <c r="O86" s="483"/>
      <c r="P86" s="483"/>
      <c r="Q86" s="483"/>
      <c r="R86" s="483"/>
      <c r="S86" s="479"/>
      <c r="V86" s="480"/>
      <c r="W86" s="480"/>
      <c r="X86" s="480"/>
      <c r="Y86" s="480"/>
      <c r="Z86" s="480"/>
      <c r="AA86" s="480"/>
      <c r="AB86" s="480"/>
    </row>
    <row r="87" spans="1:28" ht="11.25" customHeight="1">
      <c r="A87" s="495" t="s">
        <v>21</v>
      </c>
      <c r="B87" s="495" t="s">
        <v>825</v>
      </c>
      <c r="C87" s="495" t="s">
        <v>826</v>
      </c>
      <c r="D87" s="495" t="s">
        <v>827</v>
      </c>
      <c r="E87" s="495" t="s">
        <v>828</v>
      </c>
      <c r="F87" s="495" t="s">
        <v>829</v>
      </c>
      <c r="G87" s="495" t="s">
        <v>830</v>
      </c>
      <c r="H87" s="537" t="s">
        <v>831</v>
      </c>
      <c r="M87" s="483"/>
      <c r="N87" s="483"/>
      <c r="O87" s="483"/>
      <c r="P87" s="483"/>
      <c r="Q87" s="483"/>
      <c r="R87" s="483"/>
      <c r="S87" s="479"/>
      <c r="V87" s="480"/>
      <c r="W87" s="480"/>
      <c r="X87" s="480"/>
      <c r="Y87" s="480"/>
      <c r="Z87" s="480"/>
      <c r="AA87" s="480"/>
      <c r="AB87" s="480"/>
    </row>
    <row r="88" spans="1:28" ht="8.25" customHeight="1">
      <c r="B88" s="496"/>
      <c r="C88" s="496"/>
      <c r="D88" s="496"/>
      <c r="E88" s="481"/>
      <c r="F88" s="481"/>
      <c r="G88" s="496"/>
      <c r="H88" s="539"/>
      <c r="M88" s="483"/>
      <c r="N88" s="483"/>
      <c r="O88" s="483"/>
      <c r="P88" s="483"/>
      <c r="Q88" s="483"/>
      <c r="R88" s="483"/>
      <c r="S88" s="479"/>
      <c r="V88" s="480"/>
      <c r="W88" s="480"/>
      <c r="X88" s="480"/>
      <c r="Y88" s="480"/>
      <c r="Z88" s="480"/>
      <c r="AA88" s="480"/>
      <c r="AB88" s="480"/>
    </row>
    <row r="89" spans="1:28" ht="12" customHeight="1">
      <c r="A89" s="473" t="s">
        <v>104</v>
      </c>
      <c r="B89" s="730">
        <v>1287136800</v>
      </c>
      <c r="C89" s="730">
        <v>773154483</v>
      </c>
      <c r="D89" s="730">
        <v>1698606450</v>
      </c>
      <c r="E89" s="845">
        <v>2985743250</v>
      </c>
      <c r="F89" s="845">
        <v>2471760933</v>
      </c>
      <c r="G89" s="730">
        <v>17796678.717599999</v>
      </c>
      <c r="H89" s="724">
        <v>2019</v>
      </c>
      <c r="I89" s="476"/>
      <c r="J89" s="476"/>
      <c r="M89" s="483"/>
      <c r="N89" s="483"/>
      <c r="O89" s="483"/>
      <c r="P89" s="483"/>
      <c r="Q89" s="483"/>
      <c r="R89" s="483"/>
      <c r="S89" s="479"/>
      <c r="V89" s="480"/>
      <c r="W89" s="480"/>
      <c r="X89" s="480"/>
      <c r="Y89" s="480"/>
      <c r="Z89" s="480"/>
      <c r="AA89" s="480"/>
      <c r="AB89" s="480"/>
    </row>
    <row r="90" spans="1:28" ht="12" customHeight="1">
      <c r="A90" s="473" t="s">
        <v>106</v>
      </c>
      <c r="B90" s="731">
        <v>1106566102</v>
      </c>
      <c r="C90" s="731">
        <v>1016622139</v>
      </c>
      <c r="D90" s="731">
        <v>1993552601</v>
      </c>
      <c r="E90" s="733">
        <v>3100118703</v>
      </c>
      <c r="F90" s="733">
        <v>3010174740</v>
      </c>
      <c r="G90" s="731">
        <v>24683432.867999997</v>
      </c>
      <c r="H90" s="724">
        <v>2019</v>
      </c>
      <c r="I90" s="476"/>
      <c r="J90" s="476"/>
      <c r="M90" s="483"/>
      <c r="N90" s="483"/>
      <c r="O90" s="483"/>
      <c r="P90" s="483"/>
      <c r="Q90" s="483"/>
      <c r="R90" s="483"/>
      <c r="S90" s="479"/>
      <c r="V90" s="480"/>
      <c r="W90" s="480"/>
      <c r="X90" s="480"/>
      <c r="Y90" s="480"/>
      <c r="Z90" s="480"/>
      <c r="AA90" s="480"/>
      <c r="AB90" s="480"/>
    </row>
    <row r="91" spans="1:28" ht="12" customHeight="1">
      <c r="A91" s="473" t="s">
        <v>108</v>
      </c>
      <c r="B91" s="731">
        <v>976355000</v>
      </c>
      <c r="C91" s="731">
        <v>863987100</v>
      </c>
      <c r="D91" s="731">
        <v>1022746400</v>
      </c>
      <c r="E91" s="733">
        <v>1999101400</v>
      </c>
      <c r="F91" s="733">
        <v>1886733500</v>
      </c>
      <c r="G91" s="731">
        <v>15659888.049999999</v>
      </c>
      <c r="H91" s="724">
        <v>2019</v>
      </c>
      <c r="I91" s="476"/>
      <c r="J91" s="476"/>
      <c r="M91" s="483"/>
      <c r="N91" s="483"/>
      <c r="O91" s="483"/>
      <c r="P91" s="483"/>
      <c r="Q91" s="483"/>
      <c r="R91" s="483"/>
      <c r="S91" s="479"/>
      <c r="V91" s="480"/>
      <c r="W91" s="480"/>
      <c r="X91" s="480"/>
      <c r="Y91" s="480"/>
      <c r="Z91" s="480"/>
      <c r="AA91" s="480"/>
      <c r="AB91" s="480"/>
    </row>
    <row r="92" spans="1:28" ht="12" customHeight="1">
      <c r="A92" s="473" t="s">
        <v>110</v>
      </c>
      <c r="B92" s="731">
        <v>1397325600</v>
      </c>
      <c r="C92" s="731">
        <v>1234156053</v>
      </c>
      <c r="D92" s="731">
        <v>1650283600</v>
      </c>
      <c r="E92" s="733">
        <v>3047609200</v>
      </c>
      <c r="F92" s="733">
        <v>2884439653</v>
      </c>
      <c r="G92" s="731">
        <v>17018193.9527</v>
      </c>
      <c r="H92" s="724">
        <v>2019</v>
      </c>
      <c r="I92" s="476"/>
      <c r="J92" s="476"/>
      <c r="M92" s="483"/>
      <c r="N92" s="483"/>
      <c r="O92" s="483"/>
      <c r="P92" s="483"/>
      <c r="Q92" s="483"/>
      <c r="R92" s="483"/>
      <c r="S92" s="479"/>
      <c r="V92" s="480"/>
      <c r="W92" s="480"/>
      <c r="X92" s="480"/>
      <c r="Y92" s="480"/>
      <c r="Z92" s="480"/>
      <c r="AA92" s="480"/>
      <c r="AB92" s="480"/>
    </row>
    <row r="93" spans="1:28" s="477" customFormat="1" ht="12" customHeight="1">
      <c r="A93" s="473" t="s">
        <v>112</v>
      </c>
      <c r="B93" s="731">
        <v>368518400</v>
      </c>
      <c r="C93" s="731">
        <v>337183800</v>
      </c>
      <c r="D93" s="731">
        <v>608595791</v>
      </c>
      <c r="E93" s="733">
        <v>977114191</v>
      </c>
      <c r="F93" s="733">
        <v>945779591</v>
      </c>
      <c r="G93" s="731">
        <v>4539742.0367999999</v>
      </c>
      <c r="H93" s="724">
        <v>2019</v>
      </c>
      <c r="I93" s="476"/>
      <c r="J93" s="476"/>
      <c r="M93" s="483"/>
      <c r="N93" s="483"/>
      <c r="O93" s="483"/>
      <c r="P93" s="483"/>
      <c r="Q93" s="483"/>
      <c r="R93" s="483"/>
      <c r="S93" s="479"/>
      <c r="V93" s="480"/>
      <c r="W93" s="480"/>
      <c r="X93" s="480"/>
      <c r="Y93" s="480"/>
      <c r="Z93" s="480"/>
      <c r="AA93" s="480"/>
      <c r="AB93" s="480"/>
    </row>
    <row r="94" spans="1:28" ht="9" customHeight="1">
      <c r="B94" s="731"/>
      <c r="C94" s="731"/>
      <c r="D94" s="731"/>
      <c r="E94" s="733"/>
      <c r="F94" s="733"/>
      <c r="G94" s="731"/>
      <c r="H94" s="724"/>
      <c r="M94" s="483"/>
      <c r="N94" s="483"/>
      <c r="O94" s="483"/>
      <c r="P94" s="483"/>
      <c r="Q94" s="483"/>
      <c r="R94" s="483"/>
      <c r="S94" s="479"/>
      <c r="V94" s="480"/>
      <c r="W94" s="480"/>
      <c r="X94" s="480"/>
      <c r="Y94" s="480"/>
      <c r="Z94" s="480"/>
      <c r="AA94" s="480"/>
      <c r="AB94" s="480"/>
    </row>
    <row r="95" spans="1:28" ht="12" customHeight="1">
      <c r="A95" s="473" t="s">
        <v>114</v>
      </c>
      <c r="B95" s="731">
        <v>1601980900</v>
      </c>
      <c r="C95" s="731">
        <v>1275292500</v>
      </c>
      <c r="D95" s="731">
        <v>2571555300</v>
      </c>
      <c r="E95" s="733">
        <v>4173536200</v>
      </c>
      <c r="F95" s="733">
        <v>3846847800</v>
      </c>
      <c r="G95" s="731">
        <v>30928656.312000003</v>
      </c>
      <c r="H95" s="724">
        <v>2019</v>
      </c>
      <c r="I95" s="476"/>
      <c r="J95" s="476"/>
      <c r="M95" s="483"/>
      <c r="N95" s="483"/>
      <c r="O95" s="483"/>
      <c r="P95" s="483"/>
      <c r="Q95" s="483"/>
      <c r="R95" s="483"/>
      <c r="S95" s="479"/>
      <c r="V95" s="480"/>
      <c r="W95" s="480"/>
      <c r="X95" s="480"/>
      <c r="Y95" s="480"/>
      <c r="Z95" s="480"/>
      <c r="AA95" s="480"/>
      <c r="AB95" s="480"/>
    </row>
    <row r="96" spans="1:28" ht="12" customHeight="1">
      <c r="A96" s="473" t="s">
        <v>116</v>
      </c>
      <c r="B96" s="731">
        <v>1087203400</v>
      </c>
      <c r="C96" s="731">
        <v>610583400</v>
      </c>
      <c r="D96" s="731">
        <v>1433786700</v>
      </c>
      <c r="E96" s="733">
        <v>2520990100</v>
      </c>
      <c r="F96" s="733">
        <v>2044370100</v>
      </c>
      <c r="G96" s="731">
        <v>14923901.73</v>
      </c>
      <c r="H96" s="724">
        <v>2019</v>
      </c>
      <c r="I96" s="476"/>
      <c r="J96" s="476"/>
      <c r="M96" s="483"/>
      <c r="N96" s="483"/>
      <c r="O96" s="483"/>
      <c r="P96" s="483"/>
      <c r="Q96" s="483"/>
      <c r="R96" s="483"/>
      <c r="S96" s="479"/>
      <c r="V96" s="480"/>
      <c r="W96" s="480"/>
      <c r="X96" s="480"/>
      <c r="Y96" s="480"/>
      <c r="Z96" s="480"/>
      <c r="AA96" s="480"/>
      <c r="AB96" s="480"/>
    </row>
    <row r="97" spans="1:28" ht="12" customHeight="1">
      <c r="A97" s="473" t="s">
        <v>117</v>
      </c>
      <c r="B97" s="731">
        <v>743282500</v>
      </c>
      <c r="C97" s="731">
        <v>743282500</v>
      </c>
      <c r="D97" s="731">
        <v>839230000</v>
      </c>
      <c r="E97" s="733">
        <v>1582512500</v>
      </c>
      <c r="F97" s="733">
        <v>1582512500</v>
      </c>
      <c r="G97" s="731">
        <v>10761085</v>
      </c>
      <c r="H97" s="724">
        <v>2019</v>
      </c>
      <c r="I97" s="476"/>
      <c r="J97" s="476"/>
      <c r="S97" s="479"/>
      <c r="V97" s="480"/>
      <c r="W97" s="480"/>
      <c r="X97" s="480"/>
      <c r="Y97" s="480"/>
      <c r="Z97" s="480"/>
      <c r="AA97" s="480"/>
      <c r="AB97" s="480"/>
    </row>
    <row r="98" spans="1:28" ht="12" customHeight="1">
      <c r="A98" s="473" t="s">
        <v>119</v>
      </c>
      <c r="B98" s="731">
        <v>1923152500</v>
      </c>
      <c r="C98" s="731">
        <v>1354045200</v>
      </c>
      <c r="D98" s="731">
        <v>2906102900</v>
      </c>
      <c r="E98" s="733">
        <v>4829255400</v>
      </c>
      <c r="F98" s="733">
        <v>4260148100</v>
      </c>
      <c r="G98" s="731">
        <v>26412918.219999999</v>
      </c>
      <c r="H98" s="724">
        <v>2019</v>
      </c>
      <c r="I98" s="476"/>
      <c r="J98" s="476"/>
      <c r="M98" s="483"/>
      <c r="N98" s="483"/>
      <c r="O98" s="483"/>
      <c r="P98" s="483"/>
      <c r="Q98" s="483"/>
      <c r="R98" s="483"/>
      <c r="S98" s="479"/>
      <c r="V98" s="480"/>
      <c r="W98" s="480"/>
      <c r="X98" s="480"/>
      <c r="Y98" s="480"/>
      <c r="Z98" s="480"/>
      <c r="AA98" s="480"/>
      <c r="AB98" s="480"/>
    </row>
    <row r="99" spans="1:28" ht="12" customHeight="1">
      <c r="A99" s="473" t="s">
        <v>121</v>
      </c>
      <c r="B99" s="731">
        <v>1643945400</v>
      </c>
      <c r="C99" s="731">
        <v>1309437025</v>
      </c>
      <c r="D99" s="731">
        <v>2211038000</v>
      </c>
      <c r="E99" s="733">
        <v>3854983400</v>
      </c>
      <c r="F99" s="733">
        <v>3520475025</v>
      </c>
      <c r="G99" s="731">
        <v>30980180.219999999</v>
      </c>
      <c r="H99" s="724" t="s">
        <v>907</v>
      </c>
      <c r="I99" s="476"/>
      <c r="J99" s="476"/>
      <c r="M99" s="483"/>
      <c r="N99" s="483"/>
      <c r="O99" s="483"/>
      <c r="P99" s="483"/>
      <c r="Q99" s="483"/>
      <c r="R99" s="483"/>
      <c r="S99" s="479"/>
      <c r="V99" s="480"/>
      <c r="W99" s="480"/>
      <c r="X99" s="480"/>
      <c r="Y99" s="480"/>
      <c r="Z99" s="480"/>
      <c r="AA99" s="480"/>
      <c r="AB99" s="480"/>
    </row>
    <row r="100" spans="1:28" ht="12" customHeight="1">
      <c r="B100" s="734"/>
      <c r="C100" s="734"/>
      <c r="D100" s="734"/>
      <c r="E100" s="731"/>
      <c r="F100" s="731"/>
      <c r="G100" s="734"/>
      <c r="H100" s="735"/>
      <c r="M100" s="483"/>
      <c r="N100" s="483"/>
      <c r="O100" s="483"/>
      <c r="P100" s="483"/>
      <c r="Q100" s="483"/>
      <c r="R100" s="483"/>
      <c r="S100" s="479"/>
      <c r="V100" s="480"/>
      <c r="W100" s="480"/>
      <c r="X100" s="480"/>
      <c r="Y100" s="480"/>
      <c r="Z100" s="480"/>
      <c r="AA100" s="480"/>
      <c r="AB100" s="480"/>
    </row>
    <row r="101" spans="1:28" ht="12" customHeight="1">
      <c r="A101" s="473" t="s">
        <v>122</v>
      </c>
      <c r="B101" s="731">
        <v>553919000</v>
      </c>
      <c r="C101" s="731">
        <v>539535700</v>
      </c>
      <c r="D101" s="731">
        <v>1005418150</v>
      </c>
      <c r="E101" s="733">
        <v>1559337150</v>
      </c>
      <c r="F101" s="733">
        <v>1544953850</v>
      </c>
      <c r="G101" s="731">
        <v>7879264.6349999998</v>
      </c>
      <c r="H101" s="724">
        <v>2019</v>
      </c>
      <c r="I101" s="476"/>
      <c r="J101" s="476"/>
      <c r="M101" s="483"/>
      <c r="N101" s="483"/>
      <c r="O101" s="483"/>
      <c r="P101" s="483"/>
      <c r="Q101" s="483"/>
      <c r="R101" s="483"/>
      <c r="S101" s="479"/>
      <c r="V101" s="480"/>
      <c r="W101" s="480"/>
      <c r="X101" s="480"/>
      <c r="Y101" s="480"/>
      <c r="Z101" s="480"/>
      <c r="AA101" s="480"/>
      <c r="AB101" s="480"/>
    </row>
    <row r="102" spans="1:28" ht="12" customHeight="1">
      <c r="A102" s="473" t="s">
        <v>124</v>
      </c>
      <c r="B102" s="731">
        <v>928906500</v>
      </c>
      <c r="C102" s="731">
        <v>793432900</v>
      </c>
      <c r="D102" s="731">
        <v>2073035106</v>
      </c>
      <c r="E102" s="733">
        <v>3001941606</v>
      </c>
      <c r="F102" s="733">
        <v>2866468006</v>
      </c>
      <c r="G102" s="731">
        <v>24651624.851599999</v>
      </c>
      <c r="H102" s="724" t="s">
        <v>907</v>
      </c>
      <c r="I102" s="476"/>
      <c r="J102" s="476"/>
      <c r="M102" s="483"/>
      <c r="N102" s="483"/>
      <c r="O102" s="483"/>
      <c r="P102" s="483"/>
      <c r="Q102" s="483"/>
      <c r="R102" s="483"/>
      <c r="S102" s="479"/>
      <c r="V102" s="480"/>
      <c r="W102" s="480"/>
      <c r="X102" s="480"/>
      <c r="Y102" s="480"/>
      <c r="Z102" s="480"/>
      <c r="AA102" s="480"/>
      <c r="AB102" s="480"/>
    </row>
    <row r="103" spans="1:28" ht="12.75" customHeight="1">
      <c r="A103" s="473" t="s">
        <v>126</v>
      </c>
      <c r="B103" s="731">
        <v>20478669700</v>
      </c>
      <c r="C103" s="731">
        <v>20103261800</v>
      </c>
      <c r="D103" s="731">
        <v>41948949700</v>
      </c>
      <c r="E103" s="733">
        <v>62427619400</v>
      </c>
      <c r="F103" s="733">
        <v>62052211500</v>
      </c>
      <c r="G103" s="731">
        <v>698087379.375</v>
      </c>
      <c r="H103" s="724">
        <v>2019</v>
      </c>
      <c r="I103" s="476"/>
      <c r="J103" s="476"/>
      <c r="M103" s="483"/>
      <c r="N103" s="483"/>
      <c r="O103" s="483"/>
      <c r="P103" s="483"/>
      <c r="Q103" s="483"/>
      <c r="R103" s="483"/>
      <c r="S103" s="479"/>
      <c r="V103" s="480"/>
      <c r="W103" s="480"/>
      <c r="X103" s="480"/>
      <c r="Y103" s="480"/>
      <c r="Z103" s="480"/>
      <c r="AA103" s="480"/>
      <c r="AB103" s="480"/>
    </row>
    <row r="104" spans="1:28" ht="12" customHeight="1">
      <c r="A104" s="473" t="s">
        <v>128</v>
      </c>
      <c r="B104" s="731">
        <v>902039900</v>
      </c>
      <c r="C104" s="731">
        <v>749473500</v>
      </c>
      <c r="D104" s="731">
        <v>1843807255</v>
      </c>
      <c r="E104" s="733">
        <v>2745847155</v>
      </c>
      <c r="F104" s="733">
        <v>2593280755</v>
      </c>
      <c r="G104" s="731">
        <v>19968261.813500002</v>
      </c>
      <c r="H104" s="724">
        <v>2019</v>
      </c>
      <c r="I104" s="476"/>
      <c r="J104" s="476"/>
      <c r="M104" s="483"/>
      <c r="N104" s="483"/>
      <c r="O104" s="483"/>
      <c r="P104" s="483"/>
      <c r="Q104" s="483"/>
      <c r="R104" s="483"/>
      <c r="S104" s="479"/>
      <c r="V104" s="480"/>
      <c r="W104" s="480"/>
      <c r="X104" s="480"/>
      <c r="Y104" s="480"/>
      <c r="Z104" s="480"/>
      <c r="AA104" s="480"/>
      <c r="AB104" s="480"/>
    </row>
    <row r="105" spans="1:28" ht="12" customHeight="1">
      <c r="A105" s="473" t="s">
        <v>130</v>
      </c>
      <c r="B105" s="731">
        <v>1208203500</v>
      </c>
      <c r="C105" s="731">
        <v>630708400</v>
      </c>
      <c r="D105" s="731">
        <v>960745800</v>
      </c>
      <c r="E105" s="733">
        <v>2168949300</v>
      </c>
      <c r="F105" s="733">
        <v>1591454200</v>
      </c>
      <c r="G105" s="731">
        <v>10662743.140000001</v>
      </c>
      <c r="H105" s="724">
        <v>2019</v>
      </c>
      <c r="I105" s="476"/>
      <c r="J105" s="476"/>
      <c r="M105" s="483"/>
      <c r="N105" s="483"/>
      <c r="O105" s="483"/>
      <c r="P105" s="483"/>
      <c r="Q105" s="483"/>
      <c r="R105" s="483"/>
      <c r="S105" s="479"/>
      <c r="V105" s="480"/>
      <c r="W105" s="480"/>
      <c r="X105" s="480"/>
      <c r="Y105" s="480"/>
      <c r="Z105" s="480"/>
      <c r="AA105" s="480"/>
      <c r="AB105" s="480"/>
    </row>
    <row r="106" spans="1:28" ht="9" customHeight="1">
      <c r="B106" s="731"/>
      <c r="C106" s="731"/>
      <c r="D106" s="731"/>
      <c r="E106" s="733"/>
      <c r="F106" s="733"/>
      <c r="G106" s="731"/>
      <c r="H106" s="724"/>
      <c r="M106" s="483"/>
      <c r="N106" s="483"/>
      <c r="O106" s="483"/>
      <c r="P106" s="483"/>
      <c r="Q106" s="483"/>
      <c r="R106" s="483"/>
      <c r="S106" s="479"/>
      <c r="V106" s="480"/>
      <c r="W106" s="480"/>
      <c r="X106" s="480"/>
      <c r="Y106" s="480"/>
      <c r="Z106" s="480"/>
      <c r="AA106" s="480"/>
      <c r="AB106" s="480"/>
    </row>
    <row r="107" spans="1:28" ht="12" customHeight="1">
      <c r="A107" s="473" t="s">
        <v>132</v>
      </c>
      <c r="B107" s="731">
        <v>421242684</v>
      </c>
      <c r="C107" s="731">
        <v>347745825</v>
      </c>
      <c r="D107" s="731">
        <v>460067310</v>
      </c>
      <c r="E107" s="733">
        <v>881309994</v>
      </c>
      <c r="F107" s="733">
        <v>807813135</v>
      </c>
      <c r="G107" s="731">
        <v>5654691.9449999994</v>
      </c>
      <c r="H107" s="724">
        <v>2019</v>
      </c>
      <c r="I107" s="476"/>
      <c r="J107" s="476"/>
      <c r="M107" s="483"/>
      <c r="N107" s="483"/>
      <c r="O107" s="483"/>
      <c r="P107" s="483"/>
      <c r="Q107" s="483"/>
      <c r="R107" s="483"/>
      <c r="S107" s="479"/>
      <c r="V107" s="480"/>
      <c r="W107" s="480"/>
      <c r="X107" s="480"/>
      <c r="Y107" s="480"/>
      <c r="Z107" s="480"/>
      <c r="AA107" s="480"/>
      <c r="AB107" s="480"/>
    </row>
    <row r="108" spans="1:28" ht="12" customHeight="1">
      <c r="A108" s="473" t="s">
        <v>25</v>
      </c>
      <c r="B108" s="731">
        <v>2177489300</v>
      </c>
      <c r="C108" s="731">
        <v>2012778000</v>
      </c>
      <c r="D108" s="731">
        <v>6706237700</v>
      </c>
      <c r="E108" s="733">
        <v>8883727000</v>
      </c>
      <c r="F108" s="733">
        <v>8719015700</v>
      </c>
      <c r="G108" s="731">
        <v>95037271.13000001</v>
      </c>
      <c r="H108" s="724">
        <v>2019</v>
      </c>
      <c r="I108" s="476"/>
      <c r="J108" s="476"/>
      <c r="L108" s="1961"/>
      <c r="M108" s="1961"/>
      <c r="N108" s="1961"/>
      <c r="O108" s="1961"/>
      <c r="P108" s="1961"/>
      <c r="Q108" s="1961"/>
      <c r="R108" s="1961"/>
      <c r="S108" s="1961"/>
      <c r="V108" s="480"/>
      <c r="W108" s="480"/>
      <c r="X108" s="480"/>
      <c r="Y108" s="480"/>
      <c r="Z108" s="480"/>
      <c r="AA108" s="480"/>
      <c r="AB108" s="480"/>
    </row>
    <row r="109" spans="1:28" ht="12" customHeight="1">
      <c r="A109" s="473" t="s">
        <v>134</v>
      </c>
      <c r="B109" s="731">
        <v>1355003140</v>
      </c>
      <c r="C109" s="731">
        <v>612742300</v>
      </c>
      <c r="D109" s="731">
        <v>1738713000</v>
      </c>
      <c r="E109" s="733">
        <v>3093716140</v>
      </c>
      <c r="F109" s="733">
        <v>2351455300</v>
      </c>
      <c r="G109" s="731">
        <v>17165623.690000001</v>
      </c>
      <c r="H109" s="724">
        <v>2019</v>
      </c>
      <c r="I109" s="476"/>
      <c r="J109" s="476"/>
      <c r="L109" s="486"/>
      <c r="V109" s="480"/>
      <c r="W109" s="480"/>
      <c r="X109" s="480"/>
      <c r="Y109" s="480"/>
      <c r="Z109" s="480"/>
      <c r="AA109" s="480"/>
      <c r="AB109" s="480"/>
    </row>
    <row r="110" spans="1:28" ht="12" customHeight="1">
      <c r="A110" s="473" t="s">
        <v>135</v>
      </c>
      <c r="B110" s="731">
        <v>3286885600</v>
      </c>
      <c r="C110" s="731">
        <v>2257668770</v>
      </c>
      <c r="D110" s="731">
        <v>5836690800</v>
      </c>
      <c r="E110" s="733">
        <v>9123576400</v>
      </c>
      <c r="F110" s="733">
        <v>8094359570</v>
      </c>
      <c r="G110" s="731">
        <v>59898260.818000004</v>
      </c>
      <c r="H110" s="724">
        <v>2019</v>
      </c>
      <c r="I110" s="476"/>
      <c r="J110" s="476"/>
      <c r="L110" s="1960"/>
      <c r="M110" s="1960"/>
      <c r="N110" s="1960"/>
      <c r="O110" s="1960"/>
      <c r="P110" s="1960"/>
      <c r="Q110" s="1960"/>
      <c r="R110" s="1960"/>
      <c r="S110" s="1960"/>
      <c r="V110" s="480"/>
      <c r="W110" s="480"/>
      <c r="X110" s="480"/>
      <c r="Y110" s="480"/>
      <c r="Z110" s="480"/>
      <c r="AA110" s="480"/>
      <c r="AB110" s="480"/>
    </row>
    <row r="111" spans="1:28" ht="12" customHeight="1">
      <c r="A111" s="477" t="s">
        <v>137</v>
      </c>
      <c r="B111" s="846">
        <v>594296364</v>
      </c>
      <c r="C111" s="846">
        <v>430232680</v>
      </c>
      <c r="D111" s="846">
        <v>1014697319</v>
      </c>
      <c r="E111" s="847">
        <v>1608993683</v>
      </c>
      <c r="F111" s="847">
        <v>1444929999</v>
      </c>
      <c r="G111" s="846">
        <v>9103058.9936999995</v>
      </c>
      <c r="H111" s="724">
        <v>2019</v>
      </c>
      <c r="I111" s="476"/>
      <c r="J111" s="476"/>
      <c r="V111" s="480"/>
      <c r="W111" s="480"/>
      <c r="X111" s="480"/>
      <c r="Y111" s="480"/>
      <c r="Z111" s="480"/>
      <c r="AA111" s="480"/>
      <c r="AB111" s="480"/>
    </row>
    <row r="112" spans="1:28" ht="9" customHeight="1">
      <c r="B112" s="723"/>
      <c r="C112" s="723"/>
      <c r="D112" s="723"/>
      <c r="E112" s="723"/>
      <c r="F112" s="723"/>
      <c r="G112" s="723"/>
      <c r="H112" s="724"/>
      <c r="V112" s="480"/>
      <c r="W112" s="480"/>
      <c r="X112" s="480"/>
      <c r="Y112" s="480"/>
      <c r="Z112" s="480"/>
      <c r="AA112" s="480"/>
      <c r="AB112" s="480"/>
    </row>
    <row r="113" spans="1:28" ht="12" customHeight="1">
      <c r="A113" s="473" t="s">
        <v>139</v>
      </c>
      <c r="B113" s="731">
        <v>447138300</v>
      </c>
      <c r="C113" s="731">
        <v>447138300</v>
      </c>
      <c r="D113" s="731">
        <v>786771800</v>
      </c>
      <c r="E113" s="733">
        <v>1233910100</v>
      </c>
      <c r="F113" s="733">
        <v>1233910100</v>
      </c>
      <c r="G113" s="731">
        <v>9871280.8000000007</v>
      </c>
      <c r="H113" s="724">
        <v>2019</v>
      </c>
      <c r="I113" s="476"/>
      <c r="J113" s="476"/>
      <c r="M113" s="478"/>
      <c r="N113" s="478"/>
      <c r="O113" s="478"/>
      <c r="P113" s="478"/>
      <c r="Q113" s="478"/>
      <c r="R113" s="478"/>
      <c r="S113" s="479"/>
      <c r="V113" s="480"/>
      <c r="W113" s="480"/>
      <c r="X113" s="480"/>
      <c r="Y113" s="480"/>
      <c r="Z113" s="480"/>
      <c r="AA113" s="480"/>
      <c r="AB113" s="480"/>
    </row>
    <row r="114" spans="1:28" ht="12" customHeight="1">
      <c r="A114" s="473" t="s">
        <v>141</v>
      </c>
      <c r="B114" s="731">
        <v>2149612446</v>
      </c>
      <c r="C114" s="731">
        <v>1559030146</v>
      </c>
      <c r="D114" s="731">
        <v>2868745734</v>
      </c>
      <c r="E114" s="733">
        <v>5018358180</v>
      </c>
      <c r="F114" s="733">
        <v>4427775880</v>
      </c>
      <c r="G114" s="731">
        <v>28337765.631999999</v>
      </c>
      <c r="H114" s="724">
        <v>2019</v>
      </c>
      <c r="I114" s="476"/>
      <c r="J114" s="476"/>
      <c r="M114" s="483"/>
      <c r="N114" s="483"/>
      <c r="O114" s="483"/>
      <c r="P114" s="483"/>
      <c r="Q114" s="483"/>
      <c r="R114" s="483"/>
      <c r="S114" s="479"/>
      <c r="V114" s="480"/>
      <c r="W114" s="480"/>
      <c r="X114" s="480"/>
      <c r="Y114" s="480"/>
      <c r="Z114" s="480"/>
      <c r="AA114" s="480"/>
      <c r="AB114" s="480"/>
    </row>
    <row r="115" spans="1:28" ht="12" customHeight="1">
      <c r="A115" s="473" t="s">
        <v>143</v>
      </c>
      <c r="B115" s="731">
        <v>579419700</v>
      </c>
      <c r="C115" s="731">
        <v>401067460</v>
      </c>
      <c r="D115" s="731">
        <v>1020803500</v>
      </c>
      <c r="E115" s="733">
        <v>1600223200</v>
      </c>
      <c r="F115" s="733">
        <v>1421870960</v>
      </c>
      <c r="G115" s="731">
        <v>10521845.104</v>
      </c>
      <c r="H115" s="724">
        <v>2019</v>
      </c>
      <c r="I115" s="476"/>
      <c r="J115" s="476"/>
      <c r="M115" s="483"/>
      <c r="N115" s="483"/>
      <c r="O115" s="483"/>
      <c r="P115" s="483"/>
      <c r="Q115" s="483"/>
      <c r="R115" s="483"/>
      <c r="S115" s="479"/>
      <c r="V115" s="480"/>
      <c r="W115" s="480"/>
      <c r="X115" s="480"/>
      <c r="Y115" s="480"/>
      <c r="Z115" s="480"/>
      <c r="AA115" s="480"/>
      <c r="AB115" s="480"/>
    </row>
    <row r="116" spans="1:28" ht="12" customHeight="1">
      <c r="A116" s="473" t="s">
        <v>145</v>
      </c>
      <c r="B116" s="731">
        <v>907706800</v>
      </c>
      <c r="C116" s="731">
        <v>523063200</v>
      </c>
      <c r="D116" s="731">
        <v>914596400</v>
      </c>
      <c r="E116" s="733">
        <v>1822303200</v>
      </c>
      <c r="F116" s="733">
        <v>1437659600</v>
      </c>
      <c r="G116" s="731">
        <v>12867053.42</v>
      </c>
      <c r="H116" s="724">
        <v>2019</v>
      </c>
      <c r="I116" s="476"/>
      <c r="J116" s="476"/>
      <c r="M116" s="483"/>
      <c r="N116" s="483"/>
      <c r="O116" s="483"/>
      <c r="P116" s="483"/>
      <c r="Q116" s="483"/>
      <c r="R116" s="483"/>
      <c r="S116" s="479"/>
      <c r="V116" s="480"/>
      <c r="W116" s="480"/>
      <c r="X116" s="480"/>
      <c r="Y116" s="480"/>
      <c r="Z116" s="480"/>
      <c r="AA116" s="480"/>
      <c r="AB116" s="480"/>
    </row>
    <row r="117" spans="1:28" ht="12" customHeight="1">
      <c r="A117" s="473" t="s">
        <v>147</v>
      </c>
      <c r="B117" s="731">
        <v>5575739100</v>
      </c>
      <c r="C117" s="731">
        <v>5217543368</v>
      </c>
      <c r="D117" s="731">
        <v>10076852300</v>
      </c>
      <c r="E117" s="733">
        <v>15652591400</v>
      </c>
      <c r="F117" s="733">
        <v>15294395668</v>
      </c>
      <c r="G117" s="731">
        <v>129604708.89063202</v>
      </c>
      <c r="H117" s="724">
        <v>2019</v>
      </c>
      <c r="I117" s="476"/>
      <c r="J117" s="476"/>
      <c r="M117" s="483"/>
      <c r="N117" s="483"/>
      <c r="O117" s="483"/>
      <c r="P117" s="483"/>
      <c r="Q117" s="483"/>
      <c r="R117" s="483"/>
      <c r="S117" s="479"/>
      <c r="V117" s="480"/>
      <c r="W117" s="480"/>
      <c r="X117" s="480"/>
      <c r="Y117" s="480"/>
      <c r="Z117" s="480"/>
      <c r="AA117" s="480"/>
      <c r="AB117" s="480"/>
    </row>
    <row r="118" spans="1:28" ht="9" customHeight="1">
      <c r="B118" s="731"/>
      <c r="C118" s="731"/>
      <c r="D118" s="731"/>
      <c r="E118" s="733"/>
      <c r="F118" s="733"/>
      <c r="G118" s="731"/>
      <c r="H118" s="724"/>
      <c r="M118" s="483"/>
      <c r="N118" s="483"/>
      <c r="O118" s="483"/>
      <c r="P118" s="483"/>
      <c r="Q118" s="483"/>
      <c r="R118" s="483"/>
      <c r="S118" s="479"/>
      <c r="V118" s="480"/>
      <c r="W118" s="480"/>
      <c r="X118" s="480"/>
      <c r="Y118" s="480"/>
      <c r="Z118" s="480"/>
      <c r="AA118" s="480"/>
      <c r="AB118" s="480"/>
    </row>
    <row r="119" spans="1:28" ht="12" customHeight="1">
      <c r="A119" s="473" t="s">
        <v>149</v>
      </c>
      <c r="B119" s="731">
        <v>6094971398</v>
      </c>
      <c r="C119" s="731">
        <v>5789578257</v>
      </c>
      <c r="D119" s="731">
        <v>11763599803</v>
      </c>
      <c r="E119" s="733">
        <v>17858571201</v>
      </c>
      <c r="F119" s="733">
        <v>17553178060</v>
      </c>
      <c r="G119" s="731">
        <v>177287098.40599999</v>
      </c>
      <c r="H119" s="724">
        <v>2019</v>
      </c>
      <c r="I119" s="476"/>
      <c r="J119" s="476"/>
      <c r="M119" s="483"/>
      <c r="N119" s="483"/>
      <c r="O119" s="483"/>
      <c r="P119" s="483"/>
      <c r="Q119" s="483"/>
      <c r="R119" s="483"/>
      <c r="S119" s="479"/>
      <c r="V119" s="480"/>
      <c r="W119" s="480"/>
      <c r="X119" s="480"/>
      <c r="Y119" s="480"/>
      <c r="Z119" s="480"/>
      <c r="AA119" s="480"/>
      <c r="AB119" s="480"/>
    </row>
    <row r="120" spans="1:28" ht="12" customHeight="1">
      <c r="A120" s="473" t="s">
        <v>151</v>
      </c>
      <c r="B120" s="731">
        <v>472512400</v>
      </c>
      <c r="C120" s="731">
        <v>472512400</v>
      </c>
      <c r="D120" s="731">
        <v>477442200</v>
      </c>
      <c r="E120" s="733">
        <v>949954600</v>
      </c>
      <c r="F120" s="733">
        <v>949954600</v>
      </c>
      <c r="G120" s="731">
        <v>6744677.6599999992</v>
      </c>
      <c r="H120" s="724">
        <v>2019</v>
      </c>
      <c r="I120" s="476"/>
      <c r="J120" s="476"/>
      <c r="M120" s="483"/>
      <c r="N120" s="483"/>
      <c r="O120" s="483"/>
      <c r="P120" s="483"/>
      <c r="Q120" s="483"/>
      <c r="R120" s="483"/>
      <c r="S120" s="479"/>
      <c r="V120" s="480"/>
      <c r="W120" s="480"/>
      <c r="X120" s="480"/>
      <c r="Y120" s="480"/>
      <c r="Z120" s="480"/>
      <c r="AA120" s="480"/>
      <c r="AB120" s="480"/>
    </row>
    <row r="121" spans="1:28" ht="12" customHeight="1">
      <c r="A121" s="473" t="s">
        <v>153</v>
      </c>
      <c r="B121" s="731">
        <v>505362300</v>
      </c>
      <c r="C121" s="731">
        <v>505362300</v>
      </c>
      <c r="D121" s="731">
        <v>393440522</v>
      </c>
      <c r="E121" s="733">
        <v>898802822</v>
      </c>
      <c r="F121" s="733">
        <v>898802822</v>
      </c>
      <c r="G121" s="731">
        <v>5213056.3676000005</v>
      </c>
      <c r="H121" s="724">
        <v>2019</v>
      </c>
      <c r="I121" s="476"/>
      <c r="J121" s="476"/>
      <c r="M121" s="483"/>
      <c r="N121" s="483"/>
      <c r="O121" s="483"/>
      <c r="P121" s="483"/>
      <c r="Q121" s="483"/>
      <c r="R121" s="483"/>
      <c r="S121" s="479"/>
      <c r="V121" s="480"/>
      <c r="W121" s="480"/>
      <c r="X121" s="480"/>
      <c r="Y121" s="480"/>
      <c r="Z121" s="480"/>
      <c r="AA121" s="480"/>
      <c r="AB121" s="480"/>
    </row>
    <row r="122" spans="1:28" ht="12" customHeight="1">
      <c r="A122" s="473" t="s">
        <v>155</v>
      </c>
      <c r="B122" s="731">
        <v>742356200</v>
      </c>
      <c r="C122" s="731">
        <v>616159400</v>
      </c>
      <c r="D122" s="731">
        <v>1991980375</v>
      </c>
      <c r="E122" s="733">
        <v>2734336575</v>
      </c>
      <c r="F122" s="733">
        <v>2608139775</v>
      </c>
      <c r="G122" s="731">
        <v>15127210.694999998</v>
      </c>
      <c r="H122" s="724">
        <v>2019</v>
      </c>
      <c r="I122" s="476"/>
      <c r="J122" s="476"/>
      <c r="M122" s="483"/>
      <c r="N122" s="483"/>
      <c r="O122" s="483"/>
      <c r="P122" s="483"/>
      <c r="Q122" s="483"/>
      <c r="R122" s="483"/>
      <c r="S122" s="479"/>
      <c r="V122" s="480"/>
      <c r="W122" s="480"/>
      <c r="X122" s="480"/>
      <c r="Y122" s="480"/>
      <c r="Z122" s="480"/>
      <c r="AA122" s="480"/>
      <c r="AB122" s="480"/>
    </row>
    <row r="123" spans="1:28" ht="12" customHeight="1">
      <c r="A123" s="473" t="s">
        <v>157</v>
      </c>
      <c r="B123" s="731">
        <v>1705910100</v>
      </c>
      <c r="C123" s="731">
        <v>1380263000</v>
      </c>
      <c r="D123" s="731">
        <v>3273999700</v>
      </c>
      <c r="E123" s="733">
        <v>4979909800</v>
      </c>
      <c r="F123" s="733">
        <v>4654262700</v>
      </c>
      <c r="G123" s="731">
        <v>30485420.685000002</v>
      </c>
      <c r="H123" s="724">
        <v>2019</v>
      </c>
      <c r="I123" s="476"/>
      <c r="J123" s="476"/>
      <c r="M123" s="484"/>
      <c r="N123" s="484"/>
      <c r="O123" s="484"/>
      <c r="R123" s="484"/>
      <c r="S123" s="479"/>
      <c r="V123" s="480"/>
      <c r="W123" s="480"/>
      <c r="X123" s="480"/>
      <c r="Y123" s="480"/>
      <c r="Z123" s="480"/>
      <c r="AA123" s="480"/>
      <c r="AB123" s="480"/>
    </row>
    <row r="124" spans="1:28" ht="14">
      <c r="A124" s="472" t="s">
        <v>833</v>
      </c>
      <c r="M124" s="483"/>
      <c r="N124" s="483"/>
      <c r="O124" s="483"/>
      <c r="P124" s="483"/>
      <c r="Q124" s="483"/>
      <c r="R124" s="483"/>
      <c r="S124" s="479"/>
      <c r="V124" s="480"/>
      <c r="W124" s="480"/>
      <c r="X124" s="480"/>
      <c r="Y124" s="480"/>
      <c r="Z124" s="480"/>
      <c r="AA124" s="480"/>
      <c r="AB124" s="480"/>
    </row>
    <row r="125" spans="1:28" ht="13">
      <c r="A125" s="1959" t="str">
        <f>A84</f>
        <v>Real Estate Fair Market Value (FMV), Fair Market Value (Taxable), and Local Levy by Locality - Tax Year 2019</v>
      </c>
      <c r="B125" s="1959"/>
      <c r="C125" s="1959"/>
      <c r="D125" s="1959"/>
      <c r="E125" s="1959"/>
      <c r="F125" s="1959"/>
      <c r="G125" s="1959"/>
      <c r="H125" s="1959"/>
      <c r="M125" s="483"/>
      <c r="N125" s="483"/>
      <c r="O125" s="483"/>
      <c r="P125" s="483"/>
      <c r="Q125" s="483"/>
      <c r="R125" s="483"/>
      <c r="S125" s="479"/>
      <c r="V125" s="480"/>
      <c r="W125" s="480"/>
      <c r="X125" s="480"/>
      <c r="Y125" s="480"/>
      <c r="Z125" s="480"/>
      <c r="AA125" s="480"/>
      <c r="AB125" s="480"/>
    </row>
    <row r="126" spans="1:28" ht="11.25" customHeight="1" thickBot="1">
      <c r="A126" s="490"/>
      <c r="B126" s="490"/>
      <c r="C126" s="490"/>
      <c r="D126" s="490"/>
      <c r="E126" s="490"/>
      <c r="F126" s="490"/>
      <c r="G126" s="490"/>
      <c r="H126" s="490"/>
      <c r="M126" s="483"/>
      <c r="N126" s="483"/>
      <c r="O126" s="483"/>
      <c r="P126" s="483"/>
      <c r="Q126" s="483"/>
      <c r="R126" s="483"/>
      <c r="S126" s="479"/>
      <c r="V126" s="480"/>
      <c r="W126" s="480"/>
      <c r="X126" s="480"/>
      <c r="Y126" s="480"/>
      <c r="Z126" s="480"/>
      <c r="AA126" s="480"/>
      <c r="AB126" s="480"/>
    </row>
    <row r="127" spans="1:28" ht="11.25" customHeight="1">
      <c r="M127" s="483"/>
      <c r="N127" s="483"/>
      <c r="O127" s="483"/>
      <c r="P127" s="483"/>
      <c r="Q127" s="483"/>
      <c r="R127" s="483"/>
      <c r="S127" s="479"/>
      <c r="V127" s="480"/>
      <c r="W127" s="480"/>
      <c r="X127" s="480"/>
      <c r="Y127" s="480"/>
      <c r="Z127" s="480"/>
      <c r="AA127" s="480"/>
      <c r="AB127" s="480"/>
    </row>
    <row r="128" spans="1:28" ht="11.25" customHeight="1">
      <c r="A128" s="495" t="s">
        <v>21</v>
      </c>
      <c r="B128" s="495" t="s">
        <v>825</v>
      </c>
      <c r="C128" s="495" t="s">
        <v>826</v>
      </c>
      <c r="D128" s="495" t="s">
        <v>827</v>
      </c>
      <c r="E128" s="495" t="s">
        <v>828</v>
      </c>
      <c r="F128" s="495" t="s">
        <v>829</v>
      </c>
      <c r="G128" s="495" t="s">
        <v>830</v>
      </c>
      <c r="H128" s="537" t="s">
        <v>831</v>
      </c>
      <c r="M128" s="483"/>
      <c r="N128" s="483"/>
      <c r="O128" s="483"/>
      <c r="P128" s="483"/>
      <c r="Q128" s="483"/>
      <c r="R128" s="483"/>
      <c r="S128" s="479"/>
      <c r="V128" s="480"/>
      <c r="W128" s="480"/>
      <c r="X128" s="480"/>
      <c r="Y128" s="480"/>
      <c r="Z128" s="480"/>
      <c r="AA128" s="480"/>
      <c r="AB128" s="480"/>
    </row>
    <row r="129" spans="1:97" ht="8.25" customHeight="1">
      <c r="B129" s="481"/>
      <c r="C129" s="481"/>
      <c r="D129" s="481"/>
      <c r="E129" s="485"/>
      <c r="F129" s="485"/>
      <c r="G129" s="481"/>
      <c r="M129" s="483"/>
      <c r="N129" s="483"/>
      <c r="O129" s="483"/>
      <c r="P129" s="483"/>
      <c r="Q129" s="483"/>
      <c r="R129" s="483"/>
      <c r="S129" s="479"/>
      <c r="V129" s="480"/>
      <c r="W129" s="480"/>
      <c r="X129" s="480"/>
      <c r="Y129" s="480"/>
      <c r="Z129" s="480"/>
      <c r="AA129" s="480"/>
      <c r="AB129" s="480"/>
    </row>
    <row r="130" spans="1:97">
      <c r="A130" s="473" t="s">
        <v>159</v>
      </c>
      <c r="B130" s="474">
        <v>1954705001</v>
      </c>
      <c r="C130" s="474">
        <v>1241990901</v>
      </c>
      <c r="D130" s="474">
        <v>2881222500</v>
      </c>
      <c r="E130" s="487">
        <v>4835927501</v>
      </c>
      <c r="F130" s="487">
        <v>4123213401</v>
      </c>
      <c r="G130" s="474">
        <v>25976244.4263</v>
      </c>
      <c r="H130" s="536">
        <v>2019</v>
      </c>
      <c r="I130" s="476"/>
      <c r="J130" s="476"/>
      <c r="M130" s="483"/>
      <c r="N130" s="483"/>
      <c r="O130" s="483"/>
      <c r="P130" s="483"/>
      <c r="Q130" s="483"/>
      <c r="R130" s="483"/>
      <c r="S130" s="479"/>
      <c r="V130" s="480"/>
      <c r="W130" s="480"/>
      <c r="X130" s="480"/>
      <c r="Y130" s="480"/>
      <c r="Z130" s="480"/>
      <c r="AA130" s="480"/>
      <c r="AB130" s="480"/>
    </row>
    <row r="131" spans="1:97">
      <c r="A131" s="473" t="s">
        <v>161</v>
      </c>
      <c r="B131" s="481">
        <v>1197242500</v>
      </c>
      <c r="C131" s="481">
        <v>1062096260</v>
      </c>
      <c r="D131" s="481">
        <v>1449842900</v>
      </c>
      <c r="E131" s="485">
        <v>2647085400</v>
      </c>
      <c r="F131" s="485">
        <v>2511939160</v>
      </c>
      <c r="G131" s="481">
        <v>16327604.540000001</v>
      </c>
      <c r="H131" s="536">
        <v>2019</v>
      </c>
      <c r="I131" s="476"/>
      <c r="J131" s="476"/>
      <c r="M131" s="483"/>
      <c r="N131" s="483"/>
      <c r="O131" s="483"/>
      <c r="P131" s="483"/>
      <c r="Q131" s="483"/>
      <c r="R131" s="483"/>
      <c r="S131" s="479"/>
      <c r="V131" s="480"/>
      <c r="W131" s="480"/>
      <c r="X131" s="480"/>
      <c r="Y131" s="480"/>
      <c r="Z131" s="480"/>
      <c r="AA131" s="480"/>
      <c r="AB131" s="480"/>
    </row>
    <row r="132" spans="1:97">
      <c r="A132" s="473" t="s">
        <v>163</v>
      </c>
      <c r="B132" s="481">
        <v>489021521</v>
      </c>
      <c r="C132" s="481">
        <v>485541215</v>
      </c>
      <c r="D132" s="481">
        <v>1405317400</v>
      </c>
      <c r="E132" s="485">
        <v>1894338921</v>
      </c>
      <c r="F132" s="485">
        <v>1890858615</v>
      </c>
      <c r="G132" s="481">
        <v>13046924.443499997</v>
      </c>
      <c r="H132" s="536">
        <v>2019</v>
      </c>
      <c r="I132" s="476"/>
      <c r="J132" s="476"/>
      <c r="M132" s="483"/>
      <c r="N132" s="483"/>
      <c r="O132" s="483"/>
      <c r="P132" s="483"/>
      <c r="Q132" s="483"/>
      <c r="R132" s="483"/>
      <c r="S132" s="479"/>
      <c r="V132" s="480"/>
      <c r="W132" s="480"/>
      <c r="X132" s="480"/>
      <c r="Y132" s="480"/>
      <c r="Z132" s="480"/>
      <c r="AA132" s="480"/>
      <c r="AB132" s="480"/>
    </row>
    <row r="133" spans="1:97">
      <c r="A133" s="473" t="s">
        <v>165</v>
      </c>
      <c r="B133" s="481">
        <v>1057886000</v>
      </c>
      <c r="C133" s="481">
        <v>800000397</v>
      </c>
      <c r="D133" s="481">
        <v>1541665500</v>
      </c>
      <c r="E133" s="485">
        <v>2599551500</v>
      </c>
      <c r="F133" s="485">
        <v>2341665897</v>
      </c>
      <c r="G133" s="481">
        <v>12644995.843800001</v>
      </c>
      <c r="H133" s="536">
        <v>2019</v>
      </c>
      <c r="I133" s="476"/>
      <c r="J133" s="476"/>
      <c r="M133" s="483"/>
      <c r="N133" s="483"/>
      <c r="O133" s="483"/>
      <c r="P133" s="483"/>
      <c r="Q133" s="483"/>
      <c r="R133" s="483"/>
      <c r="S133" s="479"/>
      <c r="V133" s="480"/>
      <c r="W133" s="480"/>
      <c r="X133" s="480"/>
      <c r="Y133" s="480"/>
      <c r="Z133" s="480"/>
      <c r="AA133" s="480"/>
      <c r="AB133" s="480"/>
    </row>
    <row r="134" spans="1:97">
      <c r="A134" s="473" t="s">
        <v>167</v>
      </c>
      <c r="B134" s="481">
        <v>3542816969</v>
      </c>
      <c r="C134" s="481">
        <v>3533434369</v>
      </c>
      <c r="D134" s="481">
        <v>5714002600</v>
      </c>
      <c r="E134" s="485">
        <v>9256819569</v>
      </c>
      <c r="F134" s="485">
        <v>9247436969</v>
      </c>
      <c r="G134" s="481">
        <v>73517123.903549999</v>
      </c>
      <c r="H134" s="536">
        <v>2019</v>
      </c>
      <c r="I134" s="476"/>
      <c r="J134" s="476"/>
      <c r="N134" s="484"/>
      <c r="O134" s="484"/>
      <c r="S134" s="479"/>
      <c r="V134" s="480"/>
      <c r="W134" s="480"/>
      <c r="X134" s="480"/>
      <c r="Y134" s="480"/>
      <c r="Z134" s="480"/>
      <c r="AA134" s="480"/>
      <c r="AB134" s="480"/>
    </row>
    <row r="135" spans="1:97">
      <c r="C135" s="547"/>
      <c r="D135" s="547"/>
      <c r="N135" s="484"/>
      <c r="O135" s="484"/>
      <c r="S135" s="479"/>
      <c r="V135" s="480"/>
      <c r="W135" s="480"/>
      <c r="X135" s="480"/>
      <c r="Y135" s="480"/>
      <c r="Z135" s="480"/>
      <c r="AA135" s="480"/>
      <c r="AB135" s="480"/>
    </row>
    <row r="136" spans="1:97" s="488" customFormat="1" ht="12.75" customHeight="1">
      <c r="A136" s="548" t="s">
        <v>22</v>
      </c>
      <c r="B136" s="497">
        <f t="shared" ref="B136:G136" si="0">SUM(B7:B134)</f>
        <v>323259486973</v>
      </c>
      <c r="C136" s="497">
        <f t="shared" si="0"/>
        <v>298221486450</v>
      </c>
      <c r="D136" s="497">
        <f t="shared" si="0"/>
        <v>587016530456</v>
      </c>
      <c r="E136" s="497">
        <f t="shared" si="0"/>
        <v>910276017429</v>
      </c>
      <c r="F136" s="497">
        <f t="shared" si="0"/>
        <v>885238016906</v>
      </c>
      <c r="G136" s="497">
        <f t="shared" si="0"/>
        <v>8451984600.3172655</v>
      </c>
      <c r="H136" s="540"/>
      <c r="K136" s="549"/>
      <c r="L136" s="550"/>
      <c r="M136" s="491"/>
      <c r="N136" s="491"/>
      <c r="O136" s="491"/>
      <c r="P136" s="491"/>
      <c r="Q136" s="491"/>
      <c r="R136" s="491"/>
      <c r="S136" s="550"/>
      <c r="T136" s="549"/>
      <c r="U136" s="477"/>
      <c r="V136" s="480"/>
      <c r="W136" s="480"/>
      <c r="X136" s="480"/>
      <c r="Y136" s="480"/>
      <c r="Z136" s="480"/>
      <c r="AA136" s="480"/>
      <c r="AB136" s="480"/>
      <c r="AC136" s="549"/>
      <c r="AD136" s="549"/>
      <c r="AE136" s="549"/>
      <c r="AF136" s="549"/>
      <c r="AG136" s="549"/>
      <c r="AH136" s="549"/>
      <c r="AI136" s="549"/>
      <c r="AJ136" s="549"/>
      <c r="AK136" s="549"/>
      <c r="AL136" s="549"/>
      <c r="AM136" s="549"/>
      <c r="AN136" s="549"/>
      <c r="AO136" s="549"/>
      <c r="AP136" s="549"/>
      <c r="AQ136" s="549"/>
      <c r="AR136" s="549"/>
      <c r="AS136" s="549"/>
      <c r="AT136" s="549"/>
      <c r="AU136" s="549"/>
      <c r="AV136" s="549"/>
      <c r="AW136" s="549"/>
      <c r="AX136" s="549"/>
      <c r="AY136" s="549"/>
      <c r="AZ136" s="549"/>
      <c r="BA136" s="549"/>
      <c r="BB136" s="549"/>
      <c r="BC136" s="549"/>
      <c r="BD136" s="549"/>
      <c r="BE136" s="549"/>
      <c r="BF136" s="549"/>
      <c r="BG136" s="549"/>
      <c r="BH136" s="549"/>
      <c r="BI136" s="549"/>
      <c r="BJ136" s="549"/>
      <c r="BK136" s="549"/>
      <c r="BL136" s="549"/>
      <c r="BM136" s="549"/>
      <c r="BN136" s="549"/>
      <c r="BO136" s="549"/>
      <c r="BP136" s="549"/>
      <c r="BQ136" s="549"/>
      <c r="BR136" s="549"/>
      <c r="BS136" s="549"/>
      <c r="BT136" s="549"/>
      <c r="BU136" s="549"/>
      <c r="BV136" s="549"/>
      <c r="BW136" s="549"/>
      <c r="BX136" s="549"/>
      <c r="BY136" s="549"/>
      <c r="BZ136" s="549"/>
      <c r="CA136" s="549"/>
      <c r="CB136" s="549"/>
      <c r="CC136" s="549"/>
      <c r="CD136" s="549"/>
      <c r="CE136" s="549"/>
      <c r="CF136" s="549"/>
      <c r="CG136" s="549"/>
      <c r="CH136" s="549"/>
      <c r="CI136" s="549"/>
      <c r="CJ136" s="549"/>
      <c r="CK136" s="549"/>
      <c r="CL136" s="549"/>
      <c r="CM136" s="549"/>
      <c r="CN136" s="549"/>
      <c r="CO136" s="549"/>
      <c r="CP136" s="549"/>
      <c r="CQ136" s="549"/>
      <c r="CR136" s="549"/>
      <c r="CS136" s="549"/>
    </row>
    <row r="137" spans="1:97">
      <c r="S137" s="479"/>
      <c r="V137" s="480"/>
      <c r="W137" s="480"/>
      <c r="X137" s="480"/>
      <c r="Y137" s="480"/>
      <c r="Z137" s="480"/>
      <c r="AA137" s="480"/>
      <c r="AB137" s="480"/>
    </row>
    <row r="138" spans="1:97" ht="12" thickBot="1">
      <c r="B138" s="474"/>
      <c r="C138" s="474"/>
      <c r="D138" s="474"/>
      <c r="E138" s="474"/>
      <c r="F138" s="474"/>
      <c r="G138" s="474"/>
      <c r="M138" s="551"/>
      <c r="N138" s="551"/>
      <c r="O138" s="551"/>
      <c r="P138" s="551"/>
      <c r="Q138" s="551"/>
      <c r="R138" s="551"/>
      <c r="S138" s="479"/>
      <c r="V138" s="480"/>
      <c r="W138" s="480"/>
      <c r="X138" s="480"/>
      <c r="Y138" s="480"/>
      <c r="Z138" s="480"/>
      <c r="AA138" s="480"/>
      <c r="AB138" s="480"/>
    </row>
    <row r="139" spans="1:97">
      <c r="A139" s="552"/>
      <c r="B139" s="552"/>
      <c r="C139" s="552"/>
      <c r="D139" s="552"/>
      <c r="E139" s="552"/>
      <c r="F139" s="552"/>
      <c r="G139" s="552"/>
      <c r="H139" s="541"/>
      <c r="V139" s="480"/>
      <c r="W139" s="480"/>
      <c r="X139" s="480"/>
      <c r="Y139" s="480"/>
      <c r="Z139" s="480"/>
      <c r="AA139" s="480"/>
      <c r="AB139" s="480"/>
    </row>
    <row r="140" spans="1:97" s="489" customFormat="1">
      <c r="A140" s="495" t="s">
        <v>23</v>
      </c>
      <c r="B140" s="495" t="s">
        <v>825</v>
      </c>
      <c r="C140" s="495" t="s">
        <v>826</v>
      </c>
      <c r="D140" s="495" t="s">
        <v>827</v>
      </c>
      <c r="E140" s="495" t="s">
        <v>828</v>
      </c>
      <c r="F140" s="495" t="s">
        <v>829</v>
      </c>
      <c r="G140" s="495" t="s">
        <v>830</v>
      </c>
      <c r="H140" s="537" t="s">
        <v>831</v>
      </c>
      <c r="K140" s="486"/>
      <c r="L140" s="494"/>
      <c r="M140" s="494"/>
      <c r="N140" s="494"/>
      <c r="O140" s="494"/>
      <c r="P140" s="494"/>
      <c r="Q140" s="494"/>
      <c r="R140" s="494"/>
      <c r="S140" s="494"/>
      <c r="T140" s="486"/>
      <c r="U140" s="477"/>
      <c r="V140" s="480"/>
      <c r="W140" s="480"/>
      <c r="X140" s="480"/>
      <c r="Y140" s="480"/>
      <c r="Z140" s="480"/>
      <c r="AA140" s="480"/>
      <c r="AB140" s="480"/>
      <c r="AC140" s="486"/>
      <c r="AD140" s="486"/>
      <c r="AE140" s="486"/>
      <c r="AF140" s="486"/>
      <c r="AG140" s="486"/>
      <c r="AH140" s="486"/>
      <c r="AI140" s="486"/>
      <c r="AJ140" s="486"/>
      <c r="AK140" s="486"/>
      <c r="AL140" s="486"/>
      <c r="AM140" s="486"/>
      <c r="AN140" s="486"/>
      <c r="AO140" s="486"/>
      <c r="AP140" s="486"/>
      <c r="AQ140" s="486"/>
      <c r="AR140" s="486"/>
      <c r="AS140" s="486"/>
      <c r="AT140" s="486"/>
      <c r="AU140" s="486"/>
      <c r="AV140" s="486"/>
      <c r="AW140" s="486"/>
      <c r="AX140" s="486"/>
      <c r="AY140" s="486"/>
      <c r="AZ140" s="486"/>
      <c r="BA140" s="486"/>
      <c r="BB140" s="486"/>
      <c r="BC140" s="486"/>
      <c r="BD140" s="486"/>
      <c r="BE140" s="486"/>
      <c r="BF140" s="486"/>
      <c r="BG140" s="486"/>
      <c r="BH140" s="486"/>
      <c r="BI140" s="486"/>
      <c r="BJ140" s="486"/>
      <c r="BK140" s="486"/>
      <c r="BL140" s="486"/>
      <c r="BM140" s="486"/>
      <c r="BN140" s="486"/>
      <c r="BO140" s="486"/>
      <c r="BP140" s="486"/>
      <c r="BQ140" s="486"/>
      <c r="BR140" s="486"/>
      <c r="BS140" s="486"/>
      <c r="BT140" s="486"/>
      <c r="BU140" s="486"/>
      <c r="BV140" s="486"/>
      <c r="BW140" s="486"/>
      <c r="BX140" s="486"/>
      <c r="BY140" s="486"/>
      <c r="BZ140" s="486"/>
      <c r="CA140" s="486"/>
      <c r="CB140" s="486"/>
      <c r="CC140" s="486"/>
      <c r="CD140" s="486"/>
      <c r="CE140" s="486"/>
      <c r="CF140" s="486"/>
      <c r="CG140" s="486"/>
      <c r="CH140" s="486"/>
      <c r="CI140" s="486"/>
      <c r="CJ140" s="486"/>
      <c r="CK140" s="486"/>
      <c r="CL140" s="486"/>
      <c r="CM140" s="486"/>
      <c r="CN140" s="486"/>
      <c r="CO140" s="486"/>
      <c r="CP140" s="486"/>
      <c r="CQ140" s="486"/>
      <c r="CR140" s="486"/>
      <c r="CS140" s="486"/>
    </row>
    <row r="141" spans="1:97" s="489" customFormat="1" ht="8.25" customHeight="1">
      <c r="A141" s="494"/>
      <c r="B141" s="494"/>
      <c r="C141" s="494"/>
      <c r="D141" s="494"/>
      <c r="E141" s="494"/>
      <c r="F141" s="494"/>
      <c r="G141" s="494"/>
      <c r="H141" s="542"/>
      <c r="K141" s="486"/>
      <c r="L141" s="494"/>
      <c r="M141" s="494"/>
      <c r="N141" s="494"/>
      <c r="O141" s="494"/>
      <c r="P141" s="494"/>
      <c r="Q141" s="494"/>
      <c r="R141" s="494"/>
      <c r="S141" s="494"/>
      <c r="T141" s="486"/>
      <c r="U141" s="477"/>
      <c r="V141" s="480"/>
      <c r="W141" s="480"/>
      <c r="X141" s="480"/>
      <c r="Y141" s="480"/>
      <c r="Z141" s="480"/>
      <c r="AA141" s="480"/>
      <c r="AB141" s="480"/>
      <c r="AC141" s="486"/>
      <c r="AD141" s="486"/>
      <c r="AE141" s="486"/>
      <c r="AF141" s="486"/>
      <c r="AG141" s="486"/>
      <c r="AH141" s="486"/>
      <c r="AI141" s="486"/>
      <c r="AJ141" s="486"/>
      <c r="AK141" s="486"/>
      <c r="AL141" s="486"/>
      <c r="AM141" s="486"/>
      <c r="AN141" s="486"/>
      <c r="AO141" s="486"/>
      <c r="AP141" s="486"/>
      <c r="AQ141" s="486"/>
      <c r="AR141" s="486"/>
      <c r="AS141" s="486"/>
      <c r="AT141" s="486"/>
      <c r="AU141" s="486"/>
      <c r="AV141" s="486"/>
      <c r="AW141" s="486"/>
      <c r="AX141" s="486"/>
      <c r="AY141" s="486"/>
      <c r="AZ141" s="486"/>
      <c r="BA141" s="486"/>
      <c r="BB141" s="486"/>
      <c r="BC141" s="486"/>
      <c r="BD141" s="486"/>
      <c r="BE141" s="486"/>
      <c r="BF141" s="486"/>
      <c r="BG141" s="486"/>
      <c r="BH141" s="486"/>
      <c r="BI141" s="486"/>
      <c r="BJ141" s="486"/>
      <c r="BK141" s="486"/>
      <c r="BL141" s="486"/>
      <c r="BM141" s="486"/>
      <c r="BN141" s="486"/>
      <c r="BO141" s="486"/>
      <c r="BP141" s="486"/>
      <c r="BQ141" s="486"/>
      <c r="BR141" s="486"/>
      <c r="BS141" s="486"/>
      <c r="BT141" s="486"/>
      <c r="BU141" s="486"/>
      <c r="BV141" s="486"/>
      <c r="BW141" s="486"/>
      <c r="BX141" s="486"/>
      <c r="BY141" s="486"/>
      <c r="BZ141" s="486"/>
      <c r="CA141" s="486"/>
      <c r="CB141" s="486"/>
      <c r="CC141" s="486"/>
      <c r="CD141" s="486"/>
      <c r="CE141" s="486"/>
      <c r="CF141" s="486"/>
      <c r="CG141" s="486"/>
      <c r="CH141" s="486"/>
      <c r="CI141" s="486"/>
      <c r="CJ141" s="486"/>
      <c r="CK141" s="486"/>
      <c r="CL141" s="486"/>
      <c r="CM141" s="486"/>
      <c r="CN141" s="486"/>
      <c r="CO141" s="486"/>
      <c r="CP141" s="486"/>
      <c r="CQ141" s="486"/>
      <c r="CR141" s="486"/>
      <c r="CS141" s="486"/>
    </row>
    <row r="142" spans="1:97" ht="12" customHeight="1">
      <c r="A142" s="473" t="s">
        <v>913</v>
      </c>
      <c r="B142" s="848">
        <v>16295587326</v>
      </c>
      <c r="C142" s="848">
        <v>16295587326</v>
      </c>
      <c r="D142" s="848">
        <v>23205540995</v>
      </c>
      <c r="E142" s="849">
        <v>39501128321</v>
      </c>
      <c r="F142" s="849">
        <v>39501128321</v>
      </c>
      <c r="G142" s="848">
        <v>446362750.02729994</v>
      </c>
      <c r="H142" s="740">
        <v>2019</v>
      </c>
      <c r="I142" s="476"/>
      <c r="J142" s="476"/>
      <c r="M142" s="478"/>
      <c r="N142" s="478"/>
      <c r="O142" s="478"/>
      <c r="P142" s="478"/>
      <c r="Q142" s="478"/>
      <c r="R142" s="478"/>
      <c r="S142" s="479"/>
      <c r="V142" s="480"/>
      <c r="W142" s="480"/>
      <c r="X142" s="480"/>
      <c r="Y142" s="480"/>
      <c r="Z142" s="480"/>
      <c r="AA142" s="480"/>
      <c r="AB142" s="480"/>
    </row>
    <row r="143" spans="1:97" ht="11.25" customHeight="1">
      <c r="A143" s="473" t="s">
        <v>174</v>
      </c>
      <c r="B143" s="731">
        <v>301570870</v>
      </c>
      <c r="C143" s="731">
        <v>301570870</v>
      </c>
      <c r="D143" s="731">
        <v>885276800</v>
      </c>
      <c r="E143" s="733">
        <v>1186847670</v>
      </c>
      <c r="F143" s="733">
        <v>1186847670</v>
      </c>
      <c r="G143" s="732">
        <v>13886117.738999998</v>
      </c>
      <c r="H143" s="724">
        <v>2019</v>
      </c>
      <c r="I143" s="476"/>
      <c r="J143" s="476"/>
      <c r="M143" s="483"/>
      <c r="N143" s="483"/>
      <c r="O143" s="483"/>
      <c r="P143" s="483"/>
      <c r="Q143" s="483"/>
      <c r="R143" s="483"/>
      <c r="S143" s="479"/>
      <c r="V143" s="480"/>
      <c r="W143" s="480"/>
      <c r="X143" s="480"/>
      <c r="Y143" s="480"/>
      <c r="Z143" s="480"/>
      <c r="AA143" s="480"/>
      <c r="AB143" s="480"/>
    </row>
    <row r="144" spans="1:97" ht="12" customHeight="1">
      <c r="A144" s="473" t="s">
        <v>176</v>
      </c>
      <c r="B144" s="731">
        <v>71021960</v>
      </c>
      <c r="C144" s="731">
        <v>70845060</v>
      </c>
      <c r="D144" s="731">
        <v>257593490</v>
      </c>
      <c r="E144" s="733">
        <v>328615450</v>
      </c>
      <c r="F144" s="733">
        <v>328438550</v>
      </c>
      <c r="G144" s="731">
        <v>3974106.4550000001</v>
      </c>
      <c r="H144" s="724" t="s">
        <v>907</v>
      </c>
      <c r="I144" s="476"/>
      <c r="J144" s="476"/>
      <c r="M144" s="483"/>
      <c r="N144" s="483"/>
      <c r="O144" s="483"/>
      <c r="P144" s="483"/>
      <c r="Q144" s="483"/>
      <c r="R144" s="483"/>
      <c r="S144" s="479"/>
      <c r="V144" s="480"/>
      <c r="W144" s="480"/>
      <c r="X144" s="480"/>
      <c r="Y144" s="480"/>
      <c r="Z144" s="480"/>
      <c r="AA144" s="480"/>
      <c r="AB144" s="480"/>
    </row>
    <row r="145" spans="1:28" ht="12" customHeight="1">
      <c r="A145" s="473" t="s">
        <v>178</v>
      </c>
      <c r="B145" s="731">
        <v>2303510100</v>
      </c>
      <c r="C145" s="731">
        <v>2303510100</v>
      </c>
      <c r="D145" s="731">
        <v>5344382900</v>
      </c>
      <c r="E145" s="733">
        <v>7647893000</v>
      </c>
      <c r="F145" s="733">
        <v>7647893000</v>
      </c>
      <c r="G145" s="731">
        <v>72654983.5</v>
      </c>
      <c r="H145" s="724">
        <v>2019</v>
      </c>
      <c r="I145" s="476"/>
      <c r="J145" s="476"/>
      <c r="M145" s="483"/>
      <c r="N145" s="483"/>
      <c r="O145" s="483"/>
      <c r="P145" s="483"/>
      <c r="Q145" s="483"/>
      <c r="R145" s="483"/>
      <c r="S145" s="479"/>
      <c r="V145" s="480"/>
      <c r="W145" s="480"/>
      <c r="X145" s="480"/>
      <c r="Y145" s="480"/>
      <c r="Z145" s="480"/>
      <c r="AA145" s="480"/>
      <c r="AB145" s="480"/>
    </row>
    <row r="146" spans="1:28" ht="12" customHeight="1">
      <c r="A146" s="473" t="s">
        <v>123</v>
      </c>
      <c r="B146" s="731">
        <v>9766422100</v>
      </c>
      <c r="C146" s="731">
        <v>9580798600</v>
      </c>
      <c r="D146" s="731">
        <v>18295634300</v>
      </c>
      <c r="E146" s="733">
        <v>28062056400</v>
      </c>
      <c r="F146" s="733">
        <v>27876432900</v>
      </c>
      <c r="G146" s="731">
        <v>292702545.44999999</v>
      </c>
      <c r="H146" s="724" t="s">
        <v>907</v>
      </c>
      <c r="I146" s="476"/>
      <c r="J146" s="476"/>
      <c r="M146" s="483"/>
      <c r="N146" s="483"/>
      <c r="O146" s="483"/>
      <c r="P146" s="483"/>
      <c r="Q146" s="483"/>
      <c r="R146" s="483"/>
      <c r="S146" s="479"/>
      <c r="V146" s="480"/>
      <c r="W146" s="480"/>
      <c r="X146" s="480"/>
      <c r="Y146" s="480"/>
      <c r="Z146" s="480"/>
      <c r="AA146" s="480"/>
      <c r="AB146" s="480"/>
    </row>
    <row r="147" spans="1:28" ht="9" customHeight="1">
      <c r="B147" s="731"/>
      <c r="C147" s="731"/>
      <c r="D147" s="731"/>
      <c r="E147" s="733"/>
      <c r="F147" s="733"/>
      <c r="G147" s="731"/>
      <c r="H147" s="724"/>
      <c r="M147" s="483"/>
      <c r="N147" s="483"/>
      <c r="O147" s="483"/>
      <c r="P147" s="483"/>
      <c r="Q147" s="483"/>
      <c r="R147" s="483"/>
      <c r="S147" s="479"/>
      <c r="V147" s="480"/>
      <c r="W147" s="480"/>
      <c r="X147" s="480"/>
      <c r="Y147" s="480"/>
      <c r="Z147" s="480"/>
      <c r="AA147" s="480"/>
      <c r="AB147" s="480"/>
    </row>
    <row r="148" spans="1:28" ht="12" customHeight="1">
      <c r="A148" s="473" t="s">
        <v>125</v>
      </c>
      <c r="B148" s="731">
        <v>566338400</v>
      </c>
      <c r="C148" s="731">
        <v>566338400</v>
      </c>
      <c r="D148" s="731">
        <v>1128123470</v>
      </c>
      <c r="E148" s="733">
        <v>1694461870</v>
      </c>
      <c r="F148" s="733">
        <v>1694461870</v>
      </c>
      <c r="G148" s="731">
        <v>20333542.439999998</v>
      </c>
      <c r="H148" s="724">
        <v>2019</v>
      </c>
      <c r="I148" s="476"/>
      <c r="J148" s="476"/>
      <c r="M148" s="483"/>
      <c r="N148" s="483"/>
      <c r="O148" s="483"/>
      <c r="P148" s="483"/>
      <c r="Q148" s="483"/>
      <c r="R148" s="483"/>
      <c r="S148" s="479"/>
      <c r="V148" s="480"/>
      <c r="W148" s="480"/>
      <c r="X148" s="480"/>
      <c r="Y148" s="480"/>
      <c r="Z148" s="480"/>
      <c r="AA148" s="480"/>
      <c r="AB148" s="480"/>
    </row>
    <row r="149" spans="1:28" ht="12" customHeight="1">
      <c r="A149" s="473" t="s">
        <v>127</v>
      </c>
      <c r="B149" s="731">
        <v>57225924</v>
      </c>
      <c r="C149" s="731">
        <v>57225924</v>
      </c>
      <c r="D149" s="731">
        <v>241889044</v>
      </c>
      <c r="E149" s="733">
        <v>299114968</v>
      </c>
      <c r="F149" s="733">
        <v>299114968</v>
      </c>
      <c r="G149" s="731">
        <v>2392919.7440000004</v>
      </c>
      <c r="H149" s="724" t="s">
        <v>907</v>
      </c>
      <c r="I149" s="476"/>
      <c r="J149" s="476"/>
      <c r="M149" s="483"/>
      <c r="N149" s="483"/>
      <c r="O149" s="483"/>
      <c r="P149" s="483"/>
      <c r="Q149" s="483"/>
      <c r="R149" s="483"/>
      <c r="S149" s="479"/>
      <c r="V149" s="480"/>
      <c r="W149" s="480"/>
      <c r="X149" s="480"/>
      <c r="Y149" s="480"/>
      <c r="Z149" s="480"/>
      <c r="AA149" s="480"/>
      <c r="AB149" s="480"/>
    </row>
    <row r="150" spans="1:28" ht="12" customHeight="1">
      <c r="A150" s="473" t="s">
        <v>129</v>
      </c>
      <c r="B150" s="731">
        <v>313563500</v>
      </c>
      <c r="C150" s="731">
        <v>312348900</v>
      </c>
      <c r="D150" s="731">
        <v>1950610400</v>
      </c>
      <c r="E150" s="733">
        <v>2264173900</v>
      </c>
      <c r="F150" s="733">
        <v>2262959300</v>
      </c>
      <c r="G150" s="731">
        <v>19008858.120000001</v>
      </c>
      <c r="H150" s="724" t="s">
        <v>907</v>
      </c>
      <c r="I150" s="476"/>
      <c r="J150" s="476"/>
      <c r="M150" s="483"/>
      <c r="N150" s="483"/>
      <c r="O150" s="483"/>
      <c r="P150" s="483"/>
      <c r="Q150" s="483"/>
      <c r="R150" s="483"/>
      <c r="S150" s="479"/>
      <c r="V150" s="480"/>
      <c r="W150" s="480"/>
      <c r="X150" s="480"/>
      <c r="Y150" s="480"/>
      <c r="Z150" s="480"/>
      <c r="AA150" s="480"/>
      <c r="AB150" s="480"/>
    </row>
    <row r="151" spans="1:28" ht="12" customHeight="1">
      <c r="A151" s="473" t="s">
        <v>131</v>
      </c>
      <c r="B151" s="731">
        <v>64209000</v>
      </c>
      <c r="C151" s="731">
        <v>64209000</v>
      </c>
      <c r="D151" s="731">
        <v>283294600</v>
      </c>
      <c r="E151" s="733">
        <v>347503600</v>
      </c>
      <c r="F151" s="733">
        <v>347503600</v>
      </c>
      <c r="G151" s="731">
        <v>3301284.1999999997</v>
      </c>
      <c r="H151" s="724">
        <v>2019</v>
      </c>
      <c r="I151" s="476"/>
      <c r="J151" s="476"/>
      <c r="M151" s="483"/>
      <c r="N151" s="483"/>
      <c r="O151" s="483"/>
      <c r="P151" s="483"/>
      <c r="Q151" s="483"/>
      <c r="R151" s="483"/>
      <c r="S151" s="479"/>
      <c r="V151" s="480"/>
      <c r="W151" s="480"/>
      <c r="X151" s="480"/>
      <c r="Y151" s="480"/>
      <c r="Z151" s="480"/>
      <c r="AA151" s="480"/>
      <c r="AB151" s="480"/>
    </row>
    <row r="152" spans="1:28" ht="12" customHeight="1">
      <c r="A152" s="473" t="s">
        <v>908</v>
      </c>
      <c r="B152" s="731">
        <v>2431393300</v>
      </c>
      <c r="C152" s="731">
        <v>2431393300</v>
      </c>
      <c r="D152" s="731">
        <v>3807791400</v>
      </c>
      <c r="E152" s="733">
        <v>6239184700</v>
      </c>
      <c r="F152" s="733">
        <v>6239184700</v>
      </c>
      <c r="G152" s="731">
        <v>67071235.524999999</v>
      </c>
      <c r="H152" s="724">
        <v>2019</v>
      </c>
      <c r="I152" s="476"/>
      <c r="J152" s="476"/>
      <c r="M152" s="483"/>
      <c r="N152" s="483"/>
      <c r="O152" s="483"/>
      <c r="P152" s="483"/>
      <c r="Q152" s="483"/>
      <c r="R152" s="483"/>
      <c r="S152" s="479"/>
      <c r="V152" s="480"/>
      <c r="W152" s="480"/>
      <c r="X152" s="480"/>
      <c r="Y152" s="480"/>
      <c r="Z152" s="480"/>
      <c r="AA152" s="480"/>
      <c r="AB152" s="480"/>
    </row>
    <row r="153" spans="1:28" ht="9" customHeight="1">
      <c r="B153" s="731"/>
      <c r="C153" s="731"/>
      <c r="D153" s="731"/>
      <c r="E153" s="733"/>
      <c r="F153" s="733"/>
      <c r="G153" s="731"/>
      <c r="H153" s="724"/>
      <c r="M153" s="483"/>
      <c r="N153" s="483"/>
      <c r="O153" s="483"/>
      <c r="P153" s="483"/>
      <c r="Q153" s="483"/>
      <c r="R153" s="483"/>
      <c r="S153" s="479"/>
      <c r="V153" s="480"/>
      <c r="W153" s="480"/>
      <c r="X153" s="480"/>
      <c r="Y153" s="480"/>
      <c r="Z153" s="480"/>
      <c r="AA153" s="480"/>
      <c r="AB153" s="480"/>
    </row>
    <row r="154" spans="1:28" ht="12" customHeight="1">
      <c r="A154" s="473" t="s">
        <v>893</v>
      </c>
      <c r="B154" s="731">
        <v>1985851500</v>
      </c>
      <c r="C154" s="731">
        <v>1985851500</v>
      </c>
      <c r="D154" s="731">
        <v>2158668300</v>
      </c>
      <c r="E154" s="733">
        <v>4144519800</v>
      </c>
      <c r="F154" s="733">
        <v>4144519800</v>
      </c>
      <c r="G154" s="731">
        <v>55329339.329999998</v>
      </c>
      <c r="H154" s="724">
        <v>2018</v>
      </c>
      <c r="I154" s="476"/>
      <c r="J154" s="476"/>
      <c r="M154" s="483"/>
      <c r="N154" s="483"/>
      <c r="O154" s="483"/>
      <c r="P154" s="483"/>
      <c r="Q154" s="483"/>
      <c r="R154" s="483"/>
      <c r="S154" s="479"/>
      <c r="V154" s="480"/>
      <c r="W154" s="480"/>
      <c r="X154" s="480"/>
      <c r="Y154" s="480"/>
      <c r="Z154" s="480"/>
      <c r="AA154" s="480"/>
      <c r="AB154" s="480"/>
    </row>
    <row r="155" spans="1:28" ht="12" customHeight="1">
      <c r="A155" s="473" t="s">
        <v>24</v>
      </c>
      <c r="B155" s="731">
        <v>152853600</v>
      </c>
      <c r="C155" s="731">
        <v>147961305</v>
      </c>
      <c r="D155" s="731">
        <v>418339390</v>
      </c>
      <c r="E155" s="733">
        <v>571192990</v>
      </c>
      <c r="F155" s="733">
        <v>566300695</v>
      </c>
      <c r="G155" s="731">
        <v>5832897.1584999999</v>
      </c>
      <c r="H155" s="724" t="s">
        <v>907</v>
      </c>
      <c r="I155" s="476"/>
      <c r="J155" s="476"/>
      <c r="M155" s="483"/>
      <c r="N155" s="483"/>
      <c r="O155" s="483"/>
      <c r="P155" s="483"/>
      <c r="Q155" s="483"/>
      <c r="R155" s="483"/>
      <c r="S155" s="479"/>
      <c r="V155" s="480"/>
      <c r="W155" s="480"/>
      <c r="X155" s="480"/>
      <c r="Y155" s="480"/>
      <c r="Z155" s="480"/>
      <c r="AA155" s="480"/>
      <c r="AB155" s="480"/>
    </row>
    <row r="156" spans="1:28" ht="12" customHeight="1">
      <c r="A156" s="473" t="s">
        <v>136</v>
      </c>
      <c r="B156" s="731">
        <v>1507284100</v>
      </c>
      <c r="C156" s="731">
        <v>1477195000</v>
      </c>
      <c r="D156" s="731">
        <v>2591953600</v>
      </c>
      <c r="E156" s="733">
        <v>4099237700</v>
      </c>
      <c r="F156" s="733">
        <v>4069148600</v>
      </c>
      <c r="G156" s="731">
        <v>34587763.100000001</v>
      </c>
      <c r="H156" s="724" t="s">
        <v>907</v>
      </c>
      <c r="I156" s="476"/>
      <c r="J156" s="476"/>
      <c r="M156" s="483"/>
      <c r="N156" s="483"/>
      <c r="O156" s="483"/>
      <c r="P156" s="483"/>
      <c r="Q156" s="483"/>
      <c r="R156" s="483"/>
      <c r="S156" s="479"/>
      <c r="V156" s="480"/>
      <c r="W156" s="480"/>
      <c r="X156" s="480"/>
      <c r="Y156" s="480"/>
      <c r="Z156" s="480"/>
      <c r="AA156" s="480"/>
      <c r="AB156" s="480"/>
    </row>
    <row r="157" spans="1:28" ht="12" customHeight="1">
      <c r="A157" s="473" t="s">
        <v>138</v>
      </c>
      <c r="B157" s="731">
        <v>87493600</v>
      </c>
      <c r="C157" s="731">
        <v>87493600</v>
      </c>
      <c r="D157" s="731">
        <v>357398750</v>
      </c>
      <c r="E157" s="733">
        <v>444892350</v>
      </c>
      <c r="F157" s="733">
        <v>444892350</v>
      </c>
      <c r="G157" s="731">
        <v>3759340.3574999999</v>
      </c>
      <c r="H157" s="724">
        <v>2019</v>
      </c>
      <c r="I157" s="476"/>
      <c r="J157" s="476"/>
      <c r="M157" s="483"/>
      <c r="N157" s="483"/>
      <c r="O157" s="483"/>
      <c r="P157" s="483"/>
      <c r="Q157" s="483"/>
      <c r="R157" s="483"/>
      <c r="S157" s="479"/>
      <c r="V157" s="480"/>
      <c r="W157" s="480"/>
      <c r="X157" s="480"/>
      <c r="Y157" s="480"/>
      <c r="Z157" s="480"/>
      <c r="AA157" s="480"/>
      <c r="AB157" s="480"/>
    </row>
    <row r="158" spans="1:28" ht="12" customHeight="1">
      <c r="A158" s="473" t="s">
        <v>912</v>
      </c>
      <c r="B158" s="731">
        <v>3343234000</v>
      </c>
      <c r="C158" s="731">
        <v>3327904300</v>
      </c>
      <c r="D158" s="731">
        <v>7527322100</v>
      </c>
      <c r="E158" s="733">
        <v>10870556100</v>
      </c>
      <c r="F158" s="733">
        <v>10855226400</v>
      </c>
      <c r="G158" s="731">
        <v>134604807.35999998</v>
      </c>
      <c r="H158" s="724" t="s">
        <v>891</v>
      </c>
      <c r="I158" s="476"/>
      <c r="J158" s="476"/>
      <c r="M158" s="483"/>
      <c r="N158" s="483"/>
      <c r="O158" s="483"/>
      <c r="P158" s="483"/>
      <c r="Q158" s="483"/>
      <c r="R158" s="483"/>
      <c r="S158" s="479"/>
      <c r="V158" s="480"/>
      <c r="W158" s="480"/>
      <c r="X158" s="480"/>
      <c r="Y158" s="480"/>
      <c r="Z158" s="480"/>
      <c r="AA158" s="480"/>
      <c r="AB158" s="480"/>
    </row>
    <row r="159" spans="1:28" ht="9" customHeight="1">
      <c r="B159" s="731"/>
      <c r="C159" s="731"/>
      <c r="D159" s="731"/>
      <c r="E159" s="733"/>
      <c r="F159" s="733"/>
      <c r="G159" s="731"/>
      <c r="H159" s="724"/>
      <c r="M159" s="483"/>
      <c r="N159" s="483"/>
      <c r="O159" s="483"/>
      <c r="P159" s="483"/>
      <c r="Q159" s="483"/>
      <c r="R159" s="483"/>
      <c r="S159" s="479"/>
      <c r="V159" s="480"/>
      <c r="W159" s="480"/>
      <c r="X159" s="480"/>
      <c r="Y159" s="480"/>
      <c r="Z159" s="480"/>
      <c r="AA159" s="480"/>
      <c r="AB159" s="480"/>
    </row>
    <row r="160" spans="1:28" ht="12" customHeight="1">
      <c r="A160" s="473" t="s">
        <v>834</v>
      </c>
      <c r="B160" s="731">
        <v>1384993100</v>
      </c>
      <c r="C160" s="731">
        <v>1329558500</v>
      </c>
      <c r="D160" s="731">
        <v>2987285353</v>
      </c>
      <c r="E160" s="733">
        <v>4372278453</v>
      </c>
      <c r="F160" s="733">
        <v>4316843853</v>
      </c>
      <c r="G160" s="731">
        <v>37124857.135800004</v>
      </c>
      <c r="H160" s="724" t="s">
        <v>907</v>
      </c>
      <c r="I160" s="476"/>
      <c r="J160" s="476"/>
      <c r="M160" s="483"/>
      <c r="N160" s="483"/>
      <c r="O160" s="483"/>
      <c r="P160" s="483"/>
      <c r="Q160" s="483"/>
      <c r="R160" s="483"/>
      <c r="S160" s="479"/>
      <c r="V160" s="480"/>
      <c r="W160" s="480"/>
      <c r="X160" s="480"/>
      <c r="Y160" s="480"/>
      <c r="Z160" s="480"/>
      <c r="AA160" s="480"/>
      <c r="AB160" s="480"/>
    </row>
    <row r="161" spans="1:97" ht="12" customHeight="1">
      <c r="A161" s="473" t="s">
        <v>144</v>
      </c>
      <c r="B161" s="731">
        <v>340836000</v>
      </c>
      <c r="C161" s="731">
        <v>340836000</v>
      </c>
      <c r="D161" s="731">
        <v>1023662700</v>
      </c>
      <c r="E161" s="733">
        <v>1364498700</v>
      </c>
      <c r="F161" s="733">
        <v>1364498700</v>
      </c>
      <c r="G161" s="731">
        <v>15418835.309999999</v>
      </c>
      <c r="H161" s="724">
        <v>2019</v>
      </c>
      <c r="I161" s="476"/>
      <c r="J161" s="476"/>
      <c r="M161" s="483"/>
      <c r="N161" s="483"/>
      <c r="O161" s="483"/>
      <c r="P161" s="483"/>
      <c r="Q161" s="483"/>
      <c r="R161" s="483"/>
      <c r="S161" s="479"/>
      <c r="V161" s="480"/>
      <c r="W161" s="480"/>
      <c r="X161" s="480"/>
      <c r="Y161" s="480"/>
      <c r="Z161" s="480"/>
      <c r="AA161" s="480"/>
      <c r="AB161" s="480"/>
    </row>
    <row r="162" spans="1:97" ht="12" customHeight="1">
      <c r="A162" s="473" t="s">
        <v>835</v>
      </c>
      <c r="B162" s="731">
        <v>171720700</v>
      </c>
      <c r="C162" s="731">
        <v>171720700</v>
      </c>
      <c r="D162" s="731">
        <v>403559700</v>
      </c>
      <c r="E162" s="733">
        <v>575280400</v>
      </c>
      <c r="F162" s="733">
        <v>575280400</v>
      </c>
      <c r="G162" s="731">
        <v>6097972.2400000002</v>
      </c>
      <c r="H162" s="724" t="s">
        <v>907</v>
      </c>
      <c r="I162" s="476"/>
      <c r="J162" s="476"/>
      <c r="M162" s="483"/>
      <c r="N162" s="483"/>
      <c r="O162" s="483"/>
      <c r="P162" s="483"/>
      <c r="Q162" s="483"/>
      <c r="R162" s="483"/>
      <c r="S162" s="479"/>
      <c r="V162" s="480"/>
      <c r="W162" s="480"/>
      <c r="X162" s="480"/>
      <c r="Y162" s="480"/>
      <c r="Z162" s="480"/>
      <c r="AA162" s="480"/>
      <c r="AB162" s="480"/>
    </row>
    <row r="163" spans="1:97" ht="12" customHeight="1">
      <c r="A163" s="477" t="s">
        <v>148</v>
      </c>
      <c r="B163" s="731">
        <v>1289705000</v>
      </c>
      <c r="C163" s="731">
        <v>1275799600</v>
      </c>
      <c r="D163" s="731">
        <v>4336870300</v>
      </c>
      <c r="E163" s="847">
        <v>5626575300</v>
      </c>
      <c r="F163" s="847">
        <v>5612669900</v>
      </c>
      <c r="G163" s="731">
        <v>62300635.890000008</v>
      </c>
      <c r="H163" s="724" t="s">
        <v>907</v>
      </c>
      <c r="I163" s="476"/>
      <c r="J163" s="476"/>
      <c r="M163" s="483"/>
      <c r="N163" s="483"/>
      <c r="O163" s="483"/>
      <c r="P163" s="483"/>
      <c r="Q163" s="483"/>
      <c r="R163" s="483"/>
      <c r="S163" s="479"/>
      <c r="V163" s="480"/>
      <c r="W163" s="480"/>
      <c r="X163" s="480"/>
      <c r="Y163" s="480"/>
      <c r="Z163" s="480"/>
      <c r="AA163" s="480"/>
      <c r="AB163" s="480"/>
    </row>
    <row r="164" spans="1:97" ht="12" customHeight="1">
      <c r="A164" s="473" t="s">
        <v>836</v>
      </c>
      <c r="B164" s="731">
        <v>1761136900</v>
      </c>
      <c r="C164" s="731">
        <v>1761136900</v>
      </c>
      <c r="D164" s="731">
        <v>3302609100</v>
      </c>
      <c r="E164" s="733">
        <v>5063746000</v>
      </c>
      <c r="F164" s="733">
        <v>5063746000</v>
      </c>
      <c r="G164" s="731">
        <v>74943440.799999997</v>
      </c>
      <c r="H164" s="724" t="s">
        <v>907</v>
      </c>
      <c r="I164" s="476"/>
      <c r="J164" s="476"/>
      <c r="M164" s="478"/>
      <c r="N164" s="478"/>
      <c r="O164" s="478"/>
      <c r="P164" s="478"/>
      <c r="Q164" s="478"/>
      <c r="R164" s="478"/>
      <c r="S164" s="479"/>
      <c r="V164" s="480"/>
      <c r="W164" s="480"/>
      <c r="X164" s="480"/>
      <c r="Y164" s="480"/>
      <c r="Z164" s="480"/>
      <c r="AA164" s="480"/>
      <c r="AB164" s="480"/>
    </row>
    <row r="165" spans="1:97" ht="14">
      <c r="A165" s="472" t="s">
        <v>833</v>
      </c>
      <c r="L165" s="486"/>
      <c r="V165" s="480"/>
      <c r="W165" s="480"/>
      <c r="X165" s="480"/>
      <c r="Y165" s="480"/>
      <c r="Z165" s="480"/>
      <c r="AA165" s="480"/>
      <c r="AB165" s="480"/>
    </row>
    <row r="166" spans="1:97" ht="13">
      <c r="A166" s="1959" t="str">
        <f>A125</f>
        <v>Real Estate Fair Market Value (FMV), Fair Market Value (Taxable), and Local Levy by Locality - Tax Year 2019</v>
      </c>
      <c r="B166" s="1959"/>
      <c r="C166" s="1959"/>
      <c r="D166" s="1959"/>
      <c r="E166" s="1959"/>
      <c r="F166" s="1959"/>
      <c r="G166" s="1959"/>
      <c r="H166" s="1959"/>
      <c r="L166" s="491"/>
      <c r="M166" s="491"/>
      <c r="N166" s="491"/>
      <c r="O166" s="491"/>
      <c r="P166" s="491"/>
      <c r="Q166" s="491"/>
      <c r="R166" s="491"/>
      <c r="S166" s="491"/>
      <c r="V166" s="480"/>
      <c r="W166" s="480"/>
      <c r="X166" s="480"/>
      <c r="Y166" s="480"/>
      <c r="Z166" s="480"/>
      <c r="AA166" s="480"/>
      <c r="AB166" s="480"/>
    </row>
    <row r="167" spans="1:97" ht="12" thickBot="1">
      <c r="A167" s="490"/>
      <c r="B167" s="490"/>
      <c r="C167" s="490"/>
      <c r="D167" s="490"/>
      <c r="E167" s="490"/>
      <c r="F167" s="490"/>
      <c r="G167" s="490"/>
      <c r="H167" s="490"/>
      <c r="L167" s="491"/>
      <c r="M167" s="491"/>
      <c r="N167" s="491"/>
      <c r="O167" s="491"/>
      <c r="P167" s="491"/>
      <c r="Q167" s="491"/>
      <c r="R167" s="491"/>
      <c r="S167" s="491"/>
      <c r="V167" s="480"/>
      <c r="W167" s="480"/>
      <c r="X167" s="480"/>
      <c r="Y167" s="480"/>
      <c r="Z167" s="480"/>
      <c r="AA167" s="480"/>
      <c r="AB167" s="480"/>
    </row>
    <row r="168" spans="1:97">
      <c r="V168" s="480"/>
      <c r="W168" s="480"/>
      <c r="X168" s="480"/>
      <c r="Y168" s="480"/>
      <c r="Z168" s="480"/>
      <c r="AA168" s="480"/>
      <c r="AB168" s="480"/>
    </row>
    <row r="169" spans="1:97" s="489" customFormat="1">
      <c r="A169" s="495" t="s">
        <v>23</v>
      </c>
      <c r="B169" s="495" t="s">
        <v>825</v>
      </c>
      <c r="C169" s="495" t="s">
        <v>826</v>
      </c>
      <c r="D169" s="495" t="s">
        <v>827</v>
      </c>
      <c r="E169" s="495" t="s">
        <v>828</v>
      </c>
      <c r="F169" s="495" t="s">
        <v>829</v>
      </c>
      <c r="G169" s="495" t="s">
        <v>830</v>
      </c>
      <c r="H169" s="537" t="s">
        <v>831</v>
      </c>
      <c r="K169" s="486"/>
      <c r="L169" s="494"/>
      <c r="M169" s="494"/>
      <c r="N169" s="494"/>
      <c r="O169" s="494"/>
      <c r="P169" s="494"/>
      <c r="Q169" s="494"/>
      <c r="R169" s="494"/>
      <c r="S169" s="494"/>
      <c r="T169" s="486"/>
      <c r="U169" s="477"/>
      <c r="V169" s="480"/>
      <c r="W169" s="480"/>
      <c r="X169" s="480"/>
      <c r="Y169" s="480"/>
      <c r="Z169" s="480"/>
      <c r="AA169" s="480"/>
      <c r="AB169" s="480"/>
      <c r="AC169" s="486"/>
      <c r="AD169" s="486"/>
      <c r="AE169" s="486"/>
      <c r="AF169" s="486"/>
      <c r="AG169" s="486"/>
      <c r="AH169" s="486"/>
      <c r="AI169" s="486"/>
      <c r="AJ169" s="486"/>
      <c r="AK169" s="486"/>
      <c r="AL169" s="486"/>
      <c r="AM169" s="486"/>
      <c r="AN169" s="486"/>
      <c r="AO169" s="486"/>
      <c r="AP169" s="486"/>
      <c r="AQ169" s="486"/>
      <c r="AR169" s="486"/>
      <c r="AS169" s="486"/>
      <c r="AT169" s="486"/>
      <c r="AU169" s="486"/>
      <c r="AV169" s="486"/>
      <c r="AW169" s="486"/>
      <c r="AX169" s="486"/>
      <c r="AY169" s="486"/>
      <c r="AZ169" s="486"/>
      <c r="BA169" s="486"/>
      <c r="BB169" s="486"/>
      <c r="BC169" s="486"/>
      <c r="BD169" s="486"/>
      <c r="BE169" s="486"/>
      <c r="BF169" s="486"/>
      <c r="BG169" s="486"/>
      <c r="BH169" s="486"/>
      <c r="BI169" s="486"/>
      <c r="BJ169" s="486"/>
      <c r="BK169" s="486"/>
      <c r="BL169" s="486"/>
      <c r="BM169" s="486"/>
      <c r="BN169" s="486"/>
      <c r="BO169" s="486"/>
      <c r="BP169" s="486"/>
      <c r="BQ169" s="486"/>
      <c r="BR169" s="486"/>
      <c r="BS169" s="486"/>
      <c r="BT169" s="486"/>
      <c r="BU169" s="486"/>
      <c r="BV169" s="486"/>
      <c r="BW169" s="486"/>
      <c r="BX169" s="486"/>
      <c r="BY169" s="486"/>
      <c r="BZ169" s="486"/>
      <c r="CA169" s="486"/>
      <c r="CB169" s="486"/>
      <c r="CC169" s="486"/>
      <c r="CD169" s="486"/>
      <c r="CE169" s="486"/>
      <c r="CF169" s="486"/>
      <c r="CG169" s="486"/>
      <c r="CH169" s="486"/>
      <c r="CI169" s="486"/>
      <c r="CJ169" s="486"/>
      <c r="CK169" s="486"/>
      <c r="CL169" s="486"/>
      <c r="CM169" s="486"/>
      <c r="CN169" s="486"/>
      <c r="CO169" s="486"/>
      <c r="CP169" s="486"/>
      <c r="CQ169" s="486"/>
      <c r="CR169" s="486"/>
      <c r="CS169" s="486"/>
    </row>
    <row r="170" spans="1:97" ht="8.25" customHeight="1">
      <c r="V170" s="480"/>
      <c r="W170" s="480"/>
      <c r="X170" s="480"/>
      <c r="Y170" s="480"/>
      <c r="Z170" s="480"/>
      <c r="AA170" s="480"/>
      <c r="AB170" s="480"/>
    </row>
    <row r="171" spans="1:97" ht="12" customHeight="1">
      <c r="A171" s="473" t="s">
        <v>911</v>
      </c>
      <c r="B171" s="474">
        <v>489772400</v>
      </c>
      <c r="C171" s="474">
        <v>489772400</v>
      </c>
      <c r="D171" s="474">
        <v>1135913300</v>
      </c>
      <c r="E171" s="487">
        <v>1625685700</v>
      </c>
      <c r="F171" s="487">
        <v>1625685700</v>
      </c>
      <c r="G171" s="474">
        <v>25198128.350000001</v>
      </c>
      <c r="H171" s="536" t="s">
        <v>891</v>
      </c>
      <c r="I171" s="476"/>
      <c r="J171" s="476"/>
      <c r="M171" s="483"/>
      <c r="N171" s="483"/>
      <c r="O171" s="483"/>
      <c r="P171" s="483"/>
      <c r="Q171" s="483"/>
      <c r="R171" s="483"/>
      <c r="S171" s="479"/>
      <c r="V171" s="480"/>
      <c r="W171" s="480"/>
      <c r="X171" s="480"/>
      <c r="Y171" s="480"/>
      <c r="Z171" s="480"/>
      <c r="AA171" s="480"/>
      <c r="AB171" s="480"/>
    </row>
    <row r="172" spans="1:97" ht="12" customHeight="1">
      <c r="A172" s="473" t="s">
        <v>154</v>
      </c>
      <c r="B172" s="481">
        <v>126506800</v>
      </c>
      <c r="C172" s="481">
        <v>126506800</v>
      </c>
      <c r="D172" s="481">
        <v>511989200</v>
      </c>
      <c r="E172" s="485">
        <v>638496000</v>
      </c>
      <c r="F172" s="485">
        <v>638496000</v>
      </c>
      <c r="G172" s="481">
        <v>6781466.0159999998</v>
      </c>
      <c r="H172" s="536" t="s">
        <v>907</v>
      </c>
      <c r="I172" s="476"/>
      <c r="J172" s="476"/>
      <c r="M172" s="483"/>
      <c r="N172" s="483"/>
      <c r="O172" s="483"/>
      <c r="P172" s="483"/>
      <c r="Q172" s="483"/>
      <c r="R172" s="483"/>
      <c r="S172" s="479"/>
      <c r="V172" s="480"/>
      <c r="W172" s="480"/>
      <c r="X172" s="480"/>
      <c r="Y172" s="480"/>
      <c r="Z172" s="480"/>
      <c r="AA172" s="480"/>
      <c r="AB172" s="480"/>
    </row>
    <row r="173" spans="1:97" ht="12" customHeight="1">
      <c r="A173" s="473" t="s">
        <v>156</v>
      </c>
      <c r="B173" s="481">
        <v>4658073700</v>
      </c>
      <c r="C173" s="481">
        <v>4658073700</v>
      </c>
      <c r="D173" s="481">
        <v>11348126000</v>
      </c>
      <c r="E173" s="485">
        <v>16006199700</v>
      </c>
      <c r="F173" s="485">
        <v>16006199700</v>
      </c>
      <c r="G173" s="481">
        <v>195275636.34</v>
      </c>
      <c r="H173" s="536" t="s">
        <v>907</v>
      </c>
      <c r="I173" s="476"/>
      <c r="J173" s="476"/>
      <c r="M173" s="483"/>
      <c r="N173" s="483"/>
      <c r="O173" s="483"/>
      <c r="P173" s="483"/>
      <c r="Q173" s="483"/>
      <c r="R173" s="483"/>
      <c r="S173" s="479"/>
      <c r="V173" s="480"/>
      <c r="W173" s="480"/>
      <c r="X173" s="480"/>
      <c r="Y173" s="480"/>
      <c r="Z173" s="480"/>
      <c r="AA173" s="480"/>
      <c r="AB173" s="480"/>
    </row>
    <row r="174" spans="1:97" ht="12" customHeight="1">
      <c r="A174" s="473" t="s">
        <v>158</v>
      </c>
      <c r="B174" s="481">
        <v>6193789400</v>
      </c>
      <c r="C174" s="481">
        <v>6193789400</v>
      </c>
      <c r="D174" s="481">
        <v>14882994300</v>
      </c>
      <c r="E174" s="485">
        <v>21076783700</v>
      </c>
      <c r="F174" s="485">
        <v>21076783700</v>
      </c>
      <c r="G174" s="481">
        <v>263459796.25</v>
      </c>
      <c r="H174" s="536" t="s">
        <v>907</v>
      </c>
      <c r="I174" s="476"/>
      <c r="J174" s="476"/>
      <c r="M174" s="483"/>
      <c r="N174" s="483"/>
      <c r="O174" s="483"/>
      <c r="P174" s="483"/>
      <c r="Q174" s="483"/>
      <c r="R174" s="483"/>
      <c r="S174" s="479"/>
      <c r="V174" s="480"/>
      <c r="W174" s="480"/>
      <c r="X174" s="480"/>
      <c r="Y174" s="480"/>
      <c r="Z174" s="480"/>
      <c r="AA174" s="480"/>
      <c r="AB174" s="480"/>
    </row>
    <row r="175" spans="1:97" ht="12" customHeight="1">
      <c r="A175" s="473" t="s">
        <v>837</v>
      </c>
      <c r="B175" s="481">
        <v>59988700</v>
      </c>
      <c r="C175" s="481">
        <v>59988700</v>
      </c>
      <c r="D175" s="481">
        <v>173548500</v>
      </c>
      <c r="E175" s="485">
        <v>233537200</v>
      </c>
      <c r="F175" s="485">
        <v>233537200</v>
      </c>
      <c r="G175" s="481">
        <v>2101834.8000000003</v>
      </c>
      <c r="H175" s="536">
        <v>2019</v>
      </c>
      <c r="I175" s="476"/>
      <c r="J175" s="476"/>
      <c r="M175" s="483"/>
      <c r="N175" s="483"/>
      <c r="O175" s="483"/>
      <c r="P175" s="483"/>
      <c r="Q175" s="483"/>
      <c r="R175" s="483"/>
      <c r="S175" s="479"/>
      <c r="V175" s="480"/>
      <c r="W175" s="480"/>
      <c r="X175" s="480"/>
      <c r="Y175" s="480"/>
      <c r="Z175" s="480"/>
      <c r="AA175" s="480"/>
      <c r="AB175" s="480"/>
    </row>
    <row r="176" spans="1:97" ht="9" customHeight="1">
      <c r="B176" s="481"/>
      <c r="C176" s="481"/>
      <c r="D176" s="481"/>
      <c r="E176" s="485"/>
      <c r="F176" s="485"/>
      <c r="G176" s="481"/>
      <c r="M176" s="483"/>
      <c r="N176" s="483"/>
      <c r="O176" s="483"/>
      <c r="P176" s="483"/>
      <c r="Q176" s="483"/>
      <c r="R176" s="483"/>
      <c r="S176" s="479"/>
      <c r="V176" s="480"/>
      <c r="W176" s="480"/>
      <c r="X176" s="480"/>
      <c r="Y176" s="480"/>
      <c r="Z176" s="480"/>
      <c r="AA176" s="480"/>
      <c r="AB176" s="480"/>
    </row>
    <row r="177" spans="1:28" ht="12" customHeight="1">
      <c r="A177" s="492" t="s">
        <v>910</v>
      </c>
      <c r="B177" s="481">
        <v>417381397</v>
      </c>
      <c r="C177" s="481">
        <v>410790697</v>
      </c>
      <c r="D177" s="481">
        <v>1504699352</v>
      </c>
      <c r="E177" s="485">
        <v>1922080749</v>
      </c>
      <c r="F177" s="485">
        <v>1915490049</v>
      </c>
      <c r="G177" s="481">
        <v>25859115.661499999</v>
      </c>
      <c r="H177" s="536" t="s">
        <v>891</v>
      </c>
      <c r="I177" s="476"/>
      <c r="J177" s="476"/>
      <c r="M177" s="483"/>
      <c r="N177" s="483"/>
      <c r="O177" s="483"/>
      <c r="P177" s="483"/>
      <c r="Q177" s="483"/>
      <c r="R177" s="483"/>
      <c r="S177" s="479"/>
      <c r="V177" s="480"/>
      <c r="W177" s="480"/>
      <c r="X177" s="480"/>
      <c r="Y177" s="480"/>
      <c r="Z177" s="480"/>
      <c r="AA177" s="480"/>
      <c r="AB177" s="480"/>
    </row>
    <row r="178" spans="1:28" ht="12" customHeight="1">
      <c r="A178" s="473" t="s">
        <v>909</v>
      </c>
      <c r="B178" s="481">
        <v>665040100</v>
      </c>
      <c r="C178" s="481">
        <v>665040100</v>
      </c>
      <c r="D178" s="481">
        <v>937009225</v>
      </c>
      <c r="E178" s="485">
        <v>1602049325</v>
      </c>
      <c r="F178" s="485">
        <v>1602049325</v>
      </c>
      <c r="G178" s="481">
        <v>18263362.305</v>
      </c>
      <c r="H178" s="536" t="s">
        <v>891</v>
      </c>
      <c r="I178" s="476"/>
      <c r="J178" s="476"/>
      <c r="M178" s="483"/>
      <c r="N178" s="483"/>
      <c r="O178" s="483"/>
      <c r="P178" s="483"/>
      <c r="Q178" s="483"/>
      <c r="R178" s="483"/>
      <c r="S178" s="479"/>
      <c r="V178" s="480"/>
      <c r="W178" s="480"/>
      <c r="X178" s="480"/>
      <c r="Y178" s="480"/>
      <c r="Z178" s="480"/>
      <c r="AA178" s="480"/>
      <c r="AB178" s="480"/>
    </row>
    <row r="179" spans="1:28" ht="12" customHeight="1">
      <c r="A179" s="473" t="s">
        <v>894</v>
      </c>
      <c r="B179" s="481">
        <v>2117952670</v>
      </c>
      <c r="C179" s="481">
        <v>2117952670</v>
      </c>
      <c r="D179" s="481">
        <v>5376818732</v>
      </c>
      <c r="E179" s="485">
        <v>7494771402</v>
      </c>
      <c r="F179" s="485">
        <v>7494771402</v>
      </c>
      <c r="G179" s="481">
        <v>97432028.225999996</v>
      </c>
      <c r="H179" s="536" t="s">
        <v>891</v>
      </c>
      <c r="I179" s="476"/>
      <c r="J179" s="476"/>
      <c r="M179" s="483"/>
      <c r="N179" s="483"/>
      <c r="O179" s="483"/>
      <c r="P179" s="483"/>
      <c r="Q179" s="483"/>
      <c r="R179" s="483"/>
      <c r="S179" s="479"/>
      <c r="V179" s="480"/>
      <c r="W179" s="480"/>
      <c r="X179" s="480"/>
      <c r="Y179" s="480"/>
      <c r="Z179" s="480"/>
      <c r="AA179" s="480"/>
      <c r="AB179" s="480"/>
    </row>
    <row r="180" spans="1:28" ht="12" customHeight="1">
      <c r="A180" s="473" t="s">
        <v>168</v>
      </c>
      <c r="B180" s="481">
        <v>170166200</v>
      </c>
      <c r="C180" s="481">
        <v>167885450</v>
      </c>
      <c r="D180" s="481">
        <v>652781400</v>
      </c>
      <c r="E180" s="485">
        <v>822947600</v>
      </c>
      <c r="F180" s="485">
        <v>820666850</v>
      </c>
      <c r="G180" s="481">
        <v>6729468.1699999999</v>
      </c>
      <c r="H180" s="536">
        <v>2019</v>
      </c>
      <c r="I180" s="476"/>
      <c r="J180" s="476"/>
      <c r="M180" s="483"/>
      <c r="N180" s="483"/>
      <c r="O180" s="483"/>
      <c r="P180" s="483"/>
      <c r="Q180" s="483"/>
      <c r="R180" s="483"/>
      <c r="S180" s="479"/>
      <c r="V180" s="480"/>
      <c r="W180" s="480"/>
      <c r="X180" s="480"/>
      <c r="Y180" s="480"/>
      <c r="Z180" s="480"/>
      <c r="AA180" s="480"/>
      <c r="AB180" s="480"/>
    </row>
    <row r="181" spans="1:28" ht="12" customHeight="1">
      <c r="A181" s="473" t="s">
        <v>916</v>
      </c>
      <c r="B181" s="481">
        <v>6033262000</v>
      </c>
      <c r="C181" s="481">
        <v>6033262000</v>
      </c>
      <c r="D181" s="481">
        <v>16677621000</v>
      </c>
      <c r="E181" s="485">
        <v>22710883000</v>
      </c>
      <c r="F181" s="485">
        <v>22710883000</v>
      </c>
      <c r="G181" s="481">
        <v>272530596</v>
      </c>
      <c r="H181" s="536">
        <v>2018</v>
      </c>
      <c r="I181" s="476"/>
      <c r="J181" s="476"/>
      <c r="M181" s="483"/>
      <c r="N181" s="483"/>
      <c r="O181" s="483"/>
      <c r="P181" s="483"/>
      <c r="Q181" s="483"/>
      <c r="R181" s="483"/>
      <c r="S181" s="479"/>
      <c r="V181" s="480"/>
      <c r="W181" s="480"/>
      <c r="X181" s="480"/>
      <c r="Y181" s="480"/>
      <c r="Z181" s="480"/>
      <c r="AA181" s="480"/>
      <c r="AB181" s="480"/>
    </row>
    <row r="182" spans="1:28" ht="9" customHeight="1">
      <c r="B182" s="481"/>
      <c r="C182" s="481"/>
      <c r="D182" s="481"/>
      <c r="E182" s="485"/>
      <c r="F182" s="485"/>
      <c r="G182" s="481"/>
      <c r="M182" s="483"/>
      <c r="N182" s="483"/>
      <c r="O182" s="483"/>
      <c r="P182" s="483"/>
      <c r="Q182" s="483"/>
      <c r="R182" s="483"/>
      <c r="S182" s="479"/>
      <c r="V182" s="480"/>
      <c r="W182" s="480"/>
      <c r="X182" s="480"/>
      <c r="Y182" s="480"/>
      <c r="Z182" s="480"/>
      <c r="AA182" s="480"/>
      <c r="AB182" s="480"/>
    </row>
    <row r="183" spans="1:28" ht="12" customHeight="1">
      <c r="A183" s="473" t="s">
        <v>25</v>
      </c>
      <c r="B183" s="481">
        <v>1633867600</v>
      </c>
      <c r="C183" s="481">
        <v>1633867600</v>
      </c>
      <c r="D183" s="481">
        <v>6328248000</v>
      </c>
      <c r="E183" s="485">
        <v>7962115600</v>
      </c>
      <c r="F183" s="485">
        <v>7962115600</v>
      </c>
      <c r="G183" s="481">
        <v>97137810.319999993</v>
      </c>
      <c r="H183" s="536" t="s">
        <v>907</v>
      </c>
      <c r="I183" s="476"/>
      <c r="J183" s="476"/>
      <c r="M183" s="483"/>
      <c r="N183" s="483"/>
      <c r="O183" s="483"/>
      <c r="P183" s="483"/>
      <c r="Q183" s="483"/>
      <c r="R183" s="483"/>
      <c r="S183" s="479"/>
      <c r="V183" s="480"/>
      <c r="W183" s="480"/>
      <c r="X183" s="480"/>
      <c r="Y183" s="480"/>
      <c r="Z183" s="480"/>
      <c r="AA183" s="480"/>
      <c r="AB183" s="480"/>
    </row>
    <row r="184" spans="1:28" ht="12" customHeight="1">
      <c r="A184" s="473" t="s">
        <v>169</v>
      </c>
      <c r="B184" s="481">
        <v>533194900</v>
      </c>
      <c r="C184" s="481">
        <v>533194900</v>
      </c>
      <c r="D184" s="481">
        <v>1744471200</v>
      </c>
      <c r="E184" s="485">
        <v>2277666100</v>
      </c>
      <c r="F184" s="485">
        <v>2277666100</v>
      </c>
      <c r="G184" s="481">
        <v>27331993.199999999</v>
      </c>
      <c r="H184" s="536" t="s">
        <v>907</v>
      </c>
      <c r="I184" s="476"/>
      <c r="J184" s="476"/>
      <c r="M184" s="483"/>
      <c r="N184" s="483"/>
      <c r="O184" s="483"/>
      <c r="P184" s="483"/>
      <c r="Q184" s="483"/>
      <c r="R184" s="483"/>
      <c r="S184" s="479"/>
      <c r="V184" s="480"/>
      <c r="W184" s="480"/>
      <c r="X184" s="480"/>
      <c r="Y184" s="480"/>
      <c r="Z184" s="480"/>
      <c r="AA184" s="480"/>
      <c r="AB184" s="480"/>
    </row>
    <row r="185" spans="1:28" ht="12" customHeight="1">
      <c r="A185" s="473" t="s">
        <v>170</v>
      </c>
      <c r="B185" s="481">
        <v>445096449</v>
      </c>
      <c r="C185" s="481">
        <v>427001165</v>
      </c>
      <c r="D185" s="481">
        <v>1597967620</v>
      </c>
      <c r="E185" s="485">
        <v>2043064069</v>
      </c>
      <c r="F185" s="485">
        <v>2024968785</v>
      </c>
      <c r="G185" s="481">
        <v>19237203.4575</v>
      </c>
      <c r="H185" s="536">
        <v>2019</v>
      </c>
      <c r="I185" s="476"/>
      <c r="J185" s="476"/>
      <c r="M185" s="483"/>
      <c r="N185" s="483"/>
      <c r="O185" s="483"/>
      <c r="P185" s="483"/>
      <c r="Q185" s="483"/>
      <c r="R185" s="483"/>
      <c r="S185" s="479"/>
      <c r="V185" s="480"/>
      <c r="W185" s="480"/>
      <c r="X185" s="480"/>
      <c r="Y185" s="480"/>
      <c r="Z185" s="480"/>
      <c r="AA185" s="480"/>
      <c r="AB185" s="480"/>
    </row>
    <row r="186" spans="1:28" ht="12" customHeight="1">
      <c r="A186" s="473" t="s">
        <v>171</v>
      </c>
      <c r="B186" s="481">
        <v>3533055200</v>
      </c>
      <c r="C186" s="481">
        <v>3074878700</v>
      </c>
      <c r="D186" s="481">
        <v>6980072200</v>
      </c>
      <c r="E186" s="485">
        <v>10513127400</v>
      </c>
      <c r="F186" s="485">
        <v>10054950900</v>
      </c>
      <c r="G186" s="481">
        <v>111609954.99000001</v>
      </c>
      <c r="H186" s="536" t="s">
        <v>907</v>
      </c>
      <c r="I186" s="476"/>
      <c r="J186" s="476"/>
      <c r="M186" s="483"/>
      <c r="N186" s="483"/>
      <c r="O186" s="483"/>
      <c r="P186" s="483"/>
      <c r="Q186" s="483"/>
      <c r="R186" s="483"/>
      <c r="S186" s="479"/>
      <c r="V186" s="480"/>
      <c r="W186" s="480"/>
      <c r="X186" s="480"/>
      <c r="Y186" s="480"/>
      <c r="Z186" s="480"/>
      <c r="AA186" s="480"/>
      <c r="AB186" s="480"/>
    </row>
    <row r="187" spans="1:28" ht="12" customHeight="1">
      <c r="A187" s="473" t="s">
        <v>602</v>
      </c>
      <c r="B187" s="481">
        <v>24684935400</v>
      </c>
      <c r="C187" s="481">
        <v>24413593800</v>
      </c>
      <c r="D187" s="481">
        <v>34873616300</v>
      </c>
      <c r="E187" s="485">
        <v>59558551700</v>
      </c>
      <c r="F187" s="485">
        <v>59287210100</v>
      </c>
      <c r="G187" s="481">
        <v>603247362.76750004</v>
      </c>
      <c r="H187" s="536" t="s">
        <v>907</v>
      </c>
      <c r="I187" s="476"/>
      <c r="J187" s="476"/>
      <c r="M187" s="483"/>
      <c r="N187" s="483"/>
      <c r="O187" s="483"/>
      <c r="P187" s="483"/>
      <c r="Q187" s="483"/>
      <c r="R187" s="483"/>
      <c r="S187" s="479"/>
      <c r="V187" s="480"/>
      <c r="W187" s="480"/>
      <c r="X187" s="480"/>
      <c r="Y187" s="480"/>
      <c r="Z187" s="480"/>
      <c r="AA187" s="480"/>
      <c r="AB187" s="480"/>
    </row>
    <row r="188" spans="1:28" ht="9" customHeight="1">
      <c r="B188" s="481"/>
      <c r="C188" s="481"/>
      <c r="D188" s="481"/>
      <c r="E188" s="485"/>
      <c r="F188" s="485"/>
      <c r="G188" s="481"/>
      <c r="M188" s="483"/>
      <c r="N188" s="483"/>
      <c r="O188" s="483"/>
      <c r="P188" s="483"/>
      <c r="Q188" s="483"/>
      <c r="R188" s="483"/>
      <c r="S188" s="479"/>
      <c r="V188" s="480"/>
      <c r="W188" s="480"/>
      <c r="X188" s="480"/>
      <c r="Y188" s="480"/>
      <c r="Z188" s="480"/>
      <c r="AA188" s="480"/>
      <c r="AB188" s="480"/>
    </row>
    <row r="189" spans="1:28" ht="12" customHeight="1">
      <c r="A189" s="473" t="s">
        <v>173</v>
      </c>
      <c r="B189" s="481">
        <v>606496100</v>
      </c>
      <c r="C189" s="481">
        <v>594592100</v>
      </c>
      <c r="D189" s="481">
        <v>1301983600</v>
      </c>
      <c r="E189" s="485">
        <v>1908479700</v>
      </c>
      <c r="F189" s="485">
        <v>1896575700</v>
      </c>
      <c r="G189" s="481">
        <v>17069181.300000001</v>
      </c>
      <c r="H189" s="536">
        <v>2019</v>
      </c>
      <c r="I189" s="476"/>
      <c r="J189" s="476"/>
      <c r="M189" s="483"/>
      <c r="N189" s="483"/>
      <c r="O189" s="483"/>
      <c r="P189" s="483"/>
      <c r="Q189" s="483"/>
      <c r="R189" s="483"/>
      <c r="S189" s="479"/>
      <c r="V189" s="480"/>
      <c r="W189" s="480"/>
      <c r="X189" s="480"/>
      <c r="Y189" s="480"/>
      <c r="Z189" s="480"/>
      <c r="AA189" s="480"/>
      <c r="AB189" s="480"/>
    </row>
    <row r="190" spans="1:28" ht="12" customHeight="1">
      <c r="A190" s="473" t="s">
        <v>838</v>
      </c>
      <c r="B190" s="481">
        <v>678557200</v>
      </c>
      <c r="C190" s="481">
        <v>678557200</v>
      </c>
      <c r="D190" s="481">
        <v>1318127100</v>
      </c>
      <c r="E190" s="485">
        <v>1996684300</v>
      </c>
      <c r="F190" s="485">
        <v>1996684300</v>
      </c>
      <c r="G190" s="481">
        <v>11980105.799999999</v>
      </c>
      <c r="H190" s="536" t="s">
        <v>907</v>
      </c>
      <c r="I190" s="476"/>
      <c r="J190" s="476"/>
      <c r="M190" s="483"/>
      <c r="N190" s="483"/>
      <c r="O190" s="483"/>
      <c r="P190" s="483"/>
      <c r="Q190" s="483"/>
      <c r="R190" s="483"/>
      <c r="S190" s="479"/>
      <c r="V190" s="480"/>
      <c r="W190" s="480"/>
      <c r="X190" s="480"/>
      <c r="Y190" s="480"/>
      <c r="Z190" s="480"/>
      <c r="AA190" s="480"/>
      <c r="AB190" s="480"/>
    </row>
    <row r="191" spans="1:28" ht="12" customHeight="1">
      <c r="A191" s="473" t="s">
        <v>177</v>
      </c>
      <c r="B191" s="481">
        <v>1047251364</v>
      </c>
      <c r="C191" s="481">
        <v>1045551536</v>
      </c>
      <c r="D191" s="481">
        <v>2144397125</v>
      </c>
      <c r="E191" s="485">
        <v>3191648489</v>
      </c>
      <c r="F191" s="485">
        <v>3189948661</v>
      </c>
      <c r="G191" s="481">
        <v>29666522.5473</v>
      </c>
      <c r="H191" s="536">
        <v>2019</v>
      </c>
      <c r="I191" s="476"/>
      <c r="J191" s="476"/>
      <c r="M191" s="483"/>
      <c r="N191" s="483"/>
      <c r="O191" s="483"/>
      <c r="P191" s="483"/>
      <c r="Q191" s="483"/>
      <c r="R191" s="483"/>
      <c r="S191" s="479"/>
      <c r="V191" s="480"/>
      <c r="W191" s="480"/>
      <c r="X191" s="480"/>
      <c r="Y191" s="480"/>
      <c r="Z191" s="480"/>
      <c r="AA191" s="480"/>
      <c r="AB191" s="480"/>
    </row>
    <row r="192" spans="1:28">
      <c r="I192" s="476"/>
      <c r="J192" s="476"/>
    </row>
    <row r="193" spans="1:97" s="488" customFormat="1" ht="12.75" customHeight="1">
      <c r="A193" s="553" t="s">
        <v>27</v>
      </c>
      <c r="B193" s="497">
        <f t="shared" ref="B193:G193" si="1">SUM(B142:B164,B171:B191)</f>
        <v>98290338560</v>
      </c>
      <c r="C193" s="497">
        <f t="shared" si="1"/>
        <v>97213583803</v>
      </c>
      <c r="D193" s="497">
        <f t="shared" si="1"/>
        <v>189998190846</v>
      </c>
      <c r="E193" s="497">
        <f t="shared" si="1"/>
        <v>288288529406</v>
      </c>
      <c r="F193" s="497">
        <f t="shared" si="1"/>
        <v>287211774649</v>
      </c>
      <c r="G193" s="497">
        <f t="shared" si="1"/>
        <v>3202599798.3828998</v>
      </c>
      <c r="H193" s="540"/>
      <c r="K193" s="549"/>
      <c r="L193" s="549"/>
      <c r="M193" s="491"/>
      <c r="N193" s="491"/>
      <c r="O193" s="491"/>
      <c r="P193" s="491"/>
      <c r="Q193" s="491"/>
      <c r="R193" s="491"/>
      <c r="S193" s="549"/>
      <c r="T193" s="549"/>
      <c r="U193" s="549"/>
      <c r="V193" s="549"/>
      <c r="W193" s="549"/>
      <c r="X193" s="549"/>
      <c r="Y193" s="549"/>
      <c r="Z193" s="549"/>
      <c r="AA193" s="549"/>
      <c r="AB193" s="549"/>
      <c r="AC193" s="549"/>
      <c r="AD193" s="549"/>
      <c r="AE193" s="549"/>
      <c r="AF193" s="549"/>
      <c r="AG193" s="549"/>
      <c r="AH193" s="549"/>
      <c r="AI193" s="549"/>
      <c r="AJ193" s="549"/>
      <c r="AK193" s="549"/>
      <c r="AL193" s="549"/>
      <c r="AM193" s="549"/>
      <c r="AN193" s="549"/>
      <c r="AO193" s="549"/>
      <c r="AP193" s="549"/>
      <c r="AQ193" s="549"/>
      <c r="AR193" s="549"/>
      <c r="AS193" s="549"/>
      <c r="AT193" s="549"/>
      <c r="AU193" s="549"/>
      <c r="AV193" s="549"/>
      <c r="AW193" s="549"/>
      <c r="AX193" s="549"/>
      <c r="AY193" s="549"/>
      <c r="AZ193" s="549"/>
      <c r="BA193" s="549"/>
      <c r="BB193" s="549"/>
      <c r="BC193" s="549"/>
      <c r="BD193" s="549"/>
      <c r="BE193" s="549"/>
      <c r="BF193" s="549"/>
      <c r="BG193" s="549"/>
      <c r="BH193" s="549"/>
      <c r="BI193" s="549"/>
      <c r="BJ193" s="549"/>
      <c r="BK193" s="549"/>
      <c r="BL193" s="549"/>
      <c r="BM193" s="549"/>
      <c r="BN193" s="549"/>
      <c r="BO193" s="549"/>
      <c r="BP193" s="549"/>
      <c r="BQ193" s="549"/>
      <c r="BR193" s="549"/>
      <c r="BS193" s="549"/>
      <c r="BT193" s="549"/>
      <c r="BU193" s="549"/>
      <c r="BV193" s="549"/>
      <c r="BW193" s="549"/>
      <c r="BX193" s="549"/>
      <c r="BY193" s="549"/>
      <c r="BZ193" s="549"/>
      <c r="CA193" s="549"/>
      <c r="CB193" s="549"/>
      <c r="CC193" s="549"/>
      <c r="CD193" s="549"/>
      <c r="CE193" s="549"/>
      <c r="CF193" s="549"/>
      <c r="CG193" s="549"/>
      <c r="CH193" s="549"/>
      <c r="CI193" s="549"/>
      <c r="CJ193" s="549"/>
      <c r="CK193" s="549"/>
      <c r="CL193" s="549"/>
      <c r="CM193" s="549"/>
      <c r="CN193" s="549"/>
      <c r="CO193" s="549"/>
      <c r="CP193" s="549"/>
      <c r="CQ193" s="549"/>
      <c r="CR193" s="549"/>
      <c r="CS193" s="549"/>
    </row>
    <row r="194" spans="1:97" s="488" customFormat="1" ht="12.75" customHeight="1">
      <c r="A194" s="553" t="s">
        <v>22</v>
      </c>
      <c r="B194" s="497">
        <f t="shared" ref="B194:G194" si="2">B136</f>
        <v>323259486973</v>
      </c>
      <c r="C194" s="497">
        <f t="shared" si="2"/>
        <v>298221486450</v>
      </c>
      <c r="D194" s="497">
        <f t="shared" si="2"/>
        <v>587016530456</v>
      </c>
      <c r="E194" s="497">
        <f t="shared" si="2"/>
        <v>910276017429</v>
      </c>
      <c r="F194" s="497">
        <f t="shared" si="2"/>
        <v>885238016906</v>
      </c>
      <c r="G194" s="497">
        <f t="shared" si="2"/>
        <v>8451984600.3172655</v>
      </c>
      <c r="H194" s="540"/>
      <c r="K194" s="549"/>
      <c r="L194" s="549"/>
      <c r="M194" s="491"/>
      <c r="N194" s="491"/>
      <c r="O194" s="491"/>
      <c r="P194" s="491"/>
      <c r="Q194" s="491"/>
      <c r="R194" s="491"/>
      <c r="S194" s="549"/>
      <c r="T194" s="549"/>
      <c r="U194" s="549"/>
      <c r="V194" s="549"/>
      <c r="W194" s="549"/>
      <c r="X194" s="549"/>
      <c r="Y194" s="549"/>
      <c r="Z194" s="549"/>
      <c r="AA194" s="549"/>
      <c r="AB194" s="549"/>
      <c r="AC194" s="549"/>
      <c r="AD194" s="549"/>
      <c r="AE194" s="549"/>
      <c r="AF194" s="549"/>
      <c r="AG194" s="549"/>
      <c r="AH194" s="549"/>
      <c r="AI194" s="549"/>
      <c r="AJ194" s="549"/>
      <c r="AK194" s="549"/>
      <c r="AL194" s="549"/>
      <c r="AM194" s="549"/>
      <c r="AN194" s="549"/>
      <c r="AO194" s="549"/>
      <c r="AP194" s="549"/>
      <c r="AQ194" s="549"/>
      <c r="AR194" s="549"/>
      <c r="AS194" s="549"/>
      <c r="AT194" s="549"/>
      <c r="AU194" s="549"/>
      <c r="AV194" s="549"/>
      <c r="AW194" s="549"/>
      <c r="AX194" s="549"/>
      <c r="AY194" s="549"/>
      <c r="AZ194" s="549"/>
      <c r="BA194" s="549"/>
      <c r="BB194" s="549"/>
      <c r="BC194" s="549"/>
      <c r="BD194" s="549"/>
      <c r="BE194" s="549"/>
      <c r="BF194" s="549"/>
      <c r="BG194" s="549"/>
      <c r="BH194" s="549"/>
      <c r="BI194" s="549"/>
      <c r="BJ194" s="549"/>
      <c r="BK194" s="549"/>
      <c r="BL194" s="549"/>
      <c r="BM194" s="549"/>
      <c r="BN194" s="549"/>
      <c r="BO194" s="549"/>
      <c r="BP194" s="549"/>
      <c r="BQ194" s="549"/>
      <c r="BR194" s="549"/>
      <c r="BS194" s="549"/>
      <c r="BT194" s="549"/>
      <c r="BU194" s="549"/>
      <c r="BV194" s="549"/>
      <c r="BW194" s="549"/>
      <c r="BX194" s="549"/>
      <c r="BY194" s="549"/>
      <c r="BZ194" s="549"/>
      <c r="CA194" s="549"/>
      <c r="CB194" s="549"/>
      <c r="CC194" s="549"/>
      <c r="CD194" s="549"/>
      <c r="CE194" s="549"/>
      <c r="CF194" s="549"/>
      <c r="CG194" s="549"/>
      <c r="CH194" s="549"/>
      <c r="CI194" s="549"/>
      <c r="CJ194" s="549"/>
      <c r="CK194" s="549"/>
      <c r="CL194" s="549"/>
      <c r="CM194" s="549"/>
      <c r="CN194" s="549"/>
      <c r="CO194" s="549"/>
      <c r="CP194" s="549"/>
      <c r="CQ194" s="549"/>
      <c r="CR194" s="549"/>
      <c r="CS194" s="549"/>
    </row>
    <row r="195" spans="1:97">
      <c r="A195" s="554"/>
      <c r="B195" s="555"/>
      <c r="C195" s="555"/>
      <c r="D195" s="555"/>
      <c r="E195" s="555"/>
      <c r="F195" s="555"/>
      <c r="G195" s="555"/>
      <c r="H195" s="543"/>
      <c r="M195" s="551"/>
      <c r="N195" s="551"/>
      <c r="O195" s="551"/>
      <c r="P195" s="551"/>
      <c r="Q195" s="551"/>
      <c r="R195" s="551"/>
    </row>
    <row r="196" spans="1:97" s="488" customFormat="1" ht="12.75" customHeight="1">
      <c r="A196" s="553" t="s">
        <v>28</v>
      </c>
      <c r="B196" s="497">
        <f t="shared" ref="B196:G196" si="3">B193+B194</f>
        <v>421549825533</v>
      </c>
      <c r="C196" s="497">
        <f t="shared" si="3"/>
        <v>395435070253</v>
      </c>
      <c r="D196" s="497">
        <f>D193+D194</f>
        <v>777014721302</v>
      </c>
      <c r="E196" s="497">
        <f t="shared" si="3"/>
        <v>1198564546835</v>
      </c>
      <c r="F196" s="497">
        <f t="shared" si="3"/>
        <v>1172449791555</v>
      </c>
      <c r="G196" s="497">
        <f t="shared" si="3"/>
        <v>11654584398.700165</v>
      </c>
      <c r="H196" s="540"/>
      <c r="K196" s="549"/>
      <c r="L196" s="549"/>
      <c r="M196" s="491"/>
      <c r="N196" s="491"/>
      <c r="O196" s="491"/>
      <c r="P196" s="491"/>
      <c r="Q196" s="491"/>
      <c r="R196" s="491"/>
      <c r="S196" s="549"/>
      <c r="T196" s="549"/>
      <c r="U196" s="549"/>
      <c r="V196" s="549"/>
      <c r="W196" s="549"/>
      <c r="X196" s="549"/>
      <c r="Y196" s="549"/>
      <c r="Z196" s="549"/>
      <c r="AA196" s="549"/>
      <c r="AB196" s="549"/>
      <c r="AC196" s="549"/>
      <c r="AD196" s="549"/>
      <c r="AE196" s="549"/>
      <c r="AF196" s="549"/>
      <c r="AG196" s="549"/>
      <c r="AH196" s="549"/>
      <c r="AI196" s="549"/>
      <c r="AJ196" s="549"/>
      <c r="AK196" s="549"/>
      <c r="AL196" s="549"/>
      <c r="AM196" s="549"/>
      <c r="AN196" s="549"/>
      <c r="AO196" s="549"/>
      <c r="AP196" s="549"/>
      <c r="AQ196" s="549"/>
      <c r="AR196" s="549"/>
      <c r="AS196" s="549"/>
      <c r="AT196" s="549"/>
      <c r="AU196" s="549"/>
      <c r="AV196" s="549"/>
      <c r="AW196" s="549"/>
      <c r="AX196" s="549"/>
      <c r="AY196" s="549"/>
      <c r="AZ196" s="549"/>
      <c r="BA196" s="549"/>
      <c r="BB196" s="549"/>
      <c r="BC196" s="549"/>
      <c r="BD196" s="549"/>
      <c r="BE196" s="549"/>
      <c r="BF196" s="549"/>
      <c r="BG196" s="549"/>
      <c r="BH196" s="549"/>
      <c r="BI196" s="549"/>
      <c r="BJ196" s="549"/>
      <c r="BK196" s="549"/>
      <c r="BL196" s="549"/>
      <c r="BM196" s="549"/>
      <c r="BN196" s="549"/>
      <c r="BO196" s="549"/>
      <c r="BP196" s="549"/>
      <c r="BQ196" s="549"/>
      <c r="BR196" s="549"/>
      <c r="BS196" s="549"/>
      <c r="BT196" s="549"/>
      <c r="BU196" s="549"/>
      <c r="BV196" s="549"/>
      <c r="BW196" s="549"/>
      <c r="BX196" s="549"/>
      <c r="BY196" s="549"/>
      <c r="BZ196" s="549"/>
      <c r="CA196" s="549"/>
      <c r="CB196" s="549"/>
      <c r="CC196" s="549"/>
      <c r="CD196" s="549"/>
      <c r="CE196" s="549"/>
      <c r="CF196" s="549"/>
      <c r="CG196" s="549"/>
      <c r="CH196" s="549"/>
      <c r="CI196" s="549"/>
      <c r="CJ196" s="549"/>
      <c r="CK196" s="549"/>
      <c r="CL196" s="549"/>
      <c r="CM196" s="549"/>
      <c r="CN196" s="549"/>
      <c r="CO196" s="549"/>
      <c r="CP196" s="549"/>
      <c r="CQ196" s="549"/>
      <c r="CR196" s="549"/>
      <c r="CS196" s="549"/>
    </row>
    <row r="197" spans="1:97">
      <c r="A197" s="492"/>
      <c r="B197" s="556"/>
      <c r="C197" s="556"/>
      <c r="D197" s="556"/>
      <c r="E197" s="556"/>
      <c r="F197" s="556"/>
      <c r="G197" s="556"/>
      <c r="H197" s="544"/>
    </row>
    <row r="198" spans="1:97">
      <c r="A198" s="473" t="s">
        <v>1</v>
      </c>
      <c r="B198" s="557"/>
      <c r="C198" s="557"/>
      <c r="D198" s="557"/>
      <c r="E198" s="557"/>
      <c r="F198" s="557"/>
      <c r="G198" s="557"/>
      <c r="H198" s="544"/>
      <c r="L198" s="1958"/>
      <c r="M198" s="1958"/>
      <c r="N198" s="1958"/>
      <c r="O198" s="1958"/>
      <c r="P198" s="1958"/>
      <c r="Q198" s="1958"/>
      <c r="R198" s="1958"/>
      <c r="S198" s="1958"/>
    </row>
    <row r="199" spans="1:97">
      <c r="A199" s="1957" t="s">
        <v>839</v>
      </c>
      <c r="B199" s="1957"/>
      <c r="C199" s="1957"/>
      <c r="D199" s="1957"/>
      <c r="E199" s="1957"/>
      <c r="F199" s="1957"/>
      <c r="G199" s="1957"/>
      <c r="H199" s="1957"/>
      <c r="L199" s="1958"/>
      <c r="M199" s="1958"/>
      <c r="N199" s="1958"/>
      <c r="O199" s="1958"/>
      <c r="P199" s="1958"/>
      <c r="Q199" s="1958"/>
      <c r="R199" s="1958"/>
      <c r="S199" s="1958"/>
    </row>
    <row r="200" spans="1:97">
      <c r="A200" s="1957" t="s">
        <v>840</v>
      </c>
      <c r="B200" s="1957"/>
      <c r="C200" s="1957"/>
      <c r="D200" s="1957"/>
      <c r="E200" s="1957"/>
      <c r="F200" s="1957"/>
      <c r="G200" s="1957"/>
      <c r="H200" s="1957"/>
      <c r="L200" s="1958"/>
      <c r="M200" s="1958"/>
      <c r="N200" s="1958"/>
      <c r="O200" s="1958"/>
      <c r="P200" s="1958"/>
      <c r="Q200" s="1958"/>
      <c r="R200" s="1958"/>
      <c r="S200" s="1958"/>
    </row>
    <row r="201" spans="1:97" ht="12">
      <c r="A201" s="1957" t="s">
        <v>841</v>
      </c>
      <c r="B201" s="1957"/>
      <c r="C201" s="1957"/>
      <c r="D201" s="1957"/>
      <c r="E201" s="1957"/>
      <c r="F201" s="1957"/>
      <c r="G201" s="1957"/>
      <c r="H201" s="1957"/>
      <c r="L201" s="1958"/>
      <c r="M201" s="1958"/>
      <c r="N201" s="1958"/>
      <c r="O201" s="1958"/>
      <c r="P201" s="1958"/>
      <c r="Q201" s="1958"/>
      <c r="R201" s="1958"/>
      <c r="S201" s="1958"/>
    </row>
    <row r="202" spans="1:97">
      <c r="A202" s="1957" t="s">
        <v>842</v>
      </c>
      <c r="B202" s="1957"/>
      <c r="C202" s="1957"/>
      <c r="D202" s="1957"/>
      <c r="E202" s="1957"/>
      <c r="F202" s="1957"/>
      <c r="G202" s="1957"/>
      <c r="H202" s="1957"/>
    </row>
    <row r="203" spans="1:97">
      <c r="A203" s="492" t="s">
        <v>843</v>
      </c>
    </row>
    <row r="204" spans="1:97">
      <c r="A204" s="492" t="s">
        <v>844</v>
      </c>
    </row>
    <row r="205" spans="1:97">
      <c r="A205" s="559" t="s">
        <v>906</v>
      </c>
      <c r="B205" s="498"/>
      <c r="C205" s="498"/>
      <c r="D205" s="498"/>
      <c r="E205" s="498"/>
      <c r="F205" s="498"/>
      <c r="G205" s="498"/>
      <c r="L205" s="486"/>
    </row>
    <row r="206" spans="1:97">
      <c r="A206" s="498"/>
      <c r="B206" s="498"/>
      <c r="C206" s="498"/>
      <c r="D206" s="498"/>
      <c r="E206" s="498"/>
      <c r="F206" s="498"/>
      <c r="G206" s="498"/>
    </row>
    <row r="207" spans="1:97">
      <c r="A207" s="498"/>
      <c r="B207" s="529">
        <v>421298038880</v>
      </c>
      <c r="C207" s="529">
        <v>394845999139</v>
      </c>
      <c r="D207" s="529">
        <v>776184648449</v>
      </c>
      <c r="E207" s="529">
        <v>1197482687329</v>
      </c>
      <c r="F207" s="529">
        <v>1171030647588</v>
      </c>
      <c r="G207" s="529">
        <v>11259611998.497469</v>
      </c>
    </row>
    <row r="208" spans="1:97">
      <c r="B208" s="558">
        <f>B196-B207</f>
        <v>251786653</v>
      </c>
      <c r="C208" s="558">
        <f t="shared" ref="C208:G208" si="4">C196-C207</f>
        <v>589071114</v>
      </c>
      <c r="D208" s="558">
        <f t="shared" si="4"/>
        <v>830072853</v>
      </c>
      <c r="E208" s="558">
        <f t="shared" si="4"/>
        <v>1081859506</v>
      </c>
      <c r="F208" s="558">
        <f t="shared" si="4"/>
        <v>1419143967</v>
      </c>
      <c r="G208" s="558">
        <f t="shared" si="4"/>
        <v>394972400.20269585</v>
      </c>
    </row>
    <row r="209" spans="2:7">
      <c r="B209" s="499"/>
      <c r="C209" s="499"/>
      <c r="D209" s="499"/>
      <c r="E209" s="499"/>
      <c r="F209" s="499"/>
      <c r="G209" s="499"/>
    </row>
    <row r="210" spans="2:7">
      <c r="B210" s="499"/>
      <c r="C210" s="499"/>
      <c r="D210" s="499"/>
      <c r="E210" s="499"/>
      <c r="F210" s="499"/>
      <c r="G210" s="499"/>
    </row>
    <row r="211" spans="2:7">
      <c r="B211" s="474"/>
      <c r="C211" s="474"/>
      <c r="D211" s="474"/>
      <c r="E211" s="474"/>
      <c r="F211" s="474"/>
      <c r="G211" s="474"/>
    </row>
    <row r="212" spans="2:7">
      <c r="B212" s="474"/>
      <c r="C212" s="474"/>
      <c r="D212" s="474"/>
      <c r="E212" s="474"/>
      <c r="F212" s="474"/>
      <c r="G212" s="474"/>
    </row>
    <row r="214" spans="2:7">
      <c r="B214" s="474"/>
      <c r="C214" s="474"/>
      <c r="D214" s="474"/>
      <c r="E214" s="474"/>
      <c r="F214" s="474"/>
      <c r="G214" s="474"/>
    </row>
  </sheetData>
  <mergeCells count="19">
    <mergeCell ref="A202:H202"/>
    <mergeCell ref="A199:H199"/>
    <mergeCell ref="L199:S199"/>
    <mergeCell ref="A200:H200"/>
    <mergeCell ref="L200:S200"/>
    <mergeCell ref="A201:H201"/>
    <mergeCell ref="L201:S201"/>
    <mergeCell ref="L198:S198"/>
    <mergeCell ref="A2:H2"/>
    <mergeCell ref="L2:S2"/>
    <mergeCell ref="A43:H43"/>
    <mergeCell ref="L55:S55"/>
    <mergeCell ref="L57:S57"/>
    <mergeCell ref="M77:R77"/>
    <mergeCell ref="A84:H84"/>
    <mergeCell ref="L108:S108"/>
    <mergeCell ref="L110:S110"/>
    <mergeCell ref="A125:H125"/>
    <mergeCell ref="A166:H166"/>
  </mergeCells>
  <printOptions horizontalCentered="1"/>
  <pageMargins left="0.25" right="0.25" top="0.7" bottom="1.18" header="0.25" footer="0.4"/>
  <pageSetup fitToHeight="5"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zoomScaleNormal="100" workbookViewId="0">
      <pane ySplit="2900" topLeftCell="A133"/>
      <selection pane="bottomLeft" activeCell="A163" sqref="A163:A167"/>
    </sheetView>
  </sheetViews>
  <sheetFormatPr defaultColWidth="8.7265625" defaultRowHeight="11.5"/>
  <cols>
    <col min="1" max="1" width="14.7265625" style="723" customWidth="1"/>
    <col min="2" max="2" width="17.7265625" style="1541" customWidth="1"/>
    <col min="3" max="3" width="16.7265625" style="1541" customWidth="1"/>
    <col min="4" max="4" width="15.7265625" style="1541" customWidth="1"/>
    <col min="5" max="5" width="16.7265625" style="1541" customWidth="1"/>
    <col min="6" max="6" width="21.54296875" style="1541" bestFit="1" customWidth="1"/>
    <col min="7" max="7" width="11.7265625" style="1541" customWidth="1"/>
    <col min="8" max="8" width="15.453125" style="1541" bestFit="1" customWidth="1"/>
    <col min="9" max="9" width="7" style="823" bestFit="1" customWidth="1"/>
    <col min="10" max="16384" width="8.7265625" style="723"/>
  </cols>
  <sheetData>
    <row r="1" spans="1:9" s="738" customFormat="1" ht="15.5">
      <c r="A1" s="908" t="s">
        <v>845</v>
      </c>
      <c r="B1" s="1550"/>
      <c r="C1" s="1550"/>
      <c r="D1" s="1550"/>
      <c r="E1" s="1550"/>
      <c r="F1" s="1550"/>
      <c r="G1" s="1550"/>
      <c r="H1" s="1550"/>
      <c r="I1" s="939" t="s">
        <v>1018</v>
      </c>
    </row>
    <row r="2" spans="1:9" s="744" customFormat="1" ht="13">
      <c r="A2" s="938" t="s">
        <v>1265</v>
      </c>
      <c r="B2" s="1574"/>
      <c r="C2" s="1574"/>
      <c r="D2" s="1574"/>
      <c r="E2" s="1574"/>
      <c r="F2" s="1574"/>
      <c r="G2" s="1574"/>
      <c r="H2" s="1574"/>
      <c r="I2" s="851"/>
    </row>
    <row r="3" spans="1:9" s="738" customFormat="1" ht="6" customHeight="1" thickBot="1">
      <c r="A3" s="727"/>
      <c r="B3" s="1543"/>
      <c r="C3" s="1543"/>
      <c r="D3" s="1543"/>
      <c r="E3" s="1543"/>
      <c r="F3" s="1543"/>
      <c r="G3" s="1543"/>
      <c r="H3" s="1543"/>
      <c r="I3" s="850"/>
    </row>
    <row r="4" spans="1:9" ht="12" customHeight="1">
      <c r="A4" s="854"/>
      <c r="B4" s="1566"/>
      <c r="C4" s="1596" t="s">
        <v>848</v>
      </c>
      <c r="D4" s="1590"/>
      <c r="E4" s="1590"/>
      <c r="F4" s="1566"/>
      <c r="G4" s="1566"/>
      <c r="H4" s="1566"/>
    </row>
    <row r="5" spans="1:9" ht="24" customHeight="1">
      <c r="A5" s="1403" t="s">
        <v>21</v>
      </c>
      <c r="B5" s="1482" t="s">
        <v>1051</v>
      </c>
      <c r="C5" s="1480" t="s">
        <v>853</v>
      </c>
      <c r="D5" s="1480" t="s">
        <v>854</v>
      </c>
      <c r="E5" s="1480" t="s">
        <v>855</v>
      </c>
      <c r="F5" s="1482" t="s">
        <v>1052</v>
      </c>
      <c r="G5" s="1482" t="s">
        <v>1050</v>
      </c>
      <c r="H5" s="1482" t="s">
        <v>1053</v>
      </c>
    </row>
    <row r="6" spans="1:9" ht="18" customHeight="1">
      <c r="A6" s="723" t="s">
        <v>54</v>
      </c>
      <c r="B6" s="1852">
        <f>IF('6.2'!E6=0,"",'6.2'!E6)</f>
        <v>3883376600</v>
      </c>
      <c r="C6" s="1544">
        <v>507617100</v>
      </c>
      <c r="D6" s="1544">
        <v>225546900</v>
      </c>
      <c r="E6" s="1852">
        <f>IF(SUM(C6:D6)=0,"",SUM(C6:D6))</f>
        <v>733164000</v>
      </c>
      <c r="F6" s="1853">
        <f>IFERROR(B6+E6,"")</f>
        <v>4616540600</v>
      </c>
      <c r="G6" s="1854">
        <f>IFERROR(E6/F6,"")</f>
        <v>0.15881242331108275</v>
      </c>
      <c r="H6" s="1544">
        <v>4472300.4000000004</v>
      </c>
      <c r="I6" s="852"/>
    </row>
    <row r="7" spans="1:9" ht="11.25" customHeight="1">
      <c r="A7" s="723" t="s">
        <v>56</v>
      </c>
      <c r="B7" s="1547">
        <f>IF('6.2'!E7=0,"",'6.2'!E7)</f>
        <v>22210932829</v>
      </c>
      <c r="C7" s="1545">
        <v>3087009547</v>
      </c>
      <c r="D7" s="1545">
        <v>1157687419</v>
      </c>
      <c r="E7" s="1547">
        <f>IF(SUM(C7:D7)=0,"",SUM(C7:D7))</f>
        <v>4244696966</v>
      </c>
      <c r="F7" s="1855">
        <f>IFERROR(B7+E7,"")</f>
        <v>26455629795</v>
      </c>
      <c r="G7" s="1854">
        <f t="shared" ref="G7:G35" si="0">IFERROR(E7/F7,"")</f>
        <v>0.16044588614564864</v>
      </c>
      <c r="H7" s="1545">
        <v>36249712.089639999</v>
      </c>
      <c r="I7" s="852"/>
    </row>
    <row r="8" spans="1:9" ht="11.25" customHeight="1">
      <c r="A8" s="723" t="s">
        <v>58</v>
      </c>
      <c r="B8" s="1547">
        <f>IF('6.2'!E8=0,"",'6.2'!E8)</f>
        <v>1131251300</v>
      </c>
      <c r="C8" s="1545">
        <v>186614900</v>
      </c>
      <c r="D8" s="1545">
        <v>104828200</v>
      </c>
      <c r="E8" s="1547">
        <f t="shared" ref="E8:E35" si="1">IF(SUM(C8:D8)=0,"",SUM(C8:D8))</f>
        <v>291443100</v>
      </c>
      <c r="F8" s="1855">
        <f t="shared" ref="F8:F35" si="2">IFERROR(B8+E8,"")</f>
        <v>1422694400</v>
      </c>
      <c r="G8" s="1854">
        <f t="shared" si="0"/>
        <v>0.20485291851855184</v>
      </c>
      <c r="H8" s="1545">
        <v>2127534.63</v>
      </c>
      <c r="I8" s="852"/>
    </row>
    <row r="9" spans="1:9" ht="11.25" customHeight="1">
      <c r="A9" s="723" t="s">
        <v>60</v>
      </c>
      <c r="B9" s="1547">
        <f>IF('6.2'!E9=0,"",'6.2'!E9)</f>
        <v>1326749355</v>
      </c>
      <c r="C9" s="1545">
        <v>27232000</v>
      </c>
      <c r="D9" s="1545">
        <v>53914300</v>
      </c>
      <c r="E9" s="1547">
        <f t="shared" si="1"/>
        <v>81146300</v>
      </c>
      <c r="F9" s="1855">
        <f t="shared" si="2"/>
        <v>1407895655</v>
      </c>
      <c r="G9" s="1854">
        <f t="shared" si="0"/>
        <v>5.7636586711392331E-2</v>
      </c>
      <c r="H9" s="1545">
        <v>413846.13</v>
      </c>
      <c r="I9" s="852"/>
    </row>
    <row r="10" spans="1:9" ht="11.25" customHeight="1">
      <c r="A10" s="723" t="s">
        <v>62</v>
      </c>
      <c r="B10" s="1547">
        <f>IF('6.2'!E10=0,"",'6.2'!E10)</f>
        <v>2765489400</v>
      </c>
      <c r="C10" s="1545">
        <v>245116000</v>
      </c>
      <c r="D10" s="1545">
        <v>348422600</v>
      </c>
      <c r="E10" s="1547">
        <f t="shared" si="1"/>
        <v>593538600</v>
      </c>
      <c r="F10" s="1855">
        <f t="shared" si="2"/>
        <v>3359028000</v>
      </c>
      <c r="G10" s="1854">
        <f t="shared" si="0"/>
        <v>0.17669950950096278</v>
      </c>
      <c r="H10" s="1545">
        <v>3620585.46</v>
      </c>
      <c r="I10" s="852"/>
    </row>
    <row r="11" spans="1:9" ht="18" customHeight="1">
      <c r="A11" s="723" t="s">
        <v>64</v>
      </c>
      <c r="B11" s="1547">
        <f>IF('6.2'!E11=0,"",'6.2'!E11)</f>
        <v>1465670419</v>
      </c>
      <c r="C11" s="1545">
        <v>93179700</v>
      </c>
      <c r="D11" s="1545">
        <v>87096000</v>
      </c>
      <c r="E11" s="1547">
        <f t="shared" si="1"/>
        <v>180275700</v>
      </c>
      <c r="F11" s="1855">
        <f t="shared" si="2"/>
        <v>1645946119</v>
      </c>
      <c r="G11" s="1854">
        <f t="shared" si="0"/>
        <v>0.10952709685875203</v>
      </c>
      <c r="H11" s="1545">
        <v>1135736.9100000001</v>
      </c>
      <c r="I11" s="852"/>
    </row>
    <row r="12" spans="1:9" ht="11.25" customHeight="1">
      <c r="A12" s="723" t="s">
        <v>351</v>
      </c>
      <c r="B12" s="1547">
        <f>IF('6.2'!E12=0,"",'6.2'!E12)</f>
        <v>85975360100</v>
      </c>
      <c r="C12" s="1545">
        <v>8167336300</v>
      </c>
      <c r="D12" s="1545">
        <v>1264518800</v>
      </c>
      <c r="E12" s="1547">
        <f t="shared" si="1"/>
        <v>9431855100</v>
      </c>
      <c r="F12" s="1855">
        <f t="shared" si="2"/>
        <v>95407215200</v>
      </c>
      <c r="G12" s="1854">
        <f t="shared" si="0"/>
        <v>9.8858928858034628E-2</v>
      </c>
      <c r="H12" s="1545">
        <v>97148107.530000001</v>
      </c>
      <c r="I12" s="852"/>
    </row>
    <row r="13" spans="1:9" ht="11.25" customHeight="1">
      <c r="A13" s="723" t="s">
        <v>68</v>
      </c>
      <c r="B13" s="1547">
        <f>IF('6.2'!E13=0,"",'6.2'!E13)</f>
        <v>8943687000</v>
      </c>
      <c r="C13" s="1545">
        <v>596511800</v>
      </c>
      <c r="D13" s="1545">
        <v>791154800</v>
      </c>
      <c r="E13" s="1547">
        <f t="shared" si="1"/>
        <v>1387666600</v>
      </c>
      <c r="F13" s="1855">
        <f t="shared" si="2"/>
        <v>10331353600</v>
      </c>
      <c r="G13" s="1854">
        <f t="shared" si="0"/>
        <v>0.1343160493509776</v>
      </c>
      <c r="H13" s="1545">
        <v>8742299.5800000001</v>
      </c>
      <c r="I13" s="852"/>
    </row>
    <row r="14" spans="1:9" ht="11.25" customHeight="1">
      <c r="A14" s="723" t="s">
        <v>70</v>
      </c>
      <c r="B14" s="1547">
        <f>IF('6.2'!E14=0,"",'6.2'!E14)</f>
        <v>858166100</v>
      </c>
      <c r="C14" s="1545">
        <v>249252500</v>
      </c>
      <c r="D14" s="1545">
        <v>52212700</v>
      </c>
      <c r="E14" s="1547">
        <f t="shared" si="1"/>
        <v>301465200</v>
      </c>
      <c r="F14" s="1855">
        <f t="shared" si="2"/>
        <v>1159631300</v>
      </c>
      <c r="G14" s="1854">
        <f t="shared" si="0"/>
        <v>0.25996642208605442</v>
      </c>
      <c r="H14" s="1545">
        <v>1658058.6</v>
      </c>
      <c r="I14" s="852"/>
    </row>
    <row r="15" spans="1:9" ht="11.25" customHeight="1">
      <c r="A15" s="723" t="s">
        <v>832</v>
      </c>
      <c r="B15" s="1547">
        <f>IF('6.2'!E15=0,"",'6.2'!E15)</f>
        <v>10453560241</v>
      </c>
      <c r="C15" s="1545">
        <v>353322400</v>
      </c>
      <c r="D15" s="1545">
        <v>505274500</v>
      </c>
      <c r="E15" s="1547">
        <f t="shared" si="1"/>
        <v>858596900</v>
      </c>
      <c r="F15" s="1855">
        <f t="shared" si="2"/>
        <v>11312157141</v>
      </c>
      <c r="G15" s="1854">
        <f t="shared" si="0"/>
        <v>7.5900368894990411E-2</v>
      </c>
      <c r="H15" s="1545">
        <v>4292984.5</v>
      </c>
      <c r="I15" s="852"/>
    </row>
    <row r="16" spans="1:9" ht="18" customHeight="1">
      <c r="A16" s="723" t="s">
        <v>73</v>
      </c>
      <c r="B16" s="1547">
        <f>IF('6.2'!E16=0,"",'6.2'!E16)</f>
        <v>619972100</v>
      </c>
      <c r="C16" s="1545">
        <v>132279200</v>
      </c>
      <c r="D16" s="1545">
        <v>29755700</v>
      </c>
      <c r="E16" s="1547">
        <f t="shared" si="1"/>
        <v>162034900</v>
      </c>
      <c r="F16" s="1855">
        <f t="shared" si="2"/>
        <v>782007000</v>
      </c>
      <c r="G16" s="1854">
        <f t="shared" si="0"/>
        <v>0.20720389970933764</v>
      </c>
      <c r="H16" s="1545">
        <v>972209.39999999991</v>
      </c>
      <c r="I16" s="852"/>
    </row>
    <row r="17" spans="1:9" ht="11.25" customHeight="1">
      <c r="A17" s="723" t="s">
        <v>75</v>
      </c>
      <c r="B17" s="1547">
        <f>IF('6.2'!E17=0,"",'6.2'!E17)</f>
        <v>4248930880</v>
      </c>
      <c r="C17" s="1545">
        <v>198484400</v>
      </c>
      <c r="D17" s="1545">
        <v>144011900</v>
      </c>
      <c r="E17" s="1547">
        <f t="shared" si="1"/>
        <v>342496300</v>
      </c>
      <c r="F17" s="1855">
        <f t="shared" si="2"/>
        <v>4591427180</v>
      </c>
      <c r="G17" s="1854">
        <f t="shared" si="0"/>
        <v>7.4594736358205724E-2</v>
      </c>
      <c r="H17" s="1545">
        <v>2705720.77</v>
      </c>
      <c r="I17" s="852"/>
    </row>
    <row r="18" spans="1:9" ht="11.25" customHeight="1">
      <c r="A18" s="723" t="s">
        <v>77</v>
      </c>
      <c r="B18" s="1547">
        <f>IF('6.2'!E18=0,"",'6.2'!E18)</f>
        <v>1320621472</v>
      </c>
      <c r="C18" s="1545">
        <v>193373200</v>
      </c>
      <c r="D18" s="1545">
        <v>45421200</v>
      </c>
      <c r="E18" s="1547">
        <f t="shared" si="1"/>
        <v>238794400</v>
      </c>
      <c r="F18" s="1855">
        <f t="shared" si="2"/>
        <v>1559415872</v>
      </c>
      <c r="G18" s="1854">
        <f t="shared" si="0"/>
        <v>0.15313067173911643</v>
      </c>
      <c r="H18" s="1545">
        <v>1552163.6</v>
      </c>
      <c r="I18" s="852"/>
    </row>
    <row r="19" spans="1:9" ht="11.25" customHeight="1">
      <c r="A19" s="723" t="s">
        <v>79</v>
      </c>
      <c r="B19" s="1547">
        <f>IF('6.2'!E19=0,"",'6.2'!E19)</f>
        <v>2116732563</v>
      </c>
      <c r="C19" s="1545">
        <v>408933178</v>
      </c>
      <c r="D19" s="1545">
        <v>119642666</v>
      </c>
      <c r="E19" s="1547">
        <f t="shared" si="1"/>
        <v>528575844</v>
      </c>
      <c r="F19" s="1855">
        <f t="shared" si="2"/>
        <v>2645308407</v>
      </c>
      <c r="G19" s="1854">
        <f t="shared" si="0"/>
        <v>0.19981633997808559</v>
      </c>
      <c r="H19" s="1545">
        <v>2061445.7915999999</v>
      </c>
      <c r="I19" s="852"/>
    </row>
    <row r="20" spans="1:9" ht="11.25" customHeight="1">
      <c r="A20" s="723" t="s">
        <v>81</v>
      </c>
      <c r="B20" s="1547">
        <f>IF('6.2'!E20=0,"",'6.2'!E20)</f>
        <v>1609158099</v>
      </c>
      <c r="C20" s="1545">
        <v>235266900</v>
      </c>
      <c r="D20" s="1545">
        <v>132743100</v>
      </c>
      <c r="E20" s="1547">
        <f t="shared" si="1"/>
        <v>368010000</v>
      </c>
      <c r="F20" s="1855">
        <f t="shared" si="2"/>
        <v>1977168099</v>
      </c>
      <c r="G20" s="1854">
        <f t="shared" si="0"/>
        <v>0.186129849144405</v>
      </c>
      <c r="H20" s="1545">
        <v>1913652</v>
      </c>
      <c r="I20" s="852"/>
    </row>
    <row r="21" spans="1:9" ht="18" customHeight="1">
      <c r="A21" s="723" t="s">
        <v>83</v>
      </c>
      <c r="B21" s="1547">
        <f>IF('6.2'!E21=0,"",'6.2'!E21)</f>
        <v>4513637357</v>
      </c>
      <c r="C21" s="1545">
        <v>129373200</v>
      </c>
      <c r="D21" s="1545">
        <v>317287600</v>
      </c>
      <c r="E21" s="1547">
        <f t="shared" si="1"/>
        <v>446660800</v>
      </c>
      <c r="F21" s="1855">
        <f t="shared" si="2"/>
        <v>4960298157</v>
      </c>
      <c r="G21" s="1854">
        <f t="shared" si="0"/>
        <v>9.004716770294742E-2</v>
      </c>
      <c r="H21" s="1545">
        <v>2322636.16</v>
      </c>
      <c r="I21" s="852"/>
    </row>
    <row r="22" spans="1:9" ht="11.25" customHeight="1">
      <c r="A22" s="723" t="s">
        <v>85</v>
      </c>
      <c r="B22" s="1547">
        <f>IF('6.2'!E22=0,"",'6.2'!E22)</f>
        <v>3493804624</v>
      </c>
      <c r="C22" s="1545">
        <v>454417500</v>
      </c>
      <c r="D22" s="1545">
        <v>180837800</v>
      </c>
      <c r="E22" s="1547">
        <f t="shared" si="1"/>
        <v>635255300</v>
      </c>
      <c r="F22" s="1855">
        <f t="shared" si="2"/>
        <v>4129059924</v>
      </c>
      <c r="G22" s="1854">
        <f t="shared" si="0"/>
        <v>0.15384986212178789</v>
      </c>
      <c r="H22" s="1545">
        <v>4891465.8100000005</v>
      </c>
      <c r="I22" s="852"/>
    </row>
    <row r="23" spans="1:9" ht="11.25" customHeight="1">
      <c r="A23" s="723" t="s">
        <v>87</v>
      </c>
      <c r="B23" s="1547">
        <f>IF('6.2'!E23=0,"",'6.2'!E23)</f>
        <v>2586628000</v>
      </c>
      <c r="C23" s="1545">
        <v>150215200</v>
      </c>
      <c r="D23" s="1545">
        <v>72594100</v>
      </c>
      <c r="E23" s="1547">
        <f t="shared" si="1"/>
        <v>222809300</v>
      </c>
      <c r="F23" s="1855">
        <f t="shared" si="2"/>
        <v>2809437300</v>
      </c>
      <c r="G23" s="1854">
        <f t="shared" si="0"/>
        <v>7.9307447082018881E-2</v>
      </c>
      <c r="H23" s="1545">
        <v>1425979.52</v>
      </c>
      <c r="I23" s="852"/>
    </row>
    <row r="24" spans="1:9" ht="11.25" customHeight="1">
      <c r="A24" s="723" t="s">
        <v>89</v>
      </c>
      <c r="B24" s="1547">
        <f>IF('6.2'!E24=0,"",'6.2'!E24)</f>
        <v>863099295</v>
      </c>
      <c r="C24" s="1545">
        <v>65403100</v>
      </c>
      <c r="D24" s="1545">
        <v>16332700</v>
      </c>
      <c r="E24" s="1547">
        <f t="shared" si="1"/>
        <v>81735800</v>
      </c>
      <c r="F24" s="1855">
        <f t="shared" si="2"/>
        <v>944835095</v>
      </c>
      <c r="G24" s="1854">
        <f t="shared" si="0"/>
        <v>8.6508005928801784E-2</v>
      </c>
      <c r="H24" s="1545">
        <v>621192.07999999996</v>
      </c>
      <c r="I24" s="852"/>
    </row>
    <row r="25" spans="1:9" ht="11.25" customHeight="1">
      <c r="A25" s="723" t="s">
        <v>91</v>
      </c>
      <c r="B25" s="1547">
        <f>IF('6.2'!E25=0,"",'6.2'!E25)</f>
        <v>1014708811</v>
      </c>
      <c r="C25" s="1545">
        <v>30097100</v>
      </c>
      <c r="D25" s="1545">
        <v>65469369</v>
      </c>
      <c r="E25" s="1547">
        <f t="shared" si="1"/>
        <v>95566469</v>
      </c>
      <c r="F25" s="1855">
        <f t="shared" si="2"/>
        <v>1110275280</v>
      </c>
      <c r="G25" s="1854">
        <f t="shared" si="0"/>
        <v>8.6074571524279997E-2</v>
      </c>
      <c r="H25" s="1545">
        <v>592512.1078</v>
      </c>
      <c r="I25" s="852"/>
    </row>
    <row r="26" spans="1:9" ht="18" customHeight="1">
      <c r="A26" s="723" t="s">
        <v>93</v>
      </c>
      <c r="B26" s="1547">
        <f>IF('6.2'!E26=0,"",'6.2'!E26)</f>
        <v>44161428200</v>
      </c>
      <c r="C26" s="1545">
        <v>2244600900</v>
      </c>
      <c r="D26" s="1545">
        <v>650921100</v>
      </c>
      <c r="E26" s="1547">
        <f t="shared" si="1"/>
        <v>2895522000</v>
      </c>
      <c r="F26" s="1855">
        <f t="shared" si="2"/>
        <v>47056950200</v>
      </c>
      <c r="G26" s="1854">
        <f t="shared" si="0"/>
        <v>6.1532291992862725E-2</v>
      </c>
      <c r="H26" s="1545">
        <v>26638802.400000002</v>
      </c>
      <c r="I26" s="852"/>
    </row>
    <row r="27" spans="1:9" ht="11.25" customHeight="1">
      <c r="A27" s="723" t="s">
        <v>95</v>
      </c>
      <c r="B27" s="1547">
        <f>IF('6.2'!E27=0,"",'6.2'!E27)</f>
        <v>2820080800</v>
      </c>
      <c r="C27" s="1545">
        <v>71868100</v>
      </c>
      <c r="D27" s="1545">
        <v>115630200</v>
      </c>
      <c r="E27" s="1547">
        <f t="shared" si="1"/>
        <v>187498300</v>
      </c>
      <c r="F27" s="1855">
        <f t="shared" si="2"/>
        <v>3007579100</v>
      </c>
      <c r="G27" s="1854">
        <f t="shared" si="0"/>
        <v>6.2341934747451866E-2</v>
      </c>
      <c r="H27" s="1545">
        <v>1143739.6299999999</v>
      </c>
      <c r="I27" s="852"/>
    </row>
    <row r="28" spans="1:9" ht="11.25" customHeight="1">
      <c r="A28" s="723" t="s">
        <v>97</v>
      </c>
      <c r="B28" s="1547">
        <f>IF('6.2'!E28=0,"",'6.2'!E28)</f>
        <v>523915300</v>
      </c>
      <c r="C28" s="1545">
        <v>95024200</v>
      </c>
      <c r="D28" s="1545">
        <v>31215400</v>
      </c>
      <c r="E28" s="1547">
        <f t="shared" si="1"/>
        <v>126239600</v>
      </c>
      <c r="F28" s="1855">
        <f t="shared" si="2"/>
        <v>650154900</v>
      </c>
      <c r="G28" s="1854">
        <f t="shared" si="0"/>
        <v>0.19416849738423875</v>
      </c>
      <c r="H28" s="1545">
        <v>795309.48</v>
      </c>
      <c r="I28" s="852"/>
    </row>
    <row r="29" spans="1:9" ht="11.25" customHeight="1">
      <c r="A29" s="723" t="s">
        <v>99</v>
      </c>
      <c r="B29" s="1547">
        <f>IF('6.2'!E29=0,"",'6.2'!E29)</f>
        <v>6969073828</v>
      </c>
      <c r="C29" s="1545">
        <v>267358200</v>
      </c>
      <c r="D29" s="1545">
        <v>306848200</v>
      </c>
      <c r="E29" s="1547">
        <f t="shared" si="1"/>
        <v>574206400</v>
      </c>
      <c r="F29" s="1855">
        <f t="shared" si="2"/>
        <v>7543280228</v>
      </c>
      <c r="G29" s="1854">
        <f t="shared" si="0"/>
        <v>7.6121578762061076E-2</v>
      </c>
      <c r="H29" s="1545">
        <v>3158135.2</v>
      </c>
      <c r="I29" s="852"/>
    </row>
    <row r="30" spans="1:9" ht="11.25" customHeight="1">
      <c r="A30" s="723" t="s">
        <v>101</v>
      </c>
      <c r="B30" s="1547">
        <f>IF('6.2'!E30=0,"",'6.2'!E30)</f>
        <v>967174890</v>
      </c>
      <c r="C30" s="1545">
        <v>64888040</v>
      </c>
      <c r="D30" s="1545">
        <v>74844470</v>
      </c>
      <c r="E30" s="1547">
        <f t="shared" si="1"/>
        <v>139732510</v>
      </c>
      <c r="F30" s="1855">
        <f t="shared" si="2"/>
        <v>1106907400</v>
      </c>
      <c r="G30" s="1854">
        <f t="shared" si="0"/>
        <v>0.12623685594657691</v>
      </c>
      <c r="H30" s="1545">
        <v>1047993.825</v>
      </c>
      <c r="I30" s="852"/>
    </row>
    <row r="31" spans="1:9" ht="18" customHeight="1">
      <c r="A31" s="723" t="s">
        <v>103</v>
      </c>
      <c r="B31" s="1547">
        <f>IF('6.2'!E31=0,"",'6.2'!E31)</f>
        <v>1252681753</v>
      </c>
      <c r="C31" s="1545">
        <v>164650600</v>
      </c>
      <c r="D31" s="1545">
        <v>47052800</v>
      </c>
      <c r="E31" s="1547">
        <f t="shared" si="1"/>
        <v>211703400</v>
      </c>
      <c r="F31" s="1855">
        <f t="shared" si="2"/>
        <v>1464385153</v>
      </c>
      <c r="G31" s="1854">
        <f t="shared" si="0"/>
        <v>0.14456811417836057</v>
      </c>
      <c r="H31" s="1545">
        <v>1270220.3999999999</v>
      </c>
      <c r="I31" s="852"/>
    </row>
    <row r="32" spans="1:9" ht="11.25" customHeight="1">
      <c r="A32" s="723" t="s">
        <v>417</v>
      </c>
      <c r="B32" s="1547">
        <f>IF('6.2'!E32=0,"",'6.2'!E32)</f>
        <v>2806832065</v>
      </c>
      <c r="C32" s="1545">
        <v>218432600</v>
      </c>
      <c r="D32" s="1545">
        <v>180020800</v>
      </c>
      <c r="E32" s="1547">
        <f t="shared" si="1"/>
        <v>398453400</v>
      </c>
      <c r="F32" s="1855">
        <f t="shared" si="2"/>
        <v>3205285465</v>
      </c>
      <c r="G32" s="1854">
        <f t="shared" si="0"/>
        <v>0.1243113614531054</v>
      </c>
      <c r="H32" s="1545">
        <v>3147781.8600000003</v>
      </c>
      <c r="I32" s="852"/>
    </row>
    <row r="33" spans="1:9" ht="11.25" customHeight="1">
      <c r="A33" s="723" t="s">
        <v>107</v>
      </c>
      <c r="B33" s="1547">
        <f>IF('6.2'!E33=0,"",'6.2'!E33)</f>
        <v>1618034292</v>
      </c>
      <c r="C33" s="1545">
        <v>35396130</v>
      </c>
      <c r="D33" s="1545">
        <v>77131549</v>
      </c>
      <c r="E33" s="1547">
        <f t="shared" si="1"/>
        <v>112527679</v>
      </c>
      <c r="F33" s="1855">
        <f t="shared" si="2"/>
        <v>1730561971</v>
      </c>
      <c r="G33" s="1854">
        <f t="shared" si="0"/>
        <v>6.5023778914416006E-2</v>
      </c>
      <c r="H33" s="1545">
        <v>832704.82459999993</v>
      </c>
      <c r="I33" s="852"/>
    </row>
    <row r="34" spans="1:9" ht="11.25" customHeight="1">
      <c r="A34" s="723" t="s">
        <v>109</v>
      </c>
      <c r="B34" s="1547">
        <f>IF('6.2'!E34=0,"",'6.2'!E34)</f>
        <v>272418491610</v>
      </c>
      <c r="C34" s="1545">
        <v>15273772720</v>
      </c>
      <c r="D34" s="1545">
        <v>4957164020</v>
      </c>
      <c r="E34" s="1547">
        <f t="shared" si="1"/>
        <v>20230936740</v>
      </c>
      <c r="F34" s="1855">
        <f t="shared" si="2"/>
        <v>292649428350</v>
      </c>
      <c r="G34" s="1854">
        <f t="shared" si="0"/>
        <v>6.9130279372370415E-2</v>
      </c>
      <c r="H34" s="1545">
        <v>230632678.83599997</v>
      </c>
      <c r="I34" s="852"/>
    </row>
    <row r="35" spans="1:9" ht="11.25" customHeight="1">
      <c r="A35" s="723" t="s">
        <v>111</v>
      </c>
      <c r="B35" s="1547">
        <f>IF('6.2'!E35=0,"",'6.2'!E35)</f>
        <v>13637474000</v>
      </c>
      <c r="C35" s="1545">
        <v>674796200</v>
      </c>
      <c r="D35" s="1545">
        <v>288131000</v>
      </c>
      <c r="E35" s="1547">
        <f t="shared" si="1"/>
        <v>962927200</v>
      </c>
      <c r="F35" s="1855">
        <f t="shared" si="2"/>
        <v>14600401200</v>
      </c>
      <c r="G35" s="1854">
        <f t="shared" si="0"/>
        <v>6.5952105480498707E-2</v>
      </c>
      <c r="H35" s="1545">
        <v>9571496.3680000007</v>
      </c>
      <c r="I35" s="852"/>
    </row>
    <row r="36" spans="1:9" ht="15.5">
      <c r="A36" s="908" t="s">
        <v>857</v>
      </c>
      <c r="B36" s="1550"/>
      <c r="C36" s="1550"/>
      <c r="D36" s="1550"/>
      <c r="E36" s="1550"/>
      <c r="F36" s="1591"/>
      <c r="G36" s="1550"/>
      <c r="H36" s="1550"/>
    </row>
    <row r="37" spans="1:9" s="745" customFormat="1" ht="13">
      <c r="A37" s="938" t="str">
        <f>A2</f>
        <v>Comparison of Tax Exempt Value to Total Fair Market Value (FMV) of Real Estate by Locality - Tax Year 2021</v>
      </c>
      <c r="B37" s="1574"/>
      <c r="C37" s="1574"/>
      <c r="D37" s="1574"/>
      <c r="E37" s="1574"/>
      <c r="F37" s="1592"/>
      <c r="G37" s="1574"/>
      <c r="H37" s="1574"/>
      <c r="I37" s="853"/>
    </row>
    <row r="38" spans="1:9" s="738" customFormat="1" ht="6" customHeight="1" thickBot="1">
      <c r="A38" s="727"/>
      <c r="B38" s="1543"/>
      <c r="C38" s="1543"/>
      <c r="D38" s="1543"/>
      <c r="E38" s="1543"/>
      <c r="F38" s="1543"/>
      <c r="G38" s="1543"/>
      <c r="H38" s="1543"/>
      <c r="I38" s="850"/>
    </row>
    <row r="39" spans="1:9" ht="12" customHeight="1">
      <c r="A39" s="854"/>
      <c r="B39" s="1566"/>
      <c r="C39" s="1596" t="s">
        <v>848</v>
      </c>
      <c r="D39" s="1590"/>
      <c r="E39" s="1590"/>
      <c r="F39" s="1566"/>
      <c r="G39" s="1566"/>
      <c r="H39" s="1566"/>
    </row>
    <row r="40" spans="1:9" ht="24" customHeight="1">
      <c r="A40" s="1403" t="s">
        <v>21</v>
      </c>
      <c r="B40" s="1482" t="s">
        <v>1051</v>
      </c>
      <c r="C40" s="1480" t="s">
        <v>853</v>
      </c>
      <c r="D40" s="1480" t="s">
        <v>854</v>
      </c>
      <c r="E40" s="1480" t="s">
        <v>855</v>
      </c>
      <c r="F40" s="1482" t="s">
        <v>1052</v>
      </c>
      <c r="G40" s="1482" t="s">
        <v>1050</v>
      </c>
      <c r="H40" s="1482" t="s">
        <v>1053</v>
      </c>
    </row>
    <row r="41" spans="1:9" ht="18" customHeight="1">
      <c r="A41" s="723" t="s">
        <v>113</v>
      </c>
      <c r="B41" s="1852">
        <f>IF('6.2'!E41=0,"",'6.2'!E41)</f>
        <v>1902620900</v>
      </c>
      <c r="C41" s="1544">
        <v>100747600</v>
      </c>
      <c r="D41" s="1544">
        <v>36428700</v>
      </c>
      <c r="E41" s="1852">
        <f t="shared" ref="E41:E70" si="3">IF(SUM(C41:D41)=0,"",SUM(C41:D41))</f>
        <v>137176300</v>
      </c>
      <c r="F41" s="1853">
        <f t="shared" ref="F41:F70" si="4">IFERROR(B41+E41,"")</f>
        <v>2039797200</v>
      </c>
      <c r="G41" s="1854">
        <f t="shared" ref="G41:G70" si="5">IFERROR(E41/F41,"")</f>
        <v>6.7249969751894942E-2</v>
      </c>
      <c r="H41" s="1544">
        <v>864210.69</v>
      </c>
      <c r="I41" s="852"/>
    </row>
    <row r="42" spans="1:9" ht="11.25" customHeight="1">
      <c r="A42" s="723" t="s">
        <v>115</v>
      </c>
      <c r="B42" s="1547">
        <f>IF('6.2'!E42=0,"",'6.2'!E42)</f>
        <v>3216671814</v>
      </c>
      <c r="C42" s="1545">
        <v>155796900</v>
      </c>
      <c r="D42" s="1545">
        <v>161080300</v>
      </c>
      <c r="E42" s="1547">
        <f t="shared" si="3"/>
        <v>316877200</v>
      </c>
      <c r="F42" s="1855">
        <f t="shared" si="4"/>
        <v>3533549014</v>
      </c>
      <c r="G42" s="1854">
        <f t="shared" si="5"/>
        <v>8.967675239384694E-2</v>
      </c>
      <c r="H42" s="1545">
        <v>2801194.4479999999</v>
      </c>
      <c r="I42" s="852"/>
    </row>
    <row r="43" spans="1:9" ht="11.25" customHeight="1">
      <c r="A43" s="723" t="s">
        <v>24</v>
      </c>
      <c r="B43" s="1547">
        <f>IF('6.2'!E43=0,"",'6.2'!E43)</f>
        <v>7596938400</v>
      </c>
      <c r="C43" s="1545">
        <v>108283900</v>
      </c>
      <c r="D43" s="1545">
        <v>412926400</v>
      </c>
      <c r="E43" s="1547">
        <f t="shared" si="3"/>
        <v>521210300</v>
      </c>
      <c r="F43" s="1855">
        <f t="shared" si="4"/>
        <v>8118148700</v>
      </c>
      <c r="G43" s="1854">
        <f t="shared" si="5"/>
        <v>6.4203098423166349E-2</v>
      </c>
      <c r="H43" s="1545">
        <v>3179382.83</v>
      </c>
      <c r="I43" s="852"/>
    </row>
    <row r="44" spans="1:9" ht="11.25" customHeight="1">
      <c r="A44" s="723" t="s">
        <v>973</v>
      </c>
      <c r="B44" s="1547">
        <f>IF('6.2'!E44=0,"",'6.2'!E44)</f>
        <v>12369526100</v>
      </c>
      <c r="C44" s="1545">
        <v>372211900</v>
      </c>
      <c r="D44" s="1545">
        <v>897818500</v>
      </c>
      <c r="E44" s="1547">
        <f t="shared" si="3"/>
        <v>1270030400</v>
      </c>
      <c r="F44" s="1855">
        <f t="shared" si="4"/>
        <v>13639556500</v>
      </c>
      <c r="G44" s="1854">
        <f t="shared" si="5"/>
        <v>9.3113760700357082E-2</v>
      </c>
      <c r="H44" s="1545">
        <v>7747185.4399999995</v>
      </c>
      <c r="I44" s="852"/>
    </row>
    <row r="45" spans="1:9" ht="11.25" customHeight="1">
      <c r="A45" s="723" t="s">
        <v>120</v>
      </c>
      <c r="B45" s="1547">
        <f>IF('6.2'!E45=0,"",'6.2'!E45)</f>
        <v>1278522700</v>
      </c>
      <c r="C45" s="1545">
        <v>77336700</v>
      </c>
      <c r="D45" s="1545">
        <v>71979100</v>
      </c>
      <c r="E45" s="1547">
        <f t="shared" si="3"/>
        <v>149315800</v>
      </c>
      <c r="F45" s="1855">
        <f t="shared" si="4"/>
        <v>1427838500</v>
      </c>
      <c r="G45" s="1854">
        <f t="shared" si="5"/>
        <v>0.10457471205602034</v>
      </c>
      <c r="H45" s="1545">
        <v>970552.7</v>
      </c>
      <c r="I45" s="852"/>
    </row>
    <row r="46" spans="1:9" ht="18" customHeight="1">
      <c r="A46" s="723" t="s">
        <v>55</v>
      </c>
      <c r="B46" s="1547">
        <f>IF('6.2'!E46=0,"",'6.2'!E46)</f>
        <v>4816993883</v>
      </c>
      <c r="C46" s="1545">
        <v>253617756</v>
      </c>
      <c r="D46" s="1545">
        <v>166396630</v>
      </c>
      <c r="E46" s="1547">
        <f t="shared" si="3"/>
        <v>420014386</v>
      </c>
      <c r="F46" s="1855">
        <f t="shared" si="4"/>
        <v>5237008269</v>
      </c>
      <c r="G46" s="1854">
        <f t="shared" si="5"/>
        <v>8.0201207335538774E-2</v>
      </c>
      <c r="H46" s="1545">
        <v>2919099.9827000001</v>
      </c>
      <c r="I46" s="852"/>
    </row>
    <row r="47" spans="1:9" ht="11.25" customHeight="1">
      <c r="A47" s="723" t="s">
        <v>57</v>
      </c>
      <c r="B47" s="1547">
        <f>IF('6.2'!E47=0,"",'6.2'!E47)</f>
        <v>6786118600</v>
      </c>
      <c r="C47" s="1545">
        <v>186942300</v>
      </c>
      <c r="D47" s="1545">
        <v>247450400</v>
      </c>
      <c r="E47" s="1547">
        <f t="shared" si="3"/>
        <v>434392700</v>
      </c>
      <c r="F47" s="1855">
        <f t="shared" si="4"/>
        <v>7220511300</v>
      </c>
      <c r="G47" s="1854">
        <f t="shared" si="5"/>
        <v>6.016093347849203E-2</v>
      </c>
      <c r="H47" s="1545">
        <v>2302281.31</v>
      </c>
      <c r="I47" s="852"/>
    </row>
    <row r="48" spans="1:9" ht="11.25" customHeight="1">
      <c r="A48" s="723" t="s">
        <v>59</v>
      </c>
      <c r="B48" s="1547">
        <f>IF('6.2'!E48=0,"",'6.2'!E48)</f>
        <v>1669828600</v>
      </c>
      <c r="C48" s="1545">
        <v>130130600</v>
      </c>
      <c r="D48" s="1545">
        <v>102940700</v>
      </c>
      <c r="E48" s="1547">
        <f t="shared" si="3"/>
        <v>233071300</v>
      </c>
      <c r="F48" s="1855">
        <f t="shared" si="4"/>
        <v>1902899900</v>
      </c>
      <c r="G48" s="1854">
        <f t="shared" si="5"/>
        <v>0.12248216524684247</v>
      </c>
      <c r="H48" s="1545">
        <v>1375120.67</v>
      </c>
      <c r="I48" s="852"/>
    </row>
    <row r="49" spans="1:9" ht="11.25" customHeight="1">
      <c r="A49" s="723" t="s">
        <v>61</v>
      </c>
      <c r="B49" s="1547">
        <f>IF('6.2'!E49=0,"",'6.2'!E49)</f>
        <v>2503270349</v>
      </c>
      <c r="C49" s="1545">
        <v>129259400</v>
      </c>
      <c r="D49" s="1545">
        <v>134456596</v>
      </c>
      <c r="E49" s="1547">
        <f t="shared" si="3"/>
        <v>263715996</v>
      </c>
      <c r="F49" s="1855">
        <f t="shared" si="4"/>
        <v>2766986345</v>
      </c>
      <c r="G49" s="1854">
        <f t="shared" si="5"/>
        <v>9.530802220131665E-2</v>
      </c>
      <c r="H49" s="1545">
        <v>2162472</v>
      </c>
      <c r="I49" s="852"/>
    </row>
    <row r="50" spans="1:9" ht="11.25" customHeight="1">
      <c r="A50" s="725" t="s">
        <v>63</v>
      </c>
      <c r="B50" s="1856">
        <f>IF('6.2'!E50=0,"",'6.2'!E50)</f>
        <v>661206020</v>
      </c>
      <c r="C50" s="1545">
        <v>542403200</v>
      </c>
      <c r="D50" s="1545">
        <v>29766500</v>
      </c>
      <c r="E50" s="1856">
        <f t="shared" si="3"/>
        <v>572169700</v>
      </c>
      <c r="F50" s="1857">
        <f t="shared" si="4"/>
        <v>1233375720</v>
      </c>
      <c r="G50" s="1858">
        <f t="shared" si="5"/>
        <v>0.46390543507699339</v>
      </c>
      <c r="H50" s="1545">
        <v>3833536.99</v>
      </c>
      <c r="I50" s="852"/>
    </row>
    <row r="51" spans="1:9" ht="18" customHeight="1">
      <c r="A51" s="723" t="s">
        <v>328</v>
      </c>
      <c r="B51" s="1547">
        <f>IF('6.2'!E51=0,"",'6.2'!E51)</f>
        <v>2886628498</v>
      </c>
      <c r="C51" s="1545">
        <v>173658657</v>
      </c>
      <c r="D51" s="1545">
        <v>198775423</v>
      </c>
      <c r="E51" s="1547">
        <f t="shared" si="3"/>
        <v>372434080</v>
      </c>
      <c r="F51" s="1855">
        <f t="shared" si="4"/>
        <v>3259062578</v>
      </c>
      <c r="G51" s="1854">
        <f t="shared" si="5"/>
        <v>0.11427644332885221</v>
      </c>
      <c r="H51" s="1545">
        <v>1862170.4</v>
      </c>
      <c r="I51" s="852"/>
    </row>
    <row r="52" spans="1:9" ht="11.25" customHeight="1">
      <c r="A52" s="723" t="s">
        <v>67</v>
      </c>
      <c r="B52" s="1547">
        <f>IF('6.2'!E52=0,"",'6.2'!E52)</f>
        <v>18347317522</v>
      </c>
      <c r="C52" s="1545">
        <v>1213744901</v>
      </c>
      <c r="D52" s="1545">
        <v>451062440</v>
      </c>
      <c r="E52" s="1547">
        <f t="shared" si="3"/>
        <v>1664807341</v>
      </c>
      <c r="F52" s="1855">
        <f t="shared" si="4"/>
        <v>20012124863</v>
      </c>
      <c r="G52" s="1854">
        <f t="shared" si="5"/>
        <v>8.3189933722531764E-2</v>
      </c>
      <c r="H52" s="1545">
        <v>13484939.462100001</v>
      </c>
      <c r="I52" s="852"/>
    </row>
    <row r="53" spans="1:9" ht="11.25" customHeight="1">
      <c r="A53" s="723" t="s">
        <v>69</v>
      </c>
      <c r="B53" s="1547">
        <f>IF('6.2'!E53=0,"",'6.2'!E53)</f>
        <v>44306789100</v>
      </c>
      <c r="C53" s="1545">
        <v>2470284800</v>
      </c>
      <c r="D53" s="1545">
        <v>1718482100</v>
      </c>
      <c r="E53" s="1547">
        <f t="shared" si="3"/>
        <v>4188766900</v>
      </c>
      <c r="F53" s="1855">
        <f t="shared" si="4"/>
        <v>48495556000</v>
      </c>
      <c r="G53" s="1854">
        <f t="shared" si="5"/>
        <v>8.6374242208914973E-2</v>
      </c>
      <c r="H53" s="1545">
        <v>36442272.030000001</v>
      </c>
      <c r="I53" s="852"/>
    </row>
    <row r="54" spans="1:9" ht="11.25" customHeight="1">
      <c r="A54" s="723" t="s">
        <v>71</v>
      </c>
      <c r="B54" s="1547">
        <f>IF('6.2'!E54=0,"",'6.2'!E54)</f>
        <v>3013234982</v>
      </c>
      <c r="C54" s="1545">
        <v>217136100</v>
      </c>
      <c r="D54" s="1545">
        <v>372643500</v>
      </c>
      <c r="E54" s="1547">
        <f t="shared" si="3"/>
        <v>589779600</v>
      </c>
      <c r="F54" s="1855">
        <f t="shared" si="4"/>
        <v>3603014582</v>
      </c>
      <c r="G54" s="1854">
        <f t="shared" si="5"/>
        <v>0.16369059479981865</v>
      </c>
      <c r="H54" s="1545">
        <v>3273276.7800000003</v>
      </c>
      <c r="I54" s="852"/>
    </row>
    <row r="55" spans="1:9" ht="11.25" customHeight="1">
      <c r="A55" s="723" t="s">
        <v>344</v>
      </c>
      <c r="B55" s="1547">
        <f>IF('6.2'!E55=0,"",'6.2'!E55)</f>
        <v>675001962</v>
      </c>
      <c r="C55" s="1545">
        <v>61295000</v>
      </c>
      <c r="D55" s="1545">
        <v>25525000</v>
      </c>
      <c r="E55" s="1547">
        <f t="shared" si="3"/>
        <v>86820000</v>
      </c>
      <c r="F55" s="1855">
        <f t="shared" si="4"/>
        <v>761821962</v>
      </c>
      <c r="G55" s="1854">
        <f t="shared" si="5"/>
        <v>0.11396363498378641</v>
      </c>
      <c r="H55" s="1545">
        <v>416736</v>
      </c>
      <c r="I55" s="852"/>
    </row>
    <row r="56" spans="1:9" ht="18" customHeight="1">
      <c r="A56" s="723" t="s">
        <v>74</v>
      </c>
      <c r="B56" s="1547">
        <f>IF('6.2'!E56=0,"",'6.2'!E56)</f>
        <v>5123310978</v>
      </c>
      <c r="C56" s="1545">
        <v>115644300</v>
      </c>
      <c r="D56" s="1545">
        <v>228139000</v>
      </c>
      <c r="E56" s="1547">
        <f t="shared" si="3"/>
        <v>343783300</v>
      </c>
      <c r="F56" s="1855">
        <f t="shared" si="4"/>
        <v>5467094278</v>
      </c>
      <c r="G56" s="1854">
        <f t="shared" si="5"/>
        <v>6.2882270273518046E-2</v>
      </c>
      <c r="H56" s="1545">
        <v>2922158.05</v>
      </c>
      <c r="I56" s="852"/>
    </row>
    <row r="57" spans="1:9" ht="11.25" customHeight="1">
      <c r="A57" s="723" t="s">
        <v>352</v>
      </c>
      <c r="B57" s="1547">
        <f>IF('6.2'!E57=0,"",'6.2'!E57)</f>
        <v>12736168900</v>
      </c>
      <c r="C57" s="1545">
        <v>591390600</v>
      </c>
      <c r="D57" s="1545">
        <v>162465900</v>
      </c>
      <c r="E57" s="1547">
        <f t="shared" si="3"/>
        <v>753856500</v>
      </c>
      <c r="F57" s="1855">
        <f t="shared" si="4"/>
        <v>13490025400</v>
      </c>
      <c r="G57" s="1854">
        <f t="shared" si="5"/>
        <v>5.5882511533299262E-2</v>
      </c>
      <c r="H57" s="1545">
        <v>6332394.5999999996</v>
      </c>
      <c r="I57" s="852"/>
    </row>
    <row r="58" spans="1:9" ht="11.25" customHeight="1">
      <c r="A58" s="723" t="s">
        <v>78</v>
      </c>
      <c r="B58" s="1547">
        <f>IF('6.2'!E58=0,"",'6.2'!E58)</f>
        <v>915358700</v>
      </c>
      <c r="C58" s="1545">
        <v>27094800</v>
      </c>
      <c r="D58" s="1545">
        <v>41475500</v>
      </c>
      <c r="E58" s="1547">
        <f t="shared" si="3"/>
        <v>68570300</v>
      </c>
      <c r="F58" s="1855">
        <f t="shared" si="4"/>
        <v>983929000</v>
      </c>
      <c r="G58" s="1854">
        <f t="shared" si="5"/>
        <v>6.9690292693883396E-2</v>
      </c>
      <c r="H58" s="1545">
        <v>363422.59</v>
      </c>
      <c r="I58" s="852"/>
    </row>
    <row r="59" spans="1:9" ht="11.25" customHeight="1">
      <c r="A59" s="723" t="s">
        <v>80</v>
      </c>
      <c r="B59" s="1547">
        <f>IF('6.2'!E59=0,"",'6.2'!E59)</f>
        <v>3098935037</v>
      </c>
      <c r="C59" s="1545">
        <v>1223768900</v>
      </c>
      <c r="D59" s="1545">
        <v>62619300</v>
      </c>
      <c r="E59" s="1547">
        <f t="shared" si="3"/>
        <v>1286388200</v>
      </c>
      <c r="F59" s="1855">
        <f t="shared" si="4"/>
        <v>4385323237</v>
      </c>
      <c r="G59" s="1854">
        <f t="shared" si="5"/>
        <v>0.29333942573410354</v>
      </c>
      <c r="H59" s="1545">
        <v>9390633.8600000013</v>
      </c>
      <c r="I59" s="852"/>
    </row>
    <row r="60" spans="1:9" ht="11.25" customHeight="1">
      <c r="A60" s="723" t="s">
        <v>364</v>
      </c>
      <c r="B60" s="1547">
        <f>IF('6.2'!E60=0,"",'6.2'!E60)</f>
        <v>1454891622</v>
      </c>
      <c r="C60" s="1545">
        <v>40234935</v>
      </c>
      <c r="D60" s="1545">
        <v>44355158</v>
      </c>
      <c r="E60" s="1547">
        <f t="shared" si="3"/>
        <v>84590093</v>
      </c>
      <c r="F60" s="1855">
        <f t="shared" si="4"/>
        <v>1539481715</v>
      </c>
      <c r="G60" s="1854">
        <f t="shared" si="5"/>
        <v>5.4947124201471922E-2</v>
      </c>
      <c r="H60" s="1545">
        <v>727474.79979999992</v>
      </c>
      <c r="I60" s="852"/>
    </row>
    <row r="61" spans="1:9" ht="18" customHeight="1">
      <c r="A61" s="723" t="s">
        <v>84</v>
      </c>
      <c r="B61" s="1547">
        <f>IF('6.2'!E61=0,"",'6.2'!E61)</f>
        <v>2701444800</v>
      </c>
      <c r="C61" s="1545">
        <v>47471300</v>
      </c>
      <c r="D61" s="1545">
        <v>78178000</v>
      </c>
      <c r="E61" s="1547">
        <f t="shared" si="3"/>
        <v>125649300</v>
      </c>
      <c r="F61" s="1855">
        <f t="shared" si="4"/>
        <v>2827094100</v>
      </c>
      <c r="G61" s="1854">
        <f t="shared" si="5"/>
        <v>4.4444682615976595E-2</v>
      </c>
      <c r="H61" s="1545">
        <v>791590.59000000008</v>
      </c>
      <c r="I61" s="852"/>
    </row>
    <row r="62" spans="1:9" ht="11.25" customHeight="1">
      <c r="A62" s="723" t="s">
        <v>86</v>
      </c>
      <c r="B62" s="1547">
        <f>IF('6.2'!E62=0,"",'6.2'!E62)</f>
        <v>970192882</v>
      </c>
      <c r="C62" s="1545">
        <v>160886178</v>
      </c>
      <c r="D62" s="1545">
        <v>83052000</v>
      </c>
      <c r="E62" s="1547">
        <f t="shared" si="3"/>
        <v>243938178</v>
      </c>
      <c r="F62" s="1855">
        <f t="shared" si="4"/>
        <v>1214131060</v>
      </c>
      <c r="G62" s="1854">
        <f t="shared" si="5"/>
        <v>0.20091585335112011</v>
      </c>
      <c r="H62" s="1545">
        <v>1509245.5072860001</v>
      </c>
      <c r="I62" s="852"/>
    </row>
    <row r="63" spans="1:9" ht="11.25" customHeight="1">
      <c r="A63" s="723" t="s">
        <v>88</v>
      </c>
      <c r="B63" s="1547">
        <f>IF('6.2'!E63=0,"",'6.2'!E63)</f>
        <v>96925770936</v>
      </c>
      <c r="C63" s="1545">
        <v>5503143420</v>
      </c>
      <c r="D63" s="1545">
        <v>2073802158</v>
      </c>
      <c r="E63" s="1547">
        <f t="shared" si="3"/>
        <v>7576945578</v>
      </c>
      <c r="F63" s="1855">
        <f t="shared" si="4"/>
        <v>104502716514</v>
      </c>
      <c r="G63" s="1854">
        <f t="shared" si="5"/>
        <v>7.2504771461945047E-2</v>
      </c>
      <c r="H63" s="1545">
        <v>74254066.664399996</v>
      </c>
      <c r="I63" s="852"/>
    </row>
    <row r="64" spans="1:9" ht="11.25" customHeight="1">
      <c r="A64" s="723" t="s">
        <v>90</v>
      </c>
      <c r="B64" s="1547">
        <f>IF('6.2'!E64=0,"",'6.2'!E64)</f>
        <v>6223940200</v>
      </c>
      <c r="C64" s="1545">
        <v>66269100</v>
      </c>
      <c r="D64" s="1545">
        <v>130400700</v>
      </c>
      <c r="E64" s="1547">
        <f t="shared" si="3"/>
        <v>196669800</v>
      </c>
      <c r="F64" s="1855">
        <f t="shared" si="4"/>
        <v>6420610000</v>
      </c>
      <c r="G64" s="1854">
        <f t="shared" si="5"/>
        <v>3.0631014810119289E-2</v>
      </c>
      <c r="H64" s="1545">
        <v>1416022.5599999998</v>
      </c>
      <c r="I64" s="852"/>
    </row>
    <row r="65" spans="1:9" ht="11.25" customHeight="1">
      <c r="A65" s="723" t="s">
        <v>92</v>
      </c>
      <c r="B65" s="1547">
        <f>IF('6.2'!E65=0,"",'6.2'!E65)</f>
        <v>946918700</v>
      </c>
      <c r="C65" s="1545">
        <v>45096900</v>
      </c>
      <c r="D65" s="1545">
        <v>52965200</v>
      </c>
      <c r="E65" s="1547">
        <f t="shared" si="3"/>
        <v>98062100</v>
      </c>
      <c r="F65" s="1855">
        <f t="shared" si="4"/>
        <v>1044980800</v>
      </c>
      <c r="G65" s="1854">
        <f t="shared" si="5"/>
        <v>9.3841054304538415E-2</v>
      </c>
      <c r="H65" s="1545">
        <v>372635.98</v>
      </c>
      <c r="I65" s="852"/>
    </row>
    <row r="66" spans="1:9" ht="18" customHeight="1">
      <c r="A66" s="723" t="s">
        <v>94</v>
      </c>
      <c r="B66" s="1547">
        <f>IF('6.2'!E66=0,"",'6.2'!E66)</f>
        <v>2303651700</v>
      </c>
      <c r="C66" s="1545">
        <v>106998100</v>
      </c>
      <c r="D66" s="1545">
        <v>239491800</v>
      </c>
      <c r="E66" s="1547">
        <f t="shared" si="3"/>
        <v>346489900</v>
      </c>
      <c r="F66" s="1855">
        <f t="shared" si="4"/>
        <v>2650141600</v>
      </c>
      <c r="G66" s="1854">
        <f t="shared" si="5"/>
        <v>0.13074391949471681</v>
      </c>
      <c r="H66" s="1545">
        <v>2564025.2599999998</v>
      </c>
      <c r="I66" s="852"/>
    </row>
    <row r="67" spans="1:9" ht="11.25" customHeight="1">
      <c r="A67" s="723" t="s">
        <v>96</v>
      </c>
      <c r="B67" s="1547">
        <f>IF('6.2'!E67=0,"",'6.2'!E67)</f>
        <v>1636877300</v>
      </c>
      <c r="C67" s="1545">
        <v>14015000</v>
      </c>
      <c r="D67" s="1545">
        <v>56752100</v>
      </c>
      <c r="E67" s="1547">
        <f t="shared" si="3"/>
        <v>70767100</v>
      </c>
      <c r="F67" s="1855">
        <f t="shared" si="4"/>
        <v>1707644400</v>
      </c>
      <c r="G67" s="1854">
        <f t="shared" si="5"/>
        <v>4.1441356291743177E-2</v>
      </c>
      <c r="H67" s="1545">
        <v>456447.79499999998</v>
      </c>
      <c r="I67" s="852"/>
    </row>
    <row r="68" spans="1:9" ht="11.25" customHeight="1">
      <c r="A68" s="723" t="s">
        <v>98</v>
      </c>
      <c r="B68" s="1547">
        <f>IF('6.2'!E68=0,"",'6.2'!E68)</f>
        <v>4681566300</v>
      </c>
      <c r="C68" s="1545">
        <v>213675400</v>
      </c>
      <c r="D68" s="1545">
        <v>237266400</v>
      </c>
      <c r="E68" s="1547">
        <f t="shared" si="3"/>
        <v>450941800</v>
      </c>
      <c r="F68" s="1855">
        <f t="shared" si="4"/>
        <v>5132508100</v>
      </c>
      <c r="G68" s="1854">
        <f t="shared" si="5"/>
        <v>8.7859929534256365E-2</v>
      </c>
      <c r="H68" s="1545">
        <v>1893955.56</v>
      </c>
      <c r="I68" s="852"/>
    </row>
    <row r="69" spans="1:9" ht="11.25" customHeight="1">
      <c r="A69" s="723" t="s">
        <v>100</v>
      </c>
      <c r="B69" s="1547">
        <f>IF('6.2'!E69=0,"",'6.2'!E69)</f>
        <v>2294250800</v>
      </c>
      <c r="C69" s="1545">
        <v>34512900</v>
      </c>
      <c r="D69" s="1545">
        <v>82719600</v>
      </c>
      <c r="E69" s="1547">
        <f t="shared" si="3"/>
        <v>117232500</v>
      </c>
      <c r="F69" s="1855">
        <f t="shared" si="4"/>
        <v>2411483300</v>
      </c>
      <c r="G69" s="1854">
        <f t="shared" si="5"/>
        <v>4.8614269897701554E-2</v>
      </c>
      <c r="H69" s="1545">
        <v>726841.5</v>
      </c>
      <c r="I69" s="852"/>
    </row>
    <row r="70" spans="1:9" ht="11.25" customHeight="1">
      <c r="A70" s="723" t="s">
        <v>102</v>
      </c>
      <c r="B70" s="1547">
        <f>IF('6.2'!E70=0,"",'6.2'!E70)</f>
        <v>8937288500</v>
      </c>
      <c r="C70" s="1545">
        <v>884998100</v>
      </c>
      <c r="D70" s="1545">
        <v>3401067300</v>
      </c>
      <c r="E70" s="1547">
        <f t="shared" si="3"/>
        <v>4286065400</v>
      </c>
      <c r="F70" s="1855">
        <f t="shared" si="4"/>
        <v>13223353900</v>
      </c>
      <c r="G70" s="1854">
        <f t="shared" si="5"/>
        <v>0.32412846486699565</v>
      </c>
      <c r="H70" s="1545">
        <v>38145893.060000002</v>
      </c>
      <c r="I70" s="852"/>
    </row>
    <row r="71" spans="1:9" ht="15.5">
      <c r="A71" s="908" t="s">
        <v>857</v>
      </c>
      <c r="B71" s="1550"/>
      <c r="C71" s="1550"/>
      <c r="D71" s="1550"/>
      <c r="E71" s="1550"/>
      <c r="F71" s="1591"/>
      <c r="G71" s="1550"/>
      <c r="H71" s="1550"/>
    </row>
    <row r="72" spans="1:9" ht="13">
      <c r="A72" s="938" t="str">
        <f>A37</f>
        <v>Comparison of Tax Exempt Value to Total Fair Market Value (FMV) of Real Estate by Locality - Tax Year 2021</v>
      </c>
      <c r="B72" s="1574"/>
      <c r="C72" s="1574"/>
      <c r="D72" s="1574"/>
      <c r="E72" s="1574"/>
      <c r="F72" s="1592"/>
      <c r="G72" s="1574"/>
      <c r="H72" s="1574"/>
    </row>
    <row r="73" spans="1:9" s="738" customFormat="1" ht="6" customHeight="1" thickBot="1">
      <c r="A73" s="727"/>
      <c r="B73" s="1543"/>
      <c r="C73" s="1543"/>
      <c r="D73" s="1543"/>
      <c r="E73" s="1543"/>
      <c r="F73" s="1543"/>
      <c r="G73" s="1543"/>
      <c r="H73" s="1543"/>
      <c r="I73" s="850"/>
    </row>
    <row r="74" spans="1:9" ht="12" customHeight="1">
      <c r="A74" s="854"/>
      <c r="B74" s="1566"/>
      <c r="C74" s="1596" t="s">
        <v>848</v>
      </c>
      <c r="D74" s="1590"/>
      <c r="E74" s="1590"/>
      <c r="F74" s="1566"/>
      <c r="G74" s="1566"/>
      <c r="H74" s="1566"/>
    </row>
    <row r="75" spans="1:9" ht="24" customHeight="1">
      <c r="A75" s="1403" t="s">
        <v>21</v>
      </c>
      <c r="B75" s="1482" t="s">
        <v>1051</v>
      </c>
      <c r="C75" s="1480" t="s">
        <v>853</v>
      </c>
      <c r="D75" s="1480" t="s">
        <v>854</v>
      </c>
      <c r="E75" s="1480" t="s">
        <v>855</v>
      </c>
      <c r="F75" s="1482" t="s">
        <v>1052</v>
      </c>
      <c r="G75" s="1482" t="s">
        <v>1050</v>
      </c>
      <c r="H75" s="1482" t="s">
        <v>1053</v>
      </c>
    </row>
    <row r="76" spans="1:9" ht="18" customHeight="1">
      <c r="A76" s="723" t="s">
        <v>104</v>
      </c>
      <c r="B76" s="1852">
        <f>IF('6.2'!E76=0,"",'6.2'!E76)</f>
        <v>3013120750</v>
      </c>
      <c r="C76" s="1544">
        <v>90666200</v>
      </c>
      <c r="D76" s="1544">
        <v>122180800</v>
      </c>
      <c r="E76" s="1852">
        <f t="shared" ref="E76:E105" si="6">IF(SUM(C76:D76)=0,"",SUM(C76:D76))</f>
        <v>212847000</v>
      </c>
      <c r="F76" s="1853">
        <f t="shared" ref="F76:F105" si="7">IFERROR(B76+E76,"")</f>
        <v>3225967750</v>
      </c>
      <c r="G76" s="1854">
        <f t="shared" ref="G76:G105" si="8">IFERROR(E76/F76,"")</f>
        <v>6.5979270871508247E-2</v>
      </c>
      <c r="H76" s="1544">
        <v>1532498.4</v>
      </c>
      <c r="I76" s="852"/>
    </row>
    <row r="77" spans="1:9" ht="11.25" customHeight="1">
      <c r="A77" s="723" t="s">
        <v>404</v>
      </c>
      <c r="B77" s="1547">
        <f>IF('6.2'!E77=0,"",'6.2'!E77)</f>
        <v>3525886466</v>
      </c>
      <c r="C77" s="1545">
        <v>317934858</v>
      </c>
      <c r="D77" s="1545">
        <v>157529800</v>
      </c>
      <c r="E77" s="1547">
        <f t="shared" si="6"/>
        <v>475464658</v>
      </c>
      <c r="F77" s="1855">
        <f t="shared" si="7"/>
        <v>4001351124</v>
      </c>
      <c r="G77" s="1854">
        <f t="shared" si="8"/>
        <v>0.11882602732566391</v>
      </c>
      <c r="H77" s="1545">
        <v>3756170.7982000001</v>
      </c>
      <c r="I77" s="852"/>
    </row>
    <row r="78" spans="1:9" ht="11.25" customHeight="1">
      <c r="A78" s="723" t="s">
        <v>108</v>
      </c>
      <c r="B78" s="1547">
        <f>IF('6.2'!E78=0,"",'6.2'!E78)</f>
        <v>2079789400</v>
      </c>
      <c r="C78" s="1545">
        <v>187084900</v>
      </c>
      <c r="D78" s="1545">
        <v>365487900</v>
      </c>
      <c r="E78" s="1547">
        <f t="shared" si="6"/>
        <v>552572800</v>
      </c>
      <c r="F78" s="1855">
        <f t="shared" si="7"/>
        <v>2632362200</v>
      </c>
      <c r="G78" s="1854">
        <f t="shared" si="8"/>
        <v>0.20991518568379383</v>
      </c>
      <c r="H78" s="1545">
        <v>4613982.88</v>
      </c>
      <c r="I78" s="852"/>
    </row>
    <row r="79" spans="1:9" ht="11.25" customHeight="1">
      <c r="A79" s="723" t="s">
        <v>110</v>
      </c>
      <c r="B79" s="1547">
        <f>IF('6.2'!E79=0,"",'6.2'!E79)</f>
        <v>2955074500</v>
      </c>
      <c r="C79" s="1545">
        <v>14741100</v>
      </c>
      <c r="D79" s="1545">
        <v>75938500</v>
      </c>
      <c r="E79" s="1547">
        <f t="shared" si="6"/>
        <v>90679600</v>
      </c>
      <c r="F79" s="1855">
        <f t="shared" si="7"/>
        <v>3045754100</v>
      </c>
      <c r="G79" s="1854">
        <f t="shared" si="8"/>
        <v>2.9772462589806578E-2</v>
      </c>
      <c r="H79" s="1545">
        <v>553145.55999999994</v>
      </c>
      <c r="I79" s="852"/>
    </row>
    <row r="80" spans="1:9" ht="11.25" customHeight="1">
      <c r="A80" s="723" t="s">
        <v>112</v>
      </c>
      <c r="B80" s="1547">
        <f>IF('6.2'!E80=0,"",'6.2'!E80)</f>
        <v>993190344</v>
      </c>
      <c r="C80" s="1545">
        <v>158617969</v>
      </c>
      <c r="D80" s="1545">
        <v>78680383</v>
      </c>
      <c r="E80" s="1547">
        <f t="shared" si="6"/>
        <v>237298352</v>
      </c>
      <c r="F80" s="1855">
        <f t="shared" si="7"/>
        <v>1230488696</v>
      </c>
      <c r="G80" s="1854">
        <f t="shared" si="8"/>
        <v>0.19284886791028269</v>
      </c>
      <c r="H80" s="1545">
        <v>1139032.1200000001</v>
      </c>
      <c r="I80" s="852"/>
    </row>
    <row r="81" spans="1:9" ht="18" customHeight="1">
      <c r="A81" s="723" t="s">
        <v>114</v>
      </c>
      <c r="B81" s="1547">
        <f>IF('6.2'!E81=0,"",'6.2'!E81)</f>
        <v>5008344800</v>
      </c>
      <c r="C81" s="1545">
        <v>371974400</v>
      </c>
      <c r="D81" s="1545">
        <v>112530200</v>
      </c>
      <c r="E81" s="1547">
        <f t="shared" si="6"/>
        <v>484504600</v>
      </c>
      <c r="F81" s="1855">
        <f t="shared" si="7"/>
        <v>5492849400</v>
      </c>
      <c r="G81" s="1854">
        <f t="shared" si="8"/>
        <v>8.820642342752015E-2</v>
      </c>
      <c r="H81" s="1545">
        <v>3488433.1199999996</v>
      </c>
      <c r="I81" s="852"/>
    </row>
    <row r="82" spans="1:9" ht="11.25" customHeight="1">
      <c r="A82" s="723" t="s">
        <v>116</v>
      </c>
      <c r="B82" s="1547">
        <f>IF('6.2'!E82=0,"",'6.2'!E82)</f>
        <v>2780528800</v>
      </c>
      <c r="C82" s="1545">
        <v>256904800</v>
      </c>
      <c r="D82" s="1545">
        <v>191489200</v>
      </c>
      <c r="E82" s="1547">
        <f t="shared" si="6"/>
        <v>448394000</v>
      </c>
      <c r="F82" s="1855">
        <f t="shared" si="7"/>
        <v>3228922800</v>
      </c>
      <c r="G82" s="1854">
        <f t="shared" si="8"/>
        <v>0.13886798408435161</v>
      </c>
      <c r="H82" s="1545">
        <v>3273276.2</v>
      </c>
      <c r="I82" s="852"/>
    </row>
    <row r="83" spans="1:9" ht="11.25" customHeight="1">
      <c r="A83" s="723" t="s">
        <v>117</v>
      </c>
      <c r="B83" s="1547">
        <f>IF('6.2'!E83=0,"",'6.2'!E83)</f>
        <v>1603258900</v>
      </c>
      <c r="C83" s="1545">
        <v>44369900</v>
      </c>
      <c r="D83" s="1545">
        <v>100411500</v>
      </c>
      <c r="E83" s="1547">
        <f t="shared" si="6"/>
        <v>144781400</v>
      </c>
      <c r="F83" s="1855">
        <f t="shared" si="7"/>
        <v>1748040300</v>
      </c>
      <c r="G83" s="1854">
        <f t="shared" si="8"/>
        <v>8.28249783486113E-2</v>
      </c>
      <c r="H83" s="1545">
        <v>984513.52</v>
      </c>
      <c r="I83" s="852"/>
    </row>
    <row r="84" spans="1:9" ht="11.25" customHeight="1">
      <c r="A84" s="723" t="s">
        <v>119</v>
      </c>
      <c r="B84" s="1547">
        <f>IF('6.2'!E84=0,"",'6.2'!E84)</f>
        <v>4892438500</v>
      </c>
      <c r="C84" s="1545">
        <v>168384700</v>
      </c>
      <c r="D84" s="1545">
        <v>443339500</v>
      </c>
      <c r="E84" s="1547">
        <f t="shared" si="6"/>
        <v>611724200</v>
      </c>
      <c r="F84" s="1855">
        <f t="shared" si="7"/>
        <v>5504162700</v>
      </c>
      <c r="G84" s="1854">
        <f t="shared" si="8"/>
        <v>0.11113846616489008</v>
      </c>
      <c r="H84" s="1545">
        <v>3792690.04</v>
      </c>
      <c r="I84" s="852"/>
    </row>
    <row r="85" spans="1:9" ht="11.25" customHeight="1">
      <c r="A85" s="723" t="s">
        <v>121</v>
      </c>
      <c r="B85" s="1547">
        <f>IF('6.2'!E85=0,"",'6.2'!E85)</f>
        <v>4409669700</v>
      </c>
      <c r="C85" s="1545">
        <v>118652100</v>
      </c>
      <c r="D85" s="1545">
        <v>191990500</v>
      </c>
      <c r="E85" s="1547">
        <f t="shared" si="6"/>
        <v>310642600</v>
      </c>
      <c r="F85" s="1855">
        <f t="shared" si="7"/>
        <v>4720312300</v>
      </c>
      <c r="G85" s="1854">
        <f t="shared" si="8"/>
        <v>6.5809755850264398E-2</v>
      </c>
      <c r="H85" s="1545">
        <v>1227038.27</v>
      </c>
      <c r="I85" s="852"/>
    </row>
    <row r="86" spans="1:9" ht="18" customHeight="1">
      <c r="A86" s="723" t="s">
        <v>122</v>
      </c>
      <c r="B86" s="1547">
        <f>IF('6.2'!E86=0,"",'6.2'!E86)</f>
        <v>1852830483</v>
      </c>
      <c r="C86" s="1545">
        <v>160105500</v>
      </c>
      <c r="D86" s="1545">
        <v>790486600</v>
      </c>
      <c r="E86" s="1547">
        <f t="shared" si="6"/>
        <v>950592100</v>
      </c>
      <c r="F86" s="1855">
        <f t="shared" si="7"/>
        <v>2803422583</v>
      </c>
      <c r="G86" s="1854">
        <f t="shared" si="8"/>
        <v>0.33908270046920713</v>
      </c>
      <c r="H86" s="1545">
        <v>4467782.87</v>
      </c>
      <c r="I86" s="852"/>
    </row>
    <row r="87" spans="1:9" ht="11.25" customHeight="1">
      <c r="A87" s="723" t="s">
        <v>124</v>
      </c>
      <c r="B87" s="1547">
        <f>IF('6.2'!E87=0,"",'6.2'!E87)</f>
        <v>3296015900</v>
      </c>
      <c r="C87" s="1545">
        <v>2544122100</v>
      </c>
      <c r="D87" s="1545">
        <v>118877200</v>
      </c>
      <c r="E87" s="1547">
        <f t="shared" si="6"/>
        <v>2662999300</v>
      </c>
      <c r="F87" s="1855">
        <f t="shared" si="7"/>
        <v>5959015200</v>
      </c>
      <c r="G87" s="1854">
        <f t="shared" si="8"/>
        <v>0.4468858042181198</v>
      </c>
      <c r="H87" s="1545">
        <v>22901793.98</v>
      </c>
      <c r="I87" s="852"/>
    </row>
    <row r="88" spans="1:9" ht="11.25" customHeight="1">
      <c r="A88" s="723" t="s">
        <v>126</v>
      </c>
      <c r="B88" s="1547">
        <f>IF('6.2'!E88=0,"",'6.2'!E88)</f>
        <v>71089652000</v>
      </c>
      <c r="C88" s="1545">
        <v>3565564700</v>
      </c>
      <c r="D88" s="1545">
        <v>2349783600</v>
      </c>
      <c r="E88" s="1547">
        <f t="shared" si="6"/>
        <v>5915348300</v>
      </c>
      <c r="F88" s="1855">
        <f t="shared" si="7"/>
        <v>77005000300</v>
      </c>
      <c r="G88" s="1854">
        <f t="shared" si="8"/>
        <v>7.6817716732091229E-2</v>
      </c>
      <c r="H88" s="1545">
        <v>65956133.545000002</v>
      </c>
      <c r="I88" s="852"/>
    </row>
    <row r="89" spans="1:9" ht="11.25" customHeight="1">
      <c r="A89" s="723" t="s">
        <v>128</v>
      </c>
      <c r="B89" s="1547">
        <f>IF('6.2'!E89=0,"",'6.2'!E89)</f>
        <v>3173658300</v>
      </c>
      <c r="C89" s="1545">
        <v>664943800</v>
      </c>
      <c r="D89" s="1545">
        <v>104505400</v>
      </c>
      <c r="E89" s="1547">
        <f t="shared" si="6"/>
        <v>769449200</v>
      </c>
      <c r="F89" s="1855">
        <f t="shared" si="7"/>
        <v>3943107500</v>
      </c>
      <c r="G89" s="1854">
        <f t="shared" si="8"/>
        <v>0.19513776887898693</v>
      </c>
      <c r="H89" s="1545">
        <v>5693924.0800000001</v>
      </c>
      <c r="I89" s="852"/>
    </row>
    <row r="90" spans="1:9" ht="11.25" customHeight="1">
      <c r="A90" s="723" t="s">
        <v>130</v>
      </c>
      <c r="B90" s="1547">
        <f>IF('6.2'!E90=0,"",'6.2'!E90)</f>
        <v>2515238700</v>
      </c>
      <c r="C90" s="1545">
        <v>94473200</v>
      </c>
      <c r="D90" s="1545">
        <v>36670200</v>
      </c>
      <c r="E90" s="1547">
        <f t="shared" si="6"/>
        <v>131143400</v>
      </c>
      <c r="F90" s="1855">
        <f t="shared" si="7"/>
        <v>2646382100</v>
      </c>
      <c r="G90" s="1854">
        <f t="shared" si="8"/>
        <v>4.9555731199965418E-2</v>
      </c>
      <c r="H90" s="1545">
        <v>721288.70000000007</v>
      </c>
      <c r="I90" s="852"/>
    </row>
    <row r="91" spans="1:9" ht="18" customHeight="1">
      <c r="A91" s="723" t="s">
        <v>132</v>
      </c>
      <c r="B91" s="1547">
        <f>IF('6.2'!E91=0,"",'6.2'!E91)</f>
        <v>908795837</v>
      </c>
      <c r="C91" s="1545">
        <v>73448798</v>
      </c>
      <c r="D91" s="1545">
        <v>57497844</v>
      </c>
      <c r="E91" s="1547">
        <f t="shared" si="6"/>
        <v>130946642</v>
      </c>
      <c r="F91" s="1855">
        <f t="shared" si="7"/>
        <v>1039742479</v>
      </c>
      <c r="G91" s="1854">
        <f t="shared" si="8"/>
        <v>0.12594141784602417</v>
      </c>
      <c r="H91" s="1545">
        <v>916626.49399999995</v>
      </c>
      <c r="I91" s="852"/>
    </row>
    <row r="92" spans="1:9" ht="11.25" customHeight="1">
      <c r="A92" s="723" t="s">
        <v>25</v>
      </c>
      <c r="B92" s="1547">
        <f>IF('6.2'!E92=0,"",'6.2'!E92)</f>
        <v>9484809100</v>
      </c>
      <c r="C92" s="1545">
        <v>695345800</v>
      </c>
      <c r="D92" s="1545">
        <v>261106100</v>
      </c>
      <c r="E92" s="1547">
        <f t="shared" si="6"/>
        <v>956451900</v>
      </c>
      <c r="F92" s="1855">
        <f t="shared" si="7"/>
        <v>10441261000</v>
      </c>
      <c r="G92" s="1854">
        <f t="shared" si="8"/>
        <v>9.1603102345588341E-2</v>
      </c>
      <c r="H92" s="1545">
        <v>10425325.710000001</v>
      </c>
      <c r="I92" s="852"/>
    </row>
    <row r="93" spans="1:9" ht="11.25" customHeight="1">
      <c r="A93" s="723" t="s">
        <v>134</v>
      </c>
      <c r="B93" s="1547">
        <f>IF('6.2'!E93=0,"",'6.2'!E93)</f>
        <v>3133477816</v>
      </c>
      <c r="C93" s="1545">
        <v>213531200</v>
      </c>
      <c r="D93" s="1545">
        <v>191081000</v>
      </c>
      <c r="E93" s="1547">
        <f t="shared" si="6"/>
        <v>404612200</v>
      </c>
      <c r="F93" s="1855">
        <f t="shared" si="7"/>
        <v>3538090016</v>
      </c>
      <c r="G93" s="1854">
        <f t="shared" si="8"/>
        <v>0.11435893325784734</v>
      </c>
      <c r="H93" s="1545">
        <v>2994130.28</v>
      </c>
      <c r="I93" s="852"/>
    </row>
    <row r="94" spans="1:9" ht="11.25" customHeight="1">
      <c r="A94" s="723" t="s">
        <v>135</v>
      </c>
      <c r="B94" s="1547">
        <f>IF('6.2'!E94=0,"",'6.2'!E94)</f>
        <v>12017287800</v>
      </c>
      <c r="C94" s="1545">
        <v>429639600</v>
      </c>
      <c r="D94" s="1545">
        <v>1127984200</v>
      </c>
      <c r="E94" s="1547">
        <f t="shared" si="6"/>
        <v>1557623800</v>
      </c>
      <c r="F94" s="1855">
        <f t="shared" si="7"/>
        <v>13574911600</v>
      </c>
      <c r="G94" s="1854">
        <f t="shared" si="8"/>
        <v>0.11474283191648924</v>
      </c>
      <c r="H94" s="1545">
        <v>11526416.120000001</v>
      </c>
      <c r="I94" s="852"/>
    </row>
    <row r="95" spans="1:9" ht="11.25" customHeight="1">
      <c r="A95" s="725" t="s">
        <v>137</v>
      </c>
      <c r="B95" s="1856">
        <f>IF('6.2'!E95=0,"",'6.2'!E95)</f>
        <v>1599140052</v>
      </c>
      <c r="C95" s="1545">
        <v>131188960</v>
      </c>
      <c r="D95" s="1545">
        <v>101730200</v>
      </c>
      <c r="E95" s="1856">
        <f t="shared" si="6"/>
        <v>232919160</v>
      </c>
      <c r="F95" s="1857">
        <f t="shared" si="7"/>
        <v>1832059212</v>
      </c>
      <c r="G95" s="1858">
        <f t="shared" si="8"/>
        <v>0.12713517034513838</v>
      </c>
      <c r="H95" s="1545">
        <v>1467390.7080000001</v>
      </c>
      <c r="I95" s="852"/>
    </row>
    <row r="96" spans="1:9" ht="18" customHeight="1">
      <c r="A96" s="723" t="s">
        <v>139</v>
      </c>
      <c r="B96" s="1545">
        <f>IF('6.2'!E96=0,"",'6.2'!E96)</f>
        <v>1252396100</v>
      </c>
      <c r="C96" s="1545">
        <v>128732500</v>
      </c>
      <c r="D96" s="1545">
        <v>162518000</v>
      </c>
      <c r="E96" s="1545">
        <f t="shared" si="6"/>
        <v>291250500</v>
      </c>
      <c r="F96" s="1859">
        <f t="shared" si="7"/>
        <v>1543646600</v>
      </c>
      <c r="G96" s="1860">
        <f t="shared" si="8"/>
        <v>0.18867692903284988</v>
      </c>
      <c r="H96" s="1545">
        <v>2330004</v>
      </c>
      <c r="I96" s="852"/>
    </row>
    <row r="97" spans="1:9" ht="11.25" customHeight="1">
      <c r="A97" s="723" t="s">
        <v>141</v>
      </c>
      <c r="B97" s="1547">
        <f>IF('6.2'!E97=0,"",'6.2'!E97)</f>
        <v>5113465298</v>
      </c>
      <c r="C97" s="1545">
        <v>606003600</v>
      </c>
      <c r="D97" s="1545">
        <v>211435600</v>
      </c>
      <c r="E97" s="1547">
        <f t="shared" si="6"/>
        <v>817439200</v>
      </c>
      <c r="F97" s="1855">
        <f t="shared" si="7"/>
        <v>5930904498</v>
      </c>
      <c r="G97" s="1854">
        <f t="shared" si="8"/>
        <v>0.13782707178570389</v>
      </c>
      <c r="H97" s="1545">
        <v>5640330.4799999995</v>
      </c>
      <c r="I97" s="852"/>
    </row>
    <row r="98" spans="1:9" ht="11.25" customHeight="1">
      <c r="A98" s="723" t="s">
        <v>143</v>
      </c>
      <c r="B98" s="1547">
        <f>IF('6.2'!E98=0,"",'6.2'!E98)</f>
        <v>1712813000</v>
      </c>
      <c r="C98" s="1545">
        <v>147104600</v>
      </c>
      <c r="D98" s="1545">
        <v>207070700</v>
      </c>
      <c r="E98" s="1547">
        <f t="shared" si="6"/>
        <v>354175300</v>
      </c>
      <c r="F98" s="1855">
        <f t="shared" si="7"/>
        <v>2066988300</v>
      </c>
      <c r="G98" s="1854">
        <f t="shared" si="8"/>
        <v>0.17134847836342373</v>
      </c>
      <c r="H98" s="1545">
        <v>2620897.2199999997</v>
      </c>
      <c r="I98" s="852"/>
    </row>
    <row r="99" spans="1:9" ht="11.25" customHeight="1">
      <c r="A99" s="723" t="s">
        <v>145</v>
      </c>
      <c r="B99" s="1547">
        <f>IF('6.2'!E99=0,"",'6.2'!E99)</f>
        <v>1851506100</v>
      </c>
      <c r="C99" s="1545">
        <v>163439800</v>
      </c>
      <c r="D99" s="1545">
        <v>157191800</v>
      </c>
      <c r="E99" s="1547">
        <f t="shared" si="6"/>
        <v>320631600</v>
      </c>
      <c r="F99" s="1855">
        <f t="shared" si="7"/>
        <v>2172137700</v>
      </c>
      <c r="G99" s="1854">
        <f t="shared" si="8"/>
        <v>0.14761108377245144</v>
      </c>
      <c r="H99" s="1545">
        <v>2853621.24</v>
      </c>
      <c r="I99" s="852"/>
    </row>
    <row r="100" spans="1:9" ht="11.25" customHeight="1">
      <c r="A100" s="723" t="s">
        <v>147</v>
      </c>
      <c r="B100" s="1547">
        <f>IF('6.2'!E100=0,"",'6.2'!E100)</f>
        <v>17389569800</v>
      </c>
      <c r="C100" s="1545">
        <v>702273400</v>
      </c>
      <c r="D100" s="1545">
        <v>207592000</v>
      </c>
      <c r="E100" s="1547">
        <f t="shared" si="6"/>
        <v>909865400</v>
      </c>
      <c r="F100" s="1855">
        <f t="shared" si="7"/>
        <v>18299435200</v>
      </c>
      <c r="G100" s="1854">
        <f t="shared" si="8"/>
        <v>4.9720955322162072E-2</v>
      </c>
      <c r="H100" s="1545">
        <v>7364450.5476000002</v>
      </c>
      <c r="I100" s="852"/>
    </row>
    <row r="101" spans="1:9" ht="18" customHeight="1">
      <c r="A101" s="723" t="s">
        <v>149</v>
      </c>
      <c r="B101" s="1547">
        <f>IF('6.2'!E101=0,"",'6.2'!E101)</f>
        <v>19424270200</v>
      </c>
      <c r="C101" s="1545">
        <v>1026939600</v>
      </c>
      <c r="D101" s="1545">
        <v>961439900</v>
      </c>
      <c r="E101" s="1547">
        <f t="shared" si="6"/>
        <v>1988379500</v>
      </c>
      <c r="F101" s="1855">
        <f t="shared" si="7"/>
        <v>21412649700</v>
      </c>
      <c r="G101" s="1854">
        <f t="shared" si="8"/>
        <v>9.2860039642828504E-2</v>
      </c>
      <c r="H101" s="1545">
        <v>19287281.149999999</v>
      </c>
      <c r="I101" s="852"/>
    </row>
    <row r="102" spans="1:9" ht="11.25" customHeight="1">
      <c r="A102" s="723" t="s">
        <v>151</v>
      </c>
      <c r="B102" s="1547">
        <f>IF('6.2'!E102=0,"",'6.2'!E102)</f>
        <v>964999000</v>
      </c>
      <c r="C102" s="1545">
        <v>59525000</v>
      </c>
      <c r="D102" s="1545">
        <v>63624900</v>
      </c>
      <c r="E102" s="1547">
        <f t="shared" si="6"/>
        <v>123149900</v>
      </c>
      <c r="F102" s="1855">
        <f t="shared" si="7"/>
        <v>1088148900</v>
      </c>
      <c r="G102" s="1854">
        <f t="shared" si="8"/>
        <v>0.11317375774583791</v>
      </c>
      <c r="H102" s="1545">
        <v>948254.23</v>
      </c>
      <c r="I102" s="852"/>
    </row>
    <row r="103" spans="1:9" ht="11.25" customHeight="1">
      <c r="A103" s="723" t="s">
        <v>153</v>
      </c>
      <c r="B103" s="1547">
        <f>IF('6.2'!E103=0,"",'6.2'!E103)</f>
        <v>898236922</v>
      </c>
      <c r="C103" s="1545">
        <v>211940100</v>
      </c>
      <c r="D103" s="1545">
        <v>73168600</v>
      </c>
      <c r="E103" s="1547">
        <f t="shared" si="6"/>
        <v>285108700</v>
      </c>
      <c r="F103" s="1855">
        <f t="shared" si="7"/>
        <v>1183345622</v>
      </c>
      <c r="G103" s="1854">
        <f t="shared" si="8"/>
        <v>0.24093442752433658</v>
      </c>
      <c r="H103" s="1545">
        <v>1653630.4599999997</v>
      </c>
      <c r="I103" s="852"/>
    </row>
    <row r="104" spans="1:9" ht="11.25" customHeight="1">
      <c r="A104" s="723" t="s">
        <v>155</v>
      </c>
      <c r="B104" s="1547">
        <f>IF('6.2'!E104=0,"",'6.2'!E104)</f>
        <v>2759453000</v>
      </c>
      <c r="C104" s="1545">
        <v>329963900</v>
      </c>
      <c r="D104" s="1545">
        <v>215454300</v>
      </c>
      <c r="E104" s="1547">
        <f t="shared" si="6"/>
        <v>545418200</v>
      </c>
      <c r="F104" s="1855">
        <f t="shared" si="7"/>
        <v>3304871200</v>
      </c>
      <c r="G104" s="1854">
        <f t="shared" si="8"/>
        <v>0.16503463130423962</v>
      </c>
      <c r="H104" s="1545">
        <v>3163425.5599999996</v>
      </c>
      <c r="I104" s="852"/>
    </row>
    <row r="105" spans="1:9">
      <c r="A105" s="723" t="s">
        <v>157</v>
      </c>
      <c r="B105" s="1547">
        <f>IF('6.2'!E105=0,"",'6.2'!E105)</f>
        <v>5186100300</v>
      </c>
      <c r="C105" s="1545">
        <v>415150400</v>
      </c>
      <c r="D105" s="1545">
        <v>449889100</v>
      </c>
      <c r="E105" s="1547">
        <f t="shared" si="6"/>
        <v>865039500</v>
      </c>
      <c r="F105" s="1855">
        <f t="shared" si="7"/>
        <v>6051139800</v>
      </c>
      <c r="G105" s="1854">
        <f t="shared" si="8"/>
        <v>0.14295480332482155</v>
      </c>
      <c r="H105" s="1545">
        <v>5666008.7249999996</v>
      </c>
      <c r="I105" s="852"/>
    </row>
    <row r="106" spans="1:9" ht="18" customHeight="1">
      <c r="A106" s="723" t="s">
        <v>159</v>
      </c>
      <c r="B106" s="1852">
        <f>IF('6.2'!E106=0,"",'6.2'!E106)</f>
        <v>5232275888</v>
      </c>
      <c r="C106" s="1544">
        <v>283263700</v>
      </c>
      <c r="D106" s="1544">
        <v>525805700</v>
      </c>
      <c r="E106" s="1852">
        <f t="shared" ref="E106:E110" si="9">IF(SUM(C106:D106)=0,"",SUM(C106:D106))</f>
        <v>809069400</v>
      </c>
      <c r="F106" s="1853">
        <f t="shared" ref="F106:F110" si="10">IFERROR(B106+E106,"")</f>
        <v>6041345288</v>
      </c>
      <c r="G106" s="1854">
        <f t="shared" ref="G106:G110" si="11">IFERROR(E106/F106,"")</f>
        <v>0.13392205898362816</v>
      </c>
      <c r="H106" s="1544">
        <v>4854416.3999999994</v>
      </c>
      <c r="I106" s="852"/>
    </row>
    <row r="107" spans="1:9">
      <c r="A107" s="723" t="s">
        <v>974</v>
      </c>
      <c r="B107" s="1547">
        <f>IF('6.2'!E107=0,"",'6.2'!E107)</f>
        <v>2691340500</v>
      </c>
      <c r="C107" s="1545">
        <v>66988400</v>
      </c>
      <c r="D107" s="1545">
        <v>74948000</v>
      </c>
      <c r="E107" s="1547">
        <f t="shared" si="9"/>
        <v>141936400</v>
      </c>
      <c r="F107" s="1855">
        <f t="shared" si="10"/>
        <v>2833276900</v>
      </c>
      <c r="G107" s="1854">
        <f t="shared" si="11"/>
        <v>5.0096197798386741E-2</v>
      </c>
      <c r="H107" s="1545">
        <v>1078716.6400000001</v>
      </c>
      <c r="I107" s="852"/>
    </row>
    <row r="108" spans="1:9">
      <c r="A108" s="723" t="s">
        <v>163</v>
      </c>
      <c r="B108" s="1547">
        <f>IF('6.2'!E108=0,"",'6.2'!E108)</f>
        <v>1861767573</v>
      </c>
      <c r="C108" s="1545">
        <v>467651800</v>
      </c>
      <c r="D108" s="1545">
        <v>523918300</v>
      </c>
      <c r="E108" s="1547">
        <f t="shared" si="9"/>
        <v>991570100</v>
      </c>
      <c r="F108" s="1855">
        <f t="shared" si="10"/>
        <v>2853337673</v>
      </c>
      <c r="G108" s="1854">
        <f t="shared" si="11"/>
        <v>0.34751235697857763</v>
      </c>
      <c r="H108" s="1545">
        <v>68418.336899999995</v>
      </c>
      <c r="I108" s="852"/>
    </row>
    <row r="109" spans="1:9">
      <c r="A109" s="723" t="s">
        <v>165</v>
      </c>
      <c r="B109" s="1547">
        <f>IF('6.2'!E109=0,"",'6.2'!E109)</f>
        <v>2622424100</v>
      </c>
      <c r="C109" s="1545">
        <v>236775800</v>
      </c>
      <c r="D109" s="1545">
        <v>156184700</v>
      </c>
      <c r="E109" s="1547">
        <f t="shared" si="9"/>
        <v>392960500</v>
      </c>
      <c r="F109" s="1855">
        <f t="shared" si="10"/>
        <v>3015384600</v>
      </c>
      <c r="G109" s="1854">
        <f t="shared" si="11"/>
        <v>0.13031853382815578</v>
      </c>
      <c r="H109" s="1545">
        <v>2121986.7000000002</v>
      </c>
      <c r="I109" s="852"/>
    </row>
    <row r="110" spans="1:9">
      <c r="A110" s="723" t="s">
        <v>167</v>
      </c>
      <c r="B110" s="1547">
        <f>IF('6.2'!E110=0,"",'6.2'!E110)</f>
        <v>9699040393</v>
      </c>
      <c r="C110" s="1545">
        <v>4658092700</v>
      </c>
      <c r="D110" s="1545">
        <v>519337900</v>
      </c>
      <c r="E110" s="1547">
        <f t="shared" si="9"/>
        <v>5177430600</v>
      </c>
      <c r="F110" s="1855">
        <f t="shared" si="10"/>
        <v>14876470993</v>
      </c>
      <c r="G110" s="1854">
        <f t="shared" si="11"/>
        <v>0.34802814474186766</v>
      </c>
      <c r="H110" s="1545">
        <v>41160573.270000003</v>
      </c>
      <c r="I110" s="852"/>
    </row>
    <row r="111" spans="1:9" ht="6" customHeight="1">
      <c r="B111" s="1544"/>
      <c r="C111" s="1544"/>
      <c r="D111" s="1544"/>
      <c r="E111" s="1544"/>
      <c r="F111" s="1594"/>
      <c r="G111" s="1544"/>
      <c r="H111" s="1544"/>
    </row>
    <row r="112" spans="1:9" ht="12.75" customHeight="1">
      <c r="A112" s="1026" t="s">
        <v>22</v>
      </c>
      <c r="B112" s="1597">
        <f>SUM(B6:B50,B51:B95,B96:B110)</f>
        <v>990549826390</v>
      </c>
      <c r="C112" s="1597">
        <f>SUM(C6:C50,C51:C95,C96:C110)</f>
        <v>69695412447</v>
      </c>
      <c r="D112" s="1597">
        <f>SUM(D6:D50,D51:D95,D96:D110)</f>
        <v>35935074425</v>
      </c>
      <c r="E112" s="1597">
        <f>SUM(E6:E50,E51:E95,E96:E110)</f>
        <v>105630486872</v>
      </c>
      <c r="F112" s="1598">
        <f>SUM(F6:F50,F51:F95,F96:F110)</f>
        <v>1096180313262</v>
      </c>
      <c r="G112" s="1599">
        <f>E112/F112</f>
        <v>9.636232798020801E-2</v>
      </c>
      <c r="H112" s="1597">
        <f>SUM(H6:H50,H51:H95,H96:H110)</f>
        <v>934903854.35662591</v>
      </c>
    </row>
    <row r="113" spans="1:9" ht="15" customHeight="1">
      <c r="A113" s="909" t="s">
        <v>857</v>
      </c>
      <c r="B113" s="1556"/>
      <c r="C113" s="1556"/>
      <c r="D113" s="1556"/>
      <c r="E113" s="1556"/>
      <c r="F113" s="1600"/>
      <c r="G113" s="1601"/>
      <c r="H113" s="1556"/>
    </row>
    <row r="114" spans="1:9" s="738" customFormat="1" ht="13">
      <c r="A114" s="1025" t="str">
        <f>A2</f>
        <v>Comparison of Tax Exempt Value to Total Fair Market Value (FMV) of Real Estate by Locality - Tax Year 2021</v>
      </c>
      <c r="B114" s="1559"/>
      <c r="C114" s="1559"/>
      <c r="D114" s="1559"/>
      <c r="E114" s="1559"/>
      <c r="F114" s="1559"/>
      <c r="G114" s="1559"/>
      <c r="H114" s="1559"/>
      <c r="I114" s="850"/>
    </row>
    <row r="115" spans="1:9" s="725" customFormat="1" ht="6" customHeight="1" thickBot="1">
      <c r="A115" s="855"/>
      <c r="B115" s="1567"/>
      <c r="C115" s="1589"/>
      <c r="D115" s="1589"/>
      <c r="E115" s="1589"/>
      <c r="F115" s="1567"/>
      <c r="G115" s="1567"/>
      <c r="H115" s="1567"/>
      <c r="I115" s="1185"/>
    </row>
    <row r="116" spans="1:9" ht="12" customHeight="1">
      <c r="A116" s="854"/>
      <c r="B116" s="1566"/>
      <c r="C116" s="1596" t="s">
        <v>848</v>
      </c>
      <c r="D116" s="1590"/>
      <c r="E116" s="1590"/>
      <c r="F116" s="1566"/>
      <c r="G116" s="1566"/>
      <c r="H116" s="1566"/>
    </row>
    <row r="117" spans="1:9" ht="24" customHeight="1">
      <c r="A117" s="1403" t="s">
        <v>23</v>
      </c>
      <c r="B117" s="1482" t="s">
        <v>1051</v>
      </c>
      <c r="C117" s="1480" t="s">
        <v>853</v>
      </c>
      <c r="D117" s="1480" t="s">
        <v>854</v>
      </c>
      <c r="E117" s="1480" t="s">
        <v>855</v>
      </c>
      <c r="F117" s="1482" t="s">
        <v>1052</v>
      </c>
      <c r="G117" s="1482" t="s">
        <v>1050</v>
      </c>
      <c r="H117" s="1482" t="s">
        <v>1053</v>
      </c>
    </row>
    <row r="118" spans="1:9" ht="18" customHeight="1">
      <c r="A118" s="723" t="s">
        <v>402</v>
      </c>
      <c r="B118" s="1544">
        <f>IF('6.2'!E118=0,"",'6.2'!E118)</f>
        <v>42815473344</v>
      </c>
      <c r="C118" s="1544">
        <v>3963526389</v>
      </c>
      <c r="D118" s="1544">
        <v>1283856331</v>
      </c>
      <c r="E118" s="1544">
        <f t="shared" ref="E118:E137" si="12">IF(SUM(C118:D118)=0,"",SUM(C118:D118))</f>
        <v>5247382720</v>
      </c>
      <c r="F118" s="1594">
        <f t="shared" ref="F118:F137" si="13">IFERROR(B118+E118,"")</f>
        <v>48062856064</v>
      </c>
      <c r="G118" s="1555">
        <f t="shared" ref="G118:G137" si="14">IFERROR(E118/F118,"")</f>
        <v>0.10917750524464546</v>
      </c>
      <c r="H118" s="1544">
        <v>58245948.192000002</v>
      </c>
      <c r="I118" s="852"/>
    </row>
    <row r="119" spans="1:9" ht="11.25" customHeight="1">
      <c r="A119" s="723" t="s">
        <v>407</v>
      </c>
      <c r="B119" s="1545">
        <f>IF('6.2'!E119=0,"",'6.2'!E119)</f>
        <v>1308634561</v>
      </c>
      <c r="C119" s="1545">
        <v>153876000</v>
      </c>
      <c r="D119" s="1545">
        <v>87816400</v>
      </c>
      <c r="E119" s="1545">
        <f t="shared" si="12"/>
        <v>241692400</v>
      </c>
      <c r="F119" s="1861">
        <f t="shared" si="13"/>
        <v>1550326961</v>
      </c>
      <c r="G119" s="1555">
        <f t="shared" si="14"/>
        <v>0.15589769518302274</v>
      </c>
      <c r="H119" s="1545">
        <v>2706954.8800000004</v>
      </c>
      <c r="I119" s="852"/>
    </row>
    <row r="120" spans="1:9" ht="11.25" customHeight="1">
      <c r="A120" s="723" t="s">
        <v>176</v>
      </c>
      <c r="B120" s="1545">
        <f>IF('6.2'!E120=0,"",'6.2'!E120)</f>
        <v>340724000</v>
      </c>
      <c r="C120" s="1545">
        <v>42601200</v>
      </c>
      <c r="D120" s="1545">
        <v>84014600</v>
      </c>
      <c r="E120" s="1545">
        <f t="shared" si="12"/>
        <v>126615800</v>
      </c>
      <c r="F120" s="1861">
        <f t="shared" si="13"/>
        <v>467339800</v>
      </c>
      <c r="G120" s="1555">
        <f t="shared" si="14"/>
        <v>0.27092877602121623</v>
      </c>
      <c r="H120" s="1545">
        <v>1608017.02</v>
      </c>
      <c r="I120" s="852"/>
    </row>
    <row r="121" spans="1:9" ht="11.25" customHeight="1">
      <c r="A121" s="723" t="s">
        <v>178</v>
      </c>
      <c r="B121" s="1545">
        <f>IF('6.2'!E121=0,"",'6.2'!E121)</f>
        <v>8417260600</v>
      </c>
      <c r="C121" s="1545">
        <v>1320393700</v>
      </c>
      <c r="D121" s="1545">
        <v>1228491400</v>
      </c>
      <c r="E121" s="1545">
        <f t="shared" si="12"/>
        <v>2548885100</v>
      </c>
      <c r="F121" s="1861">
        <f t="shared" si="13"/>
        <v>10966145700</v>
      </c>
      <c r="G121" s="1555">
        <f t="shared" si="14"/>
        <v>0.232432175326651</v>
      </c>
      <c r="H121" s="1545">
        <v>24214408.449999996</v>
      </c>
      <c r="I121" s="852"/>
    </row>
    <row r="122" spans="1:9" ht="11.25" customHeight="1">
      <c r="A122" s="723" t="s">
        <v>123</v>
      </c>
      <c r="B122" s="1545">
        <f>IF('6.2'!E122=0,"",'6.2'!E122)</f>
        <v>29241589800</v>
      </c>
      <c r="C122" s="1545">
        <v>2197796800</v>
      </c>
      <c r="D122" s="1545">
        <v>1211096000</v>
      </c>
      <c r="E122" s="1545">
        <f t="shared" si="12"/>
        <v>3408892800</v>
      </c>
      <c r="F122" s="1861">
        <f t="shared" si="13"/>
        <v>32650482600</v>
      </c>
      <c r="G122" s="1555">
        <f t="shared" si="14"/>
        <v>0.1044055869483534</v>
      </c>
      <c r="H122" s="1545">
        <v>35793374.400000006</v>
      </c>
      <c r="I122" s="852"/>
    </row>
    <row r="123" spans="1:9" ht="18" customHeight="1">
      <c r="A123" s="723" t="s">
        <v>125</v>
      </c>
      <c r="B123" s="1545">
        <f>IF('6.2'!E123=0,"",'6.2'!E123)</f>
        <v>1765693620</v>
      </c>
      <c r="C123" s="1545">
        <v>70602300</v>
      </c>
      <c r="D123" s="1545">
        <v>63426800</v>
      </c>
      <c r="E123" s="1545">
        <f t="shared" si="12"/>
        <v>134029100</v>
      </c>
      <c r="F123" s="1861">
        <f t="shared" si="13"/>
        <v>1899722720</v>
      </c>
      <c r="G123" s="1555">
        <f t="shared" si="14"/>
        <v>7.0551927704481002E-2</v>
      </c>
      <c r="H123" s="1545">
        <v>1608349.2</v>
      </c>
      <c r="I123" s="852"/>
    </row>
    <row r="124" spans="1:9" ht="11.25" customHeight="1">
      <c r="A124" s="723" t="s">
        <v>127</v>
      </c>
      <c r="B124" s="1545">
        <f>IF('6.2'!E124=0,"",'6.2'!E124)</f>
        <v>299983000</v>
      </c>
      <c r="C124" s="1545">
        <v>47974900</v>
      </c>
      <c r="D124" s="1545">
        <v>58551300</v>
      </c>
      <c r="E124" s="1545">
        <f t="shared" si="12"/>
        <v>106526200</v>
      </c>
      <c r="F124" s="1861">
        <f t="shared" si="13"/>
        <v>406509200</v>
      </c>
      <c r="G124" s="1555">
        <f t="shared" si="14"/>
        <v>0.26205114176997718</v>
      </c>
      <c r="H124" s="1545">
        <v>917461.60000000009</v>
      </c>
      <c r="I124" s="852"/>
    </row>
    <row r="125" spans="1:9" ht="11.25" customHeight="1">
      <c r="A125" s="723" t="s">
        <v>129</v>
      </c>
      <c r="B125" s="1545">
        <f>IF('6.2'!E125=0,"",'6.2'!E125)</f>
        <v>2321003800</v>
      </c>
      <c r="C125" s="1545">
        <v>301528300</v>
      </c>
      <c r="D125" s="1545">
        <v>196523800</v>
      </c>
      <c r="E125" s="1545">
        <f t="shared" si="12"/>
        <v>498052100</v>
      </c>
      <c r="F125" s="1861">
        <f t="shared" si="13"/>
        <v>2819055900</v>
      </c>
      <c r="G125" s="1555">
        <f t="shared" si="14"/>
        <v>0.17667336784630627</v>
      </c>
      <c r="H125" s="1545">
        <v>4183637.6399999997</v>
      </c>
      <c r="I125" s="852"/>
    </row>
    <row r="126" spans="1:9" ht="11.25" customHeight="1">
      <c r="A126" s="723" t="s">
        <v>131</v>
      </c>
      <c r="B126" s="1545">
        <f>IF('6.2'!E126=0,"",'6.2'!E126)</f>
        <v>354072500</v>
      </c>
      <c r="C126" s="1545">
        <v>44137600</v>
      </c>
      <c r="D126" s="1545">
        <v>34248500</v>
      </c>
      <c r="E126" s="1545">
        <f t="shared" si="12"/>
        <v>78386100</v>
      </c>
      <c r="F126" s="1861">
        <f t="shared" si="13"/>
        <v>432458600</v>
      </c>
      <c r="G126" s="1555">
        <f t="shared" si="14"/>
        <v>0.18125688794256836</v>
      </c>
      <c r="H126" s="1545">
        <v>744667.95</v>
      </c>
      <c r="I126" s="852"/>
    </row>
    <row r="127" spans="1:9" ht="11.25" customHeight="1">
      <c r="A127" s="723" t="s">
        <v>908</v>
      </c>
      <c r="B127" s="1545">
        <f>IF('6.2'!E127=0,"",'6.2'!E127)</f>
        <v>6692175700</v>
      </c>
      <c r="C127" s="1545">
        <v>255202200</v>
      </c>
      <c r="D127" s="1545">
        <v>316339900</v>
      </c>
      <c r="E127" s="1545">
        <f t="shared" si="12"/>
        <v>571542100</v>
      </c>
      <c r="F127" s="1861">
        <f t="shared" si="13"/>
        <v>7263717800</v>
      </c>
      <c r="G127" s="1555">
        <f t="shared" si="14"/>
        <v>7.8684513321814351E-2</v>
      </c>
      <c r="H127" s="1545">
        <v>6144077.5749999993</v>
      </c>
      <c r="I127" s="852"/>
    </row>
    <row r="128" spans="1:9" ht="18" customHeight="1">
      <c r="A128" s="723" t="s">
        <v>433</v>
      </c>
      <c r="B128" s="1545">
        <f>IF('6.2'!E128=0,"",'6.2'!E128)</f>
        <v>4570370400</v>
      </c>
      <c r="C128" s="1545">
        <v>170773100</v>
      </c>
      <c r="D128" s="1545">
        <v>115527200</v>
      </c>
      <c r="E128" s="1545">
        <f t="shared" si="12"/>
        <v>286300300</v>
      </c>
      <c r="F128" s="1861">
        <f t="shared" si="13"/>
        <v>4856670700</v>
      </c>
      <c r="G128" s="1555">
        <f t="shared" si="14"/>
        <v>5.8949909863149665E-2</v>
      </c>
      <c r="H128" s="1545">
        <v>3779163.96</v>
      </c>
      <c r="I128" s="852"/>
    </row>
    <row r="129" spans="1:9" ht="11.25" customHeight="1">
      <c r="A129" s="723" t="s">
        <v>24</v>
      </c>
      <c r="B129" s="1545">
        <f>IF('6.2'!E129=0,"",'6.2'!E129)</f>
        <v>578298500</v>
      </c>
      <c r="C129" s="1545">
        <v>38228000</v>
      </c>
      <c r="D129" s="1545">
        <v>66332400</v>
      </c>
      <c r="E129" s="1545">
        <f t="shared" si="12"/>
        <v>104560400</v>
      </c>
      <c r="F129" s="1861">
        <f t="shared" si="13"/>
        <v>682858900</v>
      </c>
      <c r="G129" s="1555">
        <f t="shared" si="14"/>
        <v>0.15312153067053824</v>
      </c>
      <c r="H129" s="1545">
        <v>1076972.1200000001</v>
      </c>
      <c r="I129" s="852"/>
    </row>
    <row r="130" spans="1:9" ht="11.25" customHeight="1">
      <c r="A130" s="723" t="s">
        <v>136</v>
      </c>
      <c r="B130" s="1545">
        <f>IF('6.2'!E130=0,"",'6.2'!E130)</f>
        <v>4543901400</v>
      </c>
      <c r="C130" s="1545">
        <v>856565700</v>
      </c>
      <c r="D130" s="1545">
        <v>569767600</v>
      </c>
      <c r="E130" s="1545">
        <f t="shared" si="12"/>
        <v>1426333300</v>
      </c>
      <c r="F130" s="1861">
        <f t="shared" si="13"/>
        <v>5970234700</v>
      </c>
      <c r="G130" s="1555">
        <f t="shared" si="14"/>
        <v>0.23890740844744346</v>
      </c>
      <c r="H130" s="1545">
        <v>11410666.4</v>
      </c>
      <c r="I130" s="852"/>
    </row>
    <row r="131" spans="1:9" ht="11.25" customHeight="1">
      <c r="A131" s="723" t="s">
        <v>138</v>
      </c>
      <c r="B131" s="1545">
        <f>IF('6.2'!E131=0,"",'6.2'!E131)</f>
        <v>473855750</v>
      </c>
      <c r="C131" s="1545">
        <v>62863800</v>
      </c>
      <c r="D131" s="1545">
        <v>25881800</v>
      </c>
      <c r="E131" s="1545">
        <f t="shared" si="12"/>
        <v>88745600</v>
      </c>
      <c r="F131" s="1861">
        <f t="shared" si="13"/>
        <v>562601350</v>
      </c>
      <c r="G131" s="1555">
        <f t="shared" si="14"/>
        <v>0.15774153403648961</v>
      </c>
      <c r="H131" s="1545">
        <v>816459.52</v>
      </c>
      <c r="I131" s="852"/>
    </row>
    <row r="132" spans="1:9" ht="11.25" customHeight="1">
      <c r="A132" s="723" t="s">
        <v>443</v>
      </c>
      <c r="B132" s="1545">
        <f>IF('6.2'!E132=0,"",'6.2'!E132)</f>
        <v>11719860900</v>
      </c>
      <c r="C132" s="1545">
        <v>3118253000</v>
      </c>
      <c r="D132" s="1545">
        <v>561203700</v>
      </c>
      <c r="E132" s="1545">
        <f t="shared" si="12"/>
        <v>3679456700</v>
      </c>
      <c r="F132" s="1861">
        <f t="shared" si="13"/>
        <v>15399317600</v>
      </c>
      <c r="G132" s="1555">
        <f t="shared" si="14"/>
        <v>0.23893634741321265</v>
      </c>
      <c r="H132" s="1545">
        <v>45625263.080000006</v>
      </c>
      <c r="I132" s="852"/>
    </row>
    <row r="133" spans="1:9" ht="18" customHeight="1">
      <c r="A133" s="723" t="s">
        <v>834</v>
      </c>
      <c r="B133" s="1545">
        <f>IF('6.2'!E133=0,"",'6.2'!E133)</f>
        <v>4486015810</v>
      </c>
      <c r="C133" s="1545">
        <v>1209475530</v>
      </c>
      <c r="D133" s="1545">
        <v>359411700</v>
      </c>
      <c r="E133" s="1545">
        <f t="shared" si="12"/>
        <v>1568887230</v>
      </c>
      <c r="F133" s="1861">
        <f t="shared" si="13"/>
        <v>6054903040</v>
      </c>
      <c r="G133" s="1555">
        <f t="shared" si="14"/>
        <v>0.25911021524797201</v>
      </c>
      <c r="H133" s="1545">
        <v>134924.30178000001</v>
      </c>
      <c r="I133" s="852"/>
    </row>
    <row r="134" spans="1:9" ht="11.25" customHeight="1">
      <c r="A134" s="723" t="s">
        <v>144</v>
      </c>
      <c r="B134" s="1545">
        <f>IF('6.2'!E134=0,"",'6.2'!E134)</f>
        <v>1458545800</v>
      </c>
      <c r="C134" s="1545">
        <v>145602300</v>
      </c>
      <c r="D134" s="1545">
        <v>35906800</v>
      </c>
      <c r="E134" s="1545">
        <f t="shared" si="12"/>
        <v>181509100</v>
      </c>
      <c r="F134" s="1861">
        <f t="shared" si="13"/>
        <v>1640054900</v>
      </c>
      <c r="G134" s="1555">
        <f t="shared" si="14"/>
        <v>0.11067257565585152</v>
      </c>
      <c r="H134" s="1545">
        <v>2051052.8299999996</v>
      </c>
      <c r="I134" s="852"/>
    </row>
    <row r="135" spans="1:9" ht="11.25" customHeight="1">
      <c r="A135" s="723" t="s">
        <v>835</v>
      </c>
      <c r="B135" s="1545">
        <f>IF('6.2'!E135=0,"",'6.2'!E135)</f>
        <v>582633400</v>
      </c>
      <c r="C135" s="1545">
        <v>530339800</v>
      </c>
      <c r="D135" s="1545">
        <v>543066000</v>
      </c>
      <c r="E135" s="1545">
        <f t="shared" si="12"/>
        <v>1073405800</v>
      </c>
      <c r="F135" s="1861">
        <f t="shared" si="13"/>
        <v>1656039200</v>
      </c>
      <c r="G135" s="1555">
        <f t="shared" si="14"/>
        <v>0.64817656490256992</v>
      </c>
      <c r="H135" s="1545">
        <v>11378101.48</v>
      </c>
      <c r="I135" s="852"/>
    </row>
    <row r="136" spans="1:9" ht="11.25" customHeight="1">
      <c r="A136" s="725" t="s">
        <v>148</v>
      </c>
      <c r="B136" s="1545">
        <f>IF('6.2'!E136=0,"",'6.2'!E136)</f>
        <v>6196078200</v>
      </c>
      <c r="C136" s="1545">
        <v>496892200</v>
      </c>
      <c r="D136" s="1545">
        <v>1511086400</v>
      </c>
      <c r="E136" s="1545">
        <f t="shared" si="12"/>
        <v>2007978600</v>
      </c>
      <c r="F136" s="1859">
        <f t="shared" si="13"/>
        <v>8204056800</v>
      </c>
      <c r="G136" s="1860">
        <f t="shared" si="14"/>
        <v>0.2447543512863051</v>
      </c>
      <c r="H136" s="1545">
        <v>22288562.460000001</v>
      </c>
      <c r="I136" s="852"/>
    </row>
    <row r="137" spans="1:9">
      <c r="A137" s="723" t="s">
        <v>836</v>
      </c>
      <c r="B137" s="1545">
        <f>IF('6.2'!E137=0,"",'6.2'!E137)</f>
        <v>5403085240</v>
      </c>
      <c r="C137" s="1545">
        <v>571514000</v>
      </c>
      <c r="D137" s="1545">
        <v>237596800</v>
      </c>
      <c r="E137" s="1545">
        <f t="shared" si="12"/>
        <v>809110800</v>
      </c>
      <c r="F137" s="1859">
        <f t="shared" si="13"/>
        <v>6212196040</v>
      </c>
      <c r="G137" s="1860">
        <f t="shared" si="14"/>
        <v>0.13024553552241086</v>
      </c>
      <c r="H137" s="1545">
        <v>11813017.68</v>
      </c>
      <c r="I137" s="852"/>
    </row>
    <row r="138" spans="1:9" ht="18" customHeight="1">
      <c r="A138" s="723" t="s">
        <v>975</v>
      </c>
      <c r="B138" s="1852">
        <f>IF('6.2'!E138=0,"",'6.2'!E138)</f>
        <v>1909461300</v>
      </c>
      <c r="C138" s="1544">
        <v>160022200</v>
      </c>
      <c r="D138" s="1544">
        <v>4459500</v>
      </c>
      <c r="E138" s="1852">
        <f t="shared" ref="E138:E155" si="15">IF(SUM(C138:D138)=0,"",SUM(C138:D138))</f>
        <v>164481700</v>
      </c>
      <c r="F138" s="1853">
        <f t="shared" ref="F138:F155" si="16">IFERROR(B138+E138,"")</f>
        <v>2073943000</v>
      </c>
      <c r="G138" s="1854">
        <f t="shared" ref="G138:G155" si="17">IFERROR(E138/F138,"")</f>
        <v>7.9308688811601857E-2</v>
      </c>
      <c r="H138" s="1544">
        <v>2516570.0100000002</v>
      </c>
      <c r="I138" s="852"/>
    </row>
    <row r="139" spans="1:9" ht="11.25" customHeight="1">
      <c r="A139" s="723" t="s">
        <v>154</v>
      </c>
      <c r="B139" s="1545">
        <f>IF('6.2'!E139=0,"",'6.2'!E139)</f>
        <v>649822186</v>
      </c>
      <c r="C139" s="1545">
        <v>49603400</v>
      </c>
      <c r="D139" s="1545">
        <v>97226300</v>
      </c>
      <c r="E139" s="1545">
        <f t="shared" si="15"/>
        <v>146829700</v>
      </c>
      <c r="F139" s="1861">
        <f t="shared" si="16"/>
        <v>796651886</v>
      </c>
      <c r="G139" s="1555">
        <f t="shared" si="17"/>
        <v>0.18430848226222613</v>
      </c>
      <c r="H139" s="1545">
        <v>1559478.2437</v>
      </c>
      <c r="I139" s="852"/>
    </row>
    <row r="140" spans="1:9" ht="11.25" customHeight="1">
      <c r="A140" s="723" t="s">
        <v>156</v>
      </c>
      <c r="B140" s="1545">
        <f>IF('6.2'!E140=0,"",'6.2'!E140)</f>
        <v>16664512200</v>
      </c>
      <c r="C140" s="1545">
        <v>6489811300</v>
      </c>
      <c r="D140" s="1545">
        <v>833563200</v>
      </c>
      <c r="E140" s="1545">
        <f t="shared" si="15"/>
        <v>7323374500</v>
      </c>
      <c r="F140" s="1861">
        <f t="shared" si="16"/>
        <v>23987886700</v>
      </c>
      <c r="G140" s="1555">
        <f t="shared" si="17"/>
        <v>0.30529469275840793</v>
      </c>
      <c r="H140" s="1545">
        <v>89345168.900000006</v>
      </c>
      <c r="I140" s="852"/>
    </row>
    <row r="141" spans="1:9" ht="11.25" customHeight="1">
      <c r="A141" s="723" t="s">
        <v>158</v>
      </c>
      <c r="B141" s="1545">
        <f>IF('6.2'!E141=0,"",'6.2'!E141)</f>
        <v>21977674100</v>
      </c>
      <c r="C141" s="1545">
        <v>9497547300</v>
      </c>
      <c r="D141" s="1545">
        <v>2377823800</v>
      </c>
      <c r="E141" s="1545">
        <f t="shared" si="15"/>
        <v>11875371100</v>
      </c>
      <c r="F141" s="1861">
        <f t="shared" si="16"/>
        <v>33853045200</v>
      </c>
      <c r="G141" s="1555">
        <f t="shared" si="17"/>
        <v>0.35079181296222062</v>
      </c>
      <c r="H141" s="1545">
        <v>148442138.75</v>
      </c>
      <c r="I141" s="852"/>
    </row>
    <row r="142" spans="1:9" ht="11.25" customHeight="1">
      <c r="A142" s="723" t="s">
        <v>837</v>
      </c>
      <c r="B142" s="1545">
        <f>IF('6.2'!E142=0,"",'6.2'!E142)</f>
        <v>227271900</v>
      </c>
      <c r="C142" s="1545">
        <v>63260100</v>
      </c>
      <c r="D142" s="1545">
        <v>40257700</v>
      </c>
      <c r="E142" s="1545">
        <f t="shared" si="15"/>
        <v>103517800</v>
      </c>
      <c r="F142" s="1861">
        <f t="shared" si="16"/>
        <v>330789700</v>
      </c>
      <c r="G142" s="1555">
        <f t="shared" si="17"/>
        <v>0.31294142471787967</v>
      </c>
      <c r="H142" s="1545">
        <v>931660.2</v>
      </c>
      <c r="I142" s="852"/>
    </row>
    <row r="143" spans="1:9" ht="18" customHeight="1">
      <c r="A143" s="741" t="s">
        <v>976</v>
      </c>
      <c r="B143" s="1545">
        <f>IF('6.2'!E143=0,"",'6.2'!E143)</f>
        <v>2001574750</v>
      </c>
      <c r="C143" s="1545">
        <v>264308300</v>
      </c>
      <c r="D143" s="1545">
        <v>103599600</v>
      </c>
      <c r="E143" s="1545">
        <f t="shared" si="15"/>
        <v>367907900</v>
      </c>
      <c r="F143" s="1861">
        <f t="shared" si="16"/>
        <v>2369482650</v>
      </c>
      <c r="G143" s="1555">
        <f t="shared" si="17"/>
        <v>0.15526929475512302</v>
      </c>
      <c r="H143" s="1545">
        <v>4966756.6500000004</v>
      </c>
      <c r="I143" s="852"/>
    </row>
    <row r="144" spans="1:9" ht="11.25" customHeight="1">
      <c r="A144" s="723" t="s">
        <v>977</v>
      </c>
      <c r="B144" s="1545">
        <f>IF('6.2'!E144=0,"",'6.2'!E144)</f>
        <v>1665332400</v>
      </c>
      <c r="C144" s="1545">
        <v>40247500</v>
      </c>
      <c r="D144" s="1545">
        <v>61541900</v>
      </c>
      <c r="E144" s="1545">
        <f t="shared" si="15"/>
        <v>101789400</v>
      </c>
      <c r="F144" s="1861">
        <f t="shared" si="16"/>
        <v>1767121800</v>
      </c>
      <c r="G144" s="1555">
        <f t="shared" si="17"/>
        <v>5.7601801981051901E-2</v>
      </c>
      <c r="H144" s="1545">
        <v>1160399.1599999999</v>
      </c>
      <c r="I144" s="852"/>
    </row>
    <row r="145" spans="1:9" ht="11.25" customHeight="1">
      <c r="A145" s="723" t="s">
        <v>978</v>
      </c>
      <c r="B145" s="1545">
        <f>IF('6.2'!E145=0,"",'6.2'!E145)</f>
        <v>7909355507</v>
      </c>
      <c r="C145" s="1545">
        <v>5278994072</v>
      </c>
      <c r="D145" s="1545">
        <v>344035449</v>
      </c>
      <c r="E145" s="1545">
        <f t="shared" si="15"/>
        <v>5623029521</v>
      </c>
      <c r="F145" s="1861">
        <f t="shared" si="16"/>
        <v>13532385028</v>
      </c>
      <c r="G145" s="1555">
        <f t="shared" si="17"/>
        <v>0.41552390870976036</v>
      </c>
      <c r="H145" s="1545">
        <v>73099383.773000002</v>
      </c>
      <c r="I145" s="852"/>
    </row>
    <row r="146" spans="1:9" ht="11.25" customHeight="1">
      <c r="A146" s="723" t="s">
        <v>168</v>
      </c>
      <c r="B146" s="1545">
        <f>IF('6.2'!E146=0,"",'6.2'!E146)</f>
        <v>880143700</v>
      </c>
      <c r="C146" s="1545">
        <v>686089600</v>
      </c>
      <c r="D146" s="1545">
        <v>30066700</v>
      </c>
      <c r="E146" s="1545">
        <f t="shared" si="15"/>
        <v>716156300</v>
      </c>
      <c r="F146" s="1861">
        <f t="shared" si="16"/>
        <v>1596300000</v>
      </c>
      <c r="G146" s="1555">
        <f t="shared" si="17"/>
        <v>0.4486351562989413</v>
      </c>
      <c r="H146" s="1545">
        <v>6015712.9199999999</v>
      </c>
      <c r="I146" s="852"/>
    </row>
    <row r="147" spans="1:9" ht="11.25" customHeight="1">
      <c r="A147" s="723" t="s">
        <v>370</v>
      </c>
      <c r="B147" s="1545">
        <f>IF('6.2'!E147=0,"",'6.2'!E147)</f>
        <v>28017498000</v>
      </c>
      <c r="C147" s="1545">
        <v>6074388000</v>
      </c>
      <c r="D147" s="1545">
        <v>2227404000</v>
      </c>
      <c r="E147" s="1545">
        <f t="shared" si="15"/>
        <v>8301792000</v>
      </c>
      <c r="F147" s="1861">
        <f t="shared" si="16"/>
        <v>36319290000</v>
      </c>
      <c r="G147" s="1555">
        <f t="shared" si="17"/>
        <v>0.22857803663012136</v>
      </c>
      <c r="H147" s="1545">
        <v>99621504</v>
      </c>
      <c r="I147" s="852"/>
    </row>
    <row r="148" spans="1:9" ht="18" customHeight="1">
      <c r="A148" s="723" t="s">
        <v>25</v>
      </c>
      <c r="B148" s="1545">
        <f>IF('6.2'!E148=0,"",'6.2'!E148)</f>
        <v>8812158000</v>
      </c>
      <c r="C148" s="1545">
        <v>1096374500</v>
      </c>
      <c r="D148" s="1545">
        <v>1177685800</v>
      </c>
      <c r="E148" s="1545">
        <f t="shared" si="15"/>
        <v>2274060300</v>
      </c>
      <c r="F148" s="1861">
        <f t="shared" si="16"/>
        <v>11086218300</v>
      </c>
      <c r="G148" s="1555">
        <f t="shared" si="17"/>
        <v>0.20512497936289059</v>
      </c>
      <c r="H148" s="1545">
        <v>27743535.66</v>
      </c>
      <c r="I148" s="852"/>
    </row>
    <row r="149" spans="1:9" ht="11.25" customHeight="1">
      <c r="A149" s="723" t="s">
        <v>169</v>
      </c>
      <c r="B149" s="1545">
        <f>IF('6.2'!E149=0,"",'6.2'!E149)</f>
        <v>2357281500</v>
      </c>
      <c r="C149" s="1545">
        <v>351571000</v>
      </c>
      <c r="D149" s="1545">
        <v>200327600</v>
      </c>
      <c r="E149" s="1545">
        <f t="shared" si="15"/>
        <v>551898600</v>
      </c>
      <c r="F149" s="1861">
        <f t="shared" si="16"/>
        <v>2909180100</v>
      </c>
      <c r="G149" s="1555">
        <f t="shared" si="17"/>
        <v>0.18970932738059085</v>
      </c>
      <c r="H149" s="1545">
        <v>6622783.1999999993</v>
      </c>
      <c r="I149" s="852"/>
    </row>
    <row r="150" spans="1:9" ht="11.25" customHeight="1">
      <c r="A150" s="723" t="s">
        <v>980</v>
      </c>
      <c r="B150" s="1545">
        <f>IF('6.2'!E150=0,"",'6.2'!E150)</f>
        <v>2275362644</v>
      </c>
      <c r="C150" s="1545">
        <v>269291280</v>
      </c>
      <c r="D150" s="1545">
        <v>166596480</v>
      </c>
      <c r="E150" s="1545">
        <f t="shared" si="15"/>
        <v>435887760</v>
      </c>
      <c r="F150" s="1861">
        <f t="shared" si="16"/>
        <v>2711250404</v>
      </c>
      <c r="G150" s="1555">
        <f t="shared" si="17"/>
        <v>0.16077001200513238</v>
      </c>
      <c r="H150" s="1545">
        <v>4010167.392</v>
      </c>
      <c r="I150" s="852"/>
    </row>
    <row r="151" spans="1:9" ht="11.25" customHeight="1">
      <c r="A151" s="723" t="s">
        <v>171</v>
      </c>
      <c r="B151" s="1545">
        <f>IF('6.2'!E151=0,"",'6.2'!E151)</f>
        <v>11024342300</v>
      </c>
      <c r="C151" s="1545">
        <v>744435300</v>
      </c>
      <c r="D151" s="1545">
        <v>359913500</v>
      </c>
      <c r="E151" s="1545">
        <f t="shared" si="15"/>
        <v>1104348800</v>
      </c>
      <c r="F151" s="1861">
        <f t="shared" si="16"/>
        <v>12128691100</v>
      </c>
      <c r="G151" s="1555">
        <f t="shared" si="17"/>
        <v>9.1052595114735832E-2</v>
      </c>
      <c r="H151" s="1545">
        <v>12258271.680000002</v>
      </c>
      <c r="I151" s="852"/>
    </row>
    <row r="152" spans="1:9" ht="11.25" customHeight="1">
      <c r="A152" s="723" t="s">
        <v>602</v>
      </c>
      <c r="B152" s="1545">
        <f>IF('6.2'!E152=0,"",'6.2'!E152)</f>
        <v>61658361500</v>
      </c>
      <c r="C152" s="1545">
        <v>9861938100</v>
      </c>
      <c r="D152" s="1545">
        <v>1799846000</v>
      </c>
      <c r="E152" s="1545">
        <f t="shared" si="15"/>
        <v>11661784100</v>
      </c>
      <c r="F152" s="1861">
        <f t="shared" si="16"/>
        <v>73320145600</v>
      </c>
      <c r="G152" s="1555">
        <f t="shared" si="17"/>
        <v>0.15905293155882658</v>
      </c>
      <c r="H152" s="1545">
        <v>115451662.59</v>
      </c>
      <c r="I152" s="852"/>
    </row>
    <row r="153" spans="1:9" ht="18" customHeight="1">
      <c r="A153" s="723" t="s">
        <v>173</v>
      </c>
      <c r="B153" s="1545">
        <f>IF('6.2'!E153=0,"",'6.2'!E153)</f>
        <v>2163216600</v>
      </c>
      <c r="C153" s="1545">
        <v>115467100</v>
      </c>
      <c r="D153" s="1545">
        <v>198005400</v>
      </c>
      <c r="E153" s="1545">
        <f t="shared" si="15"/>
        <v>313472500</v>
      </c>
      <c r="F153" s="1861">
        <f t="shared" si="16"/>
        <v>2476689100</v>
      </c>
      <c r="G153" s="1555">
        <f t="shared" si="17"/>
        <v>0.12656917656721628</v>
      </c>
      <c r="H153" s="1545">
        <v>2821252.5</v>
      </c>
      <c r="I153" s="852"/>
    </row>
    <row r="154" spans="1:9" ht="11.25" customHeight="1">
      <c r="A154" s="723" t="s">
        <v>838</v>
      </c>
      <c r="B154" s="1545">
        <f>IF('6.2'!E154=0,"",'6.2'!E154)</f>
        <v>2057421500</v>
      </c>
      <c r="C154" s="1545">
        <v>119310500</v>
      </c>
      <c r="D154" s="1545">
        <v>912518600</v>
      </c>
      <c r="E154" s="1545">
        <f t="shared" si="15"/>
        <v>1031829100</v>
      </c>
      <c r="F154" s="1861">
        <f t="shared" si="16"/>
        <v>3089250600</v>
      </c>
      <c r="G154" s="1555">
        <f t="shared" si="17"/>
        <v>0.33400627971068453</v>
      </c>
      <c r="H154" s="1545">
        <v>6190974.5999999996</v>
      </c>
      <c r="I154" s="852"/>
    </row>
    <row r="155" spans="1:9" ht="11.25" customHeight="1">
      <c r="A155" s="723" t="s">
        <v>177</v>
      </c>
      <c r="B155" s="1545">
        <f>IF('6.2'!E155=0,"",'6.2'!E155)</f>
        <v>3330165789</v>
      </c>
      <c r="C155" s="1545">
        <v>138055200</v>
      </c>
      <c r="D155" s="1545">
        <v>1943629751</v>
      </c>
      <c r="E155" s="1545">
        <f t="shared" si="15"/>
        <v>2081684951</v>
      </c>
      <c r="F155" s="1861">
        <f t="shared" si="16"/>
        <v>5411850740</v>
      </c>
      <c r="G155" s="1555">
        <f t="shared" si="17"/>
        <v>0.38465306066441884</v>
      </c>
      <c r="H155" s="1545">
        <v>19359670.044300001</v>
      </c>
      <c r="I155" s="852"/>
    </row>
    <row r="156" spans="1:9" ht="5.15" customHeight="1">
      <c r="E156" s="1545"/>
      <c r="F156" s="1593"/>
      <c r="G156" s="1555"/>
    </row>
    <row r="157" spans="1:9" ht="12.75" customHeight="1">
      <c r="A157" s="742" t="s">
        <v>27</v>
      </c>
      <c r="B157" s="1551">
        <f>SUM(B118:B136,B137:B155)</f>
        <v>309150212201</v>
      </c>
      <c r="C157" s="1551">
        <f>SUM(C118:C136,C137:C155)</f>
        <v>56898861571</v>
      </c>
      <c r="D157" s="1551">
        <f>SUM(D118:D136,D137:D155)</f>
        <v>21468646711</v>
      </c>
      <c r="E157" s="1551">
        <f>SUM(E118:E136,E137:E155)</f>
        <v>78367508282</v>
      </c>
      <c r="F157" s="1595">
        <f>SUM(F118:F136,F137:F155)</f>
        <v>387517720483</v>
      </c>
      <c r="G157" s="1565">
        <f>E157/F157</f>
        <v>0.20222948303969987</v>
      </c>
      <c r="H157" s="1551">
        <f>SUM(H118:H136,H137:H155)</f>
        <v>868658171.0117799</v>
      </c>
    </row>
    <row r="158" spans="1:9" ht="12.75" customHeight="1">
      <c r="A158" s="742" t="s">
        <v>22</v>
      </c>
      <c r="B158" s="1551">
        <f t="shared" ref="B158:H158" si="18">B112</f>
        <v>990549826390</v>
      </c>
      <c r="C158" s="1551">
        <f t="shared" si="18"/>
        <v>69695412447</v>
      </c>
      <c r="D158" s="1551">
        <f t="shared" si="18"/>
        <v>35935074425</v>
      </c>
      <c r="E158" s="1551">
        <f t="shared" si="18"/>
        <v>105630486872</v>
      </c>
      <c r="F158" s="1595">
        <f t="shared" si="18"/>
        <v>1096180313262</v>
      </c>
      <c r="G158" s="1565">
        <f>E158/F158</f>
        <v>9.636232798020801E-2</v>
      </c>
      <c r="H158" s="1551">
        <f t="shared" si="18"/>
        <v>934903854.35662591</v>
      </c>
    </row>
    <row r="159" spans="1:9" ht="5.15" customHeight="1">
      <c r="A159" s="730"/>
      <c r="B159" s="1544"/>
      <c r="C159" s="1544"/>
      <c r="D159" s="1544"/>
      <c r="E159" s="1544"/>
      <c r="F159" s="1594"/>
      <c r="G159" s="1544"/>
      <c r="H159" s="1544"/>
    </row>
    <row r="160" spans="1:9" ht="12.75" customHeight="1">
      <c r="A160" s="742" t="s">
        <v>28</v>
      </c>
      <c r="B160" s="1551">
        <f>SUM(B157:B158)</f>
        <v>1299700038591</v>
      </c>
      <c r="C160" s="1551">
        <f>SUM(C157:C158)</f>
        <v>126594274018</v>
      </c>
      <c r="D160" s="1551">
        <f>SUM(D157:D158)</f>
        <v>57403721136</v>
      </c>
      <c r="E160" s="1551">
        <f>SUM(E157:E158)</f>
        <v>183997995154</v>
      </c>
      <c r="F160" s="1595">
        <f>SUM(F157:F158)</f>
        <v>1483698033745</v>
      </c>
      <c r="G160" s="1565">
        <f>E160/F160</f>
        <v>0.1240131017020835</v>
      </c>
      <c r="H160" s="1551">
        <f>SUM(H157:H158)</f>
        <v>1803562025.3684058</v>
      </c>
    </row>
    <row r="161" spans="1:9" ht="3" customHeight="1">
      <c r="A161" s="747"/>
      <c r="B161" s="1556"/>
      <c r="C161" s="1556"/>
      <c r="D161" s="1556"/>
      <c r="E161" s="1556"/>
      <c r="F161" s="1556"/>
      <c r="G161" s="1862"/>
      <c r="H161" s="1556"/>
    </row>
    <row r="162" spans="1:9" s="1186" customFormat="1" ht="10" customHeight="1">
      <c r="A162" s="1186" t="s">
        <v>1</v>
      </c>
      <c r="B162" s="1644"/>
      <c r="C162" s="1644"/>
      <c r="D162" s="1644"/>
      <c r="E162" s="1644"/>
      <c r="F162" s="1644"/>
      <c r="G162" s="1644"/>
      <c r="H162" s="1644"/>
      <c r="I162" s="1187"/>
    </row>
    <row r="163" spans="1:9" s="1186" customFormat="1" ht="10" customHeight="1">
      <c r="A163" s="1401" t="s">
        <v>1016</v>
      </c>
      <c r="B163" s="1643"/>
      <c r="C163" s="1643"/>
      <c r="D163" s="1643"/>
      <c r="E163" s="1643"/>
      <c r="F163" s="1644"/>
      <c r="G163" s="1645"/>
      <c r="H163" s="1643"/>
      <c r="I163" s="1187"/>
    </row>
    <row r="164" spans="1:9" s="1186" customFormat="1" ht="10" customHeight="1">
      <c r="A164" s="1401" t="s">
        <v>1324</v>
      </c>
      <c r="B164" s="1643"/>
      <c r="C164" s="1643"/>
      <c r="D164" s="1643"/>
      <c r="E164" s="1643"/>
      <c r="F164" s="1643"/>
      <c r="G164" s="1645"/>
      <c r="H164" s="1643"/>
      <c r="I164" s="1187"/>
    </row>
    <row r="165" spans="1:9" s="1186" customFormat="1" ht="10" customHeight="1">
      <c r="A165" s="1401" t="s">
        <v>1325</v>
      </c>
      <c r="B165" s="1643"/>
      <c r="C165" s="1643"/>
      <c r="D165" s="1643"/>
      <c r="E165" s="1643"/>
      <c r="F165" s="1643"/>
      <c r="G165" s="1645"/>
      <c r="H165" s="1643"/>
      <c r="I165" s="1187"/>
    </row>
    <row r="166" spans="1:9" s="1186" customFormat="1" ht="10" customHeight="1">
      <c r="A166" s="1407" t="s">
        <v>1331</v>
      </c>
      <c r="B166" s="1643"/>
      <c r="C166" s="1643"/>
      <c r="D166" s="1643"/>
      <c r="E166" s="1643"/>
      <c r="F166" s="1643"/>
      <c r="G166" s="1643"/>
      <c r="H166" s="1643"/>
      <c r="I166" s="1187"/>
    </row>
    <row r="167" spans="1:9" s="1186" customFormat="1" ht="10" customHeight="1">
      <c r="A167" s="1407" t="s">
        <v>1332</v>
      </c>
      <c r="B167" s="1643"/>
      <c r="C167" s="1643"/>
      <c r="D167" s="1643"/>
      <c r="E167" s="1643"/>
      <c r="F167" s="1643"/>
      <c r="G167" s="1643"/>
      <c r="H167" s="1643"/>
      <c r="I167" s="1187"/>
    </row>
    <row r="168" spans="1:9" s="1186" customFormat="1" ht="10" customHeight="1">
      <c r="A168" s="1184" t="s">
        <v>987</v>
      </c>
      <c r="B168" s="1863"/>
      <c r="C168" s="1863"/>
      <c r="D168" s="1863"/>
      <c r="E168" s="1863"/>
      <c r="F168" s="1863"/>
      <c r="G168" s="1645"/>
      <c r="H168" s="1863"/>
      <c r="I168" s="1188"/>
    </row>
    <row r="169" spans="1:9">
      <c r="A169" s="837"/>
      <c r="B169" s="1553"/>
      <c r="C169" s="1553"/>
      <c r="D169" s="1553"/>
      <c r="E169" s="1553"/>
      <c r="F169" s="1553"/>
      <c r="G169" s="1864"/>
      <c r="H169" s="1553"/>
      <c r="I169" s="843"/>
    </row>
    <row r="170" spans="1:9">
      <c r="A170" s="837"/>
      <c r="B170" s="1553"/>
      <c r="C170" s="1553"/>
      <c r="D170" s="1553"/>
      <c r="E170" s="1553"/>
      <c r="F170" s="1553"/>
      <c r="G170" s="1553"/>
      <c r="H170" s="1553"/>
      <c r="I170" s="843"/>
    </row>
    <row r="171" spans="1:9">
      <c r="A171" s="837"/>
      <c r="B171" s="1553"/>
      <c r="C171" s="1553"/>
      <c r="D171" s="1553"/>
      <c r="E171" s="1553"/>
      <c r="F171" s="1553"/>
      <c r="G171" s="1864"/>
      <c r="H171" s="1553"/>
      <c r="I171" s="843"/>
    </row>
    <row r="172" spans="1:9">
      <c r="A172" s="837"/>
      <c r="I172" s="843"/>
    </row>
    <row r="173" spans="1:9">
      <c r="A173" s="837"/>
      <c r="B173" s="1554"/>
      <c r="C173" s="1554"/>
      <c r="D173" s="1554"/>
      <c r="E173" s="1554"/>
      <c r="F173" s="1554"/>
      <c r="G173" s="1554"/>
      <c r="H173" s="1554"/>
      <c r="I173" s="843"/>
    </row>
    <row r="174" spans="1:9">
      <c r="A174" s="837"/>
      <c r="B174" s="1554"/>
      <c r="C174" s="1554"/>
      <c r="D174" s="1554"/>
      <c r="E174" s="1554"/>
      <c r="F174" s="1554"/>
      <c r="G174" s="1554"/>
      <c r="H174" s="1554"/>
      <c r="I174" s="843"/>
    </row>
    <row r="175" spans="1:9">
      <c r="A175" s="837"/>
      <c r="B175" s="1554"/>
      <c r="C175" s="1554"/>
      <c r="D175" s="1554"/>
      <c r="E175" s="1554"/>
      <c r="F175" s="1554"/>
      <c r="G175" s="1554"/>
      <c r="H175" s="1554"/>
      <c r="I175" s="843"/>
    </row>
    <row r="176" spans="1:9">
      <c r="A176" s="837"/>
      <c r="B176" s="1554"/>
      <c r="C176" s="1554"/>
      <c r="D176" s="1554"/>
      <c r="E176" s="1554"/>
      <c r="F176" s="1554"/>
      <c r="G176" s="1554"/>
      <c r="H176" s="1554"/>
      <c r="I176" s="843"/>
    </row>
    <row r="177" spans="2:9">
      <c r="B177" s="1554"/>
      <c r="C177" s="1554"/>
      <c r="D177" s="1554"/>
      <c r="E177" s="1554"/>
      <c r="F177" s="1554"/>
      <c r="G177" s="1554"/>
      <c r="H177" s="1554"/>
      <c r="I177" s="723"/>
    </row>
  </sheetData>
  <hyperlinks>
    <hyperlink ref="I1" location="TOC!A1" display="Back"/>
  </hyperlinks>
  <pageMargins left="0.75" right="0.25" top="0.4" bottom="0.2" header="0.25" footer="0"/>
  <pageSetup scale="86" fitToHeight="5" orientation="landscape" r:id="rId1"/>
  <headerFooter scaleWithDoc="0">
    <oddHeader>&amp;R&amp;P</oddHeader>
  </headerFooter>
  <rowBreaks count="3" manualBreakCount="3">
    <brk id="35" max="7" man="1"/>
    <brk id="70" max="7" man="1"/>
    <brk id="112" max="7"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18"/>
  <sheetViews>
    <sheetView zoomScale="90" zoomScaleNormal="90" workbookViewId="0">
      <selection activeCell="N59" sqref="N59"/>
    </sheetView>
  </sheetViews>
  <sheetFormatPr defaultColWidth="8.7265625" defaultRowHeight="11.5"/>
  <cols>
    <col min="1" max="1" width="16.7265625" style="777" customWidth="1"/>
    <col min="2" max="2" width="17" style="777" bestFit="1" customWidth="1"/>
    <col min="3" max="3" width="16.26953125" style="777" bestFit="1" customWidth="1"/>
    <col min="4" max="4" width="15.26953125" style="777" bestFit="1" customWidth="1"/>
    <col min="5" max="5" width="16.26953125" style="777" bestFit="1" customWidth="1"/>
    <col min="6" max="6" width="16.81640625" style="777" customWidth="1"/>
    <col min="7" max="7" width="12.7265625" style="777" bestFit="1" customWidth="1"/>
    <col min="8" max="8" width="14.453125" style="777" bestFit="1" customWidth="1"/>
    <col min="9" max="16384" width="8.7265625" style="723"/>
  </cols>
  <sheetData>
    <row r="1" spans="1:8" s="738" customFormat="1" ht="14">
      <c r="A1" s="776" t="s">
        <v>845</v>
      </c>
      <c r="B1" s="791"/>
      <c r="C1" s="791"/>
      <c r="D1" s="791"/>
      <c r="E1" s="791"/>
      <c r="F1" s="791"/>
      <c r="G1" s="791"/>
      <c r="H1" s="791"/>
    </row>
    <row r="2" spans="1:8" s="744" customFormat="1" ht="13">
      <c r="A2" s="1963" t="s">
        <v>902</v>
      </c>
      <c r="B2" s="1963"/>
      <c r="C2" s="1963"/>
      <c r="D2" s="1963"/>
      <c r="E2" s="1963"/>
      <c r="F2" s="1963"/>
      <c r="G2" s="1963"/>
      <c r="H2" s="1963"/>
    </row>
    <row r="3" spans="1:8" s="738" customFormat="1" ht="12" thickBot="1">
      <c r="A3" s="778"/>
      <c r="B3" s="778"/>
      <c r="C3" s="778"/>
      <c r="D3" s="778"/>
      <c r="E3" s="778"/>
      <c r="F3" s="778"/>
      <c r="G3" s="778"/>
      <c r="H3" s="778"/>
    </row>
    <row r="4" spans="1:8" ht="14.25" customHeight="1">
      <c r="A4" s="792"/>
      <c r="B4" s="792"/>
      <c r="C4" s="792"/>
      <c r="D4" s="792"/>
      <c r="E4" s="792"/>
      <c r="F4" s="792" t="s">
        <v>828</v>
      </c>
      <c r="G4" s="792"/>
      <c r="H4" s="792" t="s">
        <v>846</v>
      </c>
    </row>
    <row r="5" spans="1:8" ht="12.75" customHeight="1">
      <c r="A5" s="786"/>
      <c r="B5" s="786" t="s">
        <v>847</v>
      </c>
      <c r="C5" s="1964" t="s">
        <v>848</v>
      </c>
      <c r="D5" s="1964"/>
      <c r="E5" s="1964"/>
      <c r="F5" s="786" t="s">
        <v>849</v>
      </c>
      <c r="G5" s="786" t="s">
        <v>850</v>
      </c>
      <c r="H5" s="786" t="s">
        <v>851</v>
      </c>
    </row>
    <row r="6" spans="1:8">
      <c r="A6" s="779" t="s">
        <v>21</v>
      </c>
      <c r="B6" s="779" t="s">
        <v>852</v>
      </c>
      <c r="C6" s="779" t="s">
        <v>853</v>
      </c>
      <c r="D6" s="779" t="s">
        <v>854</v>
      </c>
      <c r="E6" s="779" t="s">
        <v>855</v>
      </c>
      <c r="F6" s="779" t="s">
        <v>856</v>
      </c>
      <c r="G6" s="779" t="s">
        <v>828</v>
      </c>
      <c r="H6" s="779" t="s">
        <v>322</v>
      </c>
    </row>
    <row r="7" spans="1:8" ht="6.75" customHeight="1">
      <c r="A7" s="786"/>
      <c r="B7" s="786"/>
      <c r="C7" s="786"/>
      <c r="D7" s="786"/>
      <c r="E7" s="786"/>
      <c r="F7" s="786"/>
      <c r="G7" s="786"/>
      <c r="H7" s="786"/>
    </row>
    <row r="8" spans="1:8" ht="11.25" customHeight="1">
      <c r="A8" s="777" t="s">
        <v>54</v>
      </c>
      <c r="B8" s="793">
        <v>3660008300</v>
      </c>
      <c r="C8" s="780">
        <v>500195200</v>
      </c>
      <c r="D8" s="780">
        <v>219626700</v>
      </c>
      <c r="E8" s="793">
        <v>719821900</v>
      </c>
      <c r="F8" s="793">
        <v>4379830200</v>
      </c>
      <c r="G8" s="794">
        <v>0.16434927089182591</v>
      </c>
      <c r="H8" s="780">
        <v>4390913.59</v>
      </c>
    </row>
    <row r="9" spans="1:8" ht="11.25" customHeight="1">
      <c r="A9" s="777" t="s">
        <v>56</v>
      </c>
      <c r="B9" s="783">
        <v>20552760100</v>
      </c>
      <c r="C9" s="781">
        <v>2988860500</v>
      </c>
      <c r="D9" s="781">
        <v>1153380200</v>
      </c>
      <c r="E9" s="783">
        <v>4142240700</v>
      </c>
      <c r="F9" s="783">
        <v>24695000800</v>
      </c>
      <c r="G9" s="794">
        <v>0.16773600185507992</v>
      </c>
      <c r="H9" s="781">
        <v>35374735.577999994</v>
      </c>
    </row>
    <row r="10" spans="1:8" ht="11.25" customHeight="1">
      <c r="A10" s="777" t="s">
        <v>58</v>
      </c>
      <c r="B10" s="783">
        <v>1121806200</v>
      </c>
      <c r="C10" s="781">
        <v>186611800</v>
      </c>
      <c r="D10" s="781">
        <v>103124800</v>
      </c>
      <c r="E10" s="783">
        <v>289736600</v>
      </c>
      <c r="F10" s="783">
        <v>1411542800</v>
      </c>
      <c r="G10" s="794">
        <v>0.20526235548791011</v>
      </c>
      <c r="H10" s="781">
        <v>2115077.1799999997</v>
      </c>
    </row>
    <row r="11" spans="1:8" ht="11.25" customHeight="1">
      <c r="A11" s="777" t="s">
        <v>60</v>
      </c>
      <c r="B11" s="783">
        <v>1292925055</v>
      </c>
      <c r="C11" s="781">
        <v>28922100</v>
      </c>
      <c r="D11" s="781">
        <v>54027300</v>
      </c>
      <c r="E11" s="783">
        <v>82949400</v>
      </c>
      <c r="F11" s="783">
        <v>1375874455</v>
      </c>
      <c r="G11" s="794">
        <v>6.028849485398724E-2</v>
      </c>
      <c r="H11" s="781">
        <v>398157.12</v>
      </c>
    </row>
    <row r="12" spans="1:8" ht="11.25" customHeight="1">
      <c r="A12" s="777" t="s">
        <v>62</v>
      </c>
      <c r="B12" s="783">
        <v>2652114000</v>
      </c>
      <c r="C12" s="781">
        <v>210553000</v>
      </c>
      <c r="D12" s="781">
        <v>348798800</v>
      </c>
      <c r="E12" s="783">
        <v>559351800</v>
      </c>
      <c r="F12" s="783">
        <v>3211465800</v>
      </c>
      <c r="G12" s="794">
        <v>0.17417336345291301</v>
      </c>
      <c r="H12" s="781">
        <v>3412045.9800000004</v>
      </c>
    </row>
    <row r="13" spans="1:8" ht="9" customHeight="1">
      <c r="B13" s="783"/>
      <c r="C13" s="781"/>
      <c r="D13" s="781"/>
      <c r="E13" s="783"/>
      <c r="F13" s="783"/>
      <c r="G13" s="794"/>
      <c r="H13" s="781"/>
    </row>
    <row r="14" spans="1:8" ht="11.25" customHeight="1">
      <c r="A14" s="777" t="s">
        <v>64</v>
      </c>
      <c r="B14" s="783">
        <v>1384557000</v>
      </c>
      <c r="C14" s="781">
        <v>139564800</v>
      </c>
      <c r="D14" s="781">
        <v>39838800</v>
      </c>
      <c r="E14" s="783">
        <v>179403600</v>
      </c>
      <c r="F14" s="783">
        <v>1563960600</v>
      </c>
      <c r="G14" s="794">
        <v>0.11471107392347352</v>
      </c>
      <c r="H14" s="781">
        <v>1166123.4000000001</v>
      </c>
    </row>
    <row r="15" spans="1:8" ht="11.25" customHeight="1">
      <c r="A15" s="777" t="s">
        <v>915</v>
      </c>
      <c r="B15" s="783">
        <v>77590138200</v>
      </c>
      <c r="C15" s="781">
        <v>7636276600</v>
      </c>
      <c r="D15" s="781">
        <v>1302834300</v>
      </c>
      <c r="E15" s="783">
        <v>8939110900</v>
      </c>
      <c r="F15" s="783">
        <v>86529249100</v>
      </c>
      <c r="G15" s="794">
        <v>0.10330739019437532</v>
      </c>
      <c r="H15" s="781">
        <v>917152.77833999996</v>
      </c>
    </row>
    <row r="16" spans="1:8" ht="11.25" customHeight="1">
      <c r="A16" s="777" t="s">
        <v>68</v>
      </c>
      <c r="B16" s="783">
        <v>8762829700</v>
      </c>
      <c r="C16" s="781">
        <v>593238100</v>
      </c>
      <c r="D16" s="781">
        <v>790652600</v>
      </c>
      <c r="E16" s="783">
        <v>1383890700</v>
      </c>
      <c r="F16" s="783">
        <v>10146720400</v>
      </c>
      <c r="G16" s="794">
        <v>0.13638798010044703</v>
      </c>
      <c r="H16" s="781">
        <v>8718511.4100000001</v>
      </c>
    </row>
    <row r="17" spans="1:8" ht="11.25" customHeight="1">
      <c r="A17" s="777" t="s">
        <v>70</v>
      </c>
      <c r="B17" s="783">
        <v>883391700</v>
      </c>
      <c r="C17" s="781">
        <v>249073800</v>
      </c>
      <c r="D17" s="781">
        <v>52096200</v>
      </c>
      <c r="E17" s="783">
        <v>301170000</v>
      </c>
      <c r="F17" s="783">
        <v>1184561700</v>
      </c>
      <c r="G17" s="794">
        <v>0.25424593754803992</v>
      </c>
      <c r="H17" s="781">
        <v>1505850</v>
      </c>
    </row>
    <row r="18" spans="1:8" ht="11.25" customHeight="1">
      <c r="A18" s="777" t="s">
        <v>832</v>
      </c>
      <c r="B18" s="783">
        <v>10252923534</v>
      </c>
      <c r="C18" s="781">
        <v>351983500</v>
      </c>
      <c r="D18" s="781">
        <v>472745600</v>
      </c>
      <c r="E18" s="783">
        <v>824729100</v>
      </c>
      <c r="F18" s="783">
        <v>11077652634</v>
      </c>
      <c r="G18" s="794">
        <v>7.4449806944542257E-2</v>
      </c>
      <c r="H18" s="781">
        <v>4123645.5</v>
      </c>
    </row>
    <row r="19" spans="1:8" ht="9" customHeight="1">
      <c r="B19" s="783"/>
      <c r="C19" s="783"/>
      <c r="D19" s="783"/>
      <c r="E19" s="783"/>
      <c r="F19" s="783"/>
      <c r="G19" s="794"/>
      <c r="H19" s="783"/>
    </row>
    <row r="20" spans="1:8" ht="11.25" customHeight="1">
      <c r="A20" s="777" t="s">
        <v>73</v>
      </c>
      <c r="B20" s="783">
        <v>609548100</v>
      </c>
      <c r="C20" s="781">
        <v>138882800</v>
      </c>
      <c r="D20" s="781">
        <v>29195300</v>
      </c>
      <c r="E20" s="783">
        <v>168078100</v>
      </c>
      <c r="F20" s="783">
        <v>777626200</v>
      </c>
      <c r="G20" s="794">
        <v>0.21614253737849881</v>
      </c>
      <c r="H20" s="781">
        <v>1008468.5999999999</v>
      </c>
    </row>
    <row r="21" spans="1:8" ht="11.25" customHeight="1">
      <c r="A21" s="777" t="s">
        <v>75</v>
      </c>
      <c r="B21" s="783">
        <v>3768484703</v>
      </c>
      <c r="C21" s="781">
        <v>203236000</v>
      </c>
      <c r="D21" s="781">
        <v>177158400</v>
      </c>
      <c r="E21" s="783">
        <v>380394400</v>
      </c>
      <c r="F21" s="783">
        <v>4148879103</v>
      </c>
      <c r="G21" s="794">
        <v>9.1686065213358911E-2</v>
      </c>
      <c r="H21" s="781">
        <v>3005115.7600000002</v>
      </c>
    </row>
    <row r="22" spans="1:8" ht="11.25" customHeight="1">
      <c r="A22" s="777" t="s">
        <v>77</v>
      </c>
      <c r="B22" s="783">
        <v>1304304560</v>
      </c>
      <c r="C22" s="781">
        <v>191567800</v>
      </c>
      <c r="D22" s="781">
        <v>44943300</v>
      </c>
      <c r="E22" s="783">
        <v>236511100</v>
      </c>
      <c r="F22" s="783">
        <v>1540815660</v>
      </c>
      <c r="G22" s="794">
        <v>0.15349733659898032</v>
      </c>
      <c r="H22" s="781">
        <v>1253508.83</v>
      </c>
    </row>
    <row r="23" spans="1:8" ht="11.25" customHeight="1">
      <c r="A23" s="777" t="s">
        <v>79</v>
      </c>
      <c r="B23" s="783">
        <v>2242165547</v>
      </c>
      <c r="C23" s="781">
        <v>423321892</v>
      </c>
      <c r="D23" s="781">
        <v>120322771</v>
      </c>
      <c r="E23" s="783">
        <v>543644663</v>
      </c>
      <c r="F23" s="783">
        <v>2785810210</v>
      </c>
      <c r="G23" s="794">
        <v>0.19514777462173205</v>
      </c>
      <c r="H23" s="781">
        <v>2120214.1857000003</v>
      </c>
    </row>
    <row r="24" spans="1:8" ht="11.25" customHeight="1">
      <c r="A24" s="777" t="s">
        <v>81</v>
      </c>
      <c r="B24" s="783">
        <v>1436922800</v>
      </c>
      <c r="C24" s="781">
        <v>229344100</v>
      </c>
      <c r="D24" s="781">
        <v>107341300</v>
      </c>
      <c r="E24" s="783">
        <v>336685400</v>
      </c>
      <c r="F24" s="783">
        <v>1773608200</v>
      </c>
      <c r="G24" s="794">
        <v>0.18983076420147357</v>
      </c>
      <c r="H24" s="781">
        <v>1851769.7000000002</v>
      </c>
    </row>
    <row r="25" spans="1:8" ht="9" customHeight="1">
      <c r="B25" s="783"/>
      <c r="C25" s="781"/>
      <c r="D25" s="781"/>
      <c r="E25" s="783"/>
      <c r="F25" s="783"/>
      <c r="G25" s="794"/>
      <c r="H25" s="781"/>
    </row>
    <row r="26" spans="1:8" ht="11.25" customHeight="1">
      <c r="A26" s="777" t="s">
        <v>83</v>
      </c>
      <c r="B26" s="783">
        <v>4388367457</v>
      </c>
      <c r="C26" s="781">
        <v>126791400</v>
      </c>
      <c r="D26" s="781">
        <v>311586600</v>
      </c>
      <c r="E26" s="783">
        <v>438378000</v>
      </c>
      <c r="F26" s="783">
        <v>4826745457</v>
      </c>
      <c r="G26" s="794">
        <v>9.0822688684409736E-2</v>
      </c>
      <c r="H26" s="781">
        <v>2279565.6</v>
      </c>
    </row>
    <row r="27" spans="1:8" ht="11.25" customHeight="1">
      <c r="A27" s="777" t="s">
        <v>85</v>
      </c>
      <c r="B27" s="783">
        <v>2855908212</v>
      </c>
      <c r="C27" s="781">
        <v>450046600</v>
      </c>
      <c r="D27" s="781">
        <v>180895100</v>
      </c>
      <c r="E27" s="783">
        <v>630941700</v>
      </c>
      <c r="F27" s="783">
        <v>3486849912</v>
      </c>
      <c r="G27" s="794">
        <v>0.18094891260693874</v>
      </c>
      <c r="H27" s="781">
        <v>5236816.1099999994</v>
      </c>
    </row>
    <row r="28" spans="1:8" ht="11.25" customHeight="1">
      <c r="A28" s="777" t="s">
        <v>87</v>
      </c>
      <c r="B28" s="783">
        <v>2349926800</v>
      </c>
      <c r="C28" s="781">
        <v>154633700</v>
      </c>
      <c r="D28" s="781">
        <v>72553000</v>
      </c>
      <c r="E28" s="783">
        <v>227186700</v>
      </c>
      <c r="F28" s="783">
        <v>2577113500</v>
      </c>
      <c r="G28" s="794">
        <v>8.8155488689186559E-2</v>
      </c>
      <c r="H28" s="781">
        <v>1578947.5649999999</v>
      </c>
    </row>
    <row r="29" spans="1:8" ht="11.25" customHeight="1">
      <c r="A29" s="777" t="s">
        <v>89</v>
      </c>
      <c r="B29" s="783">
        <v>853256680</v>
      </c>
      <c r="C29" s="781">
        <v>65163200</v>
      </c>
      <c r="D29" s="781">
        <v>16106000</v>
      </c>
      <c r="E29" s="783">
        <v>81269200</v>
      </c>
      <c r="F29" s="783">
        <v>934525880</v>
      </c>
      <c r="G29" s="794">
        <v>8.6963027711977323E-2</v>
      </c>
      <c r="H29" s="781">
        <v>617645.92000000004</v>
      </c>
    </row>
    <row r="30" spans="1:8" ht="11.25" customHeight="1">
      <c r="A30" s="777" t="s">
        <v>91</v>
      </c>
      <c r="B30" s="783">
        <v>1009959823</v>
      </c>
      <c r="C30" s="781">
        <v>29985904</v>
      </c>
      <c r="D30" s="781">
        <v>60032520</v>
      </c>
      <c r="E30" s="783">
        <v>90018424</v>
      </c>
      <c r="F30" s="783">
        <v>1099978247</v>
      </c>
      <c r="G30" s="794">
        <v>8.1836549264051039E-2</v>
      </c>
      <c r="H30" s="781">
        <v>558114.22879999992</v>
      </c>
    </row>
    <row r="31" spans="1:8" ht="9" customHeight="1">
      <c r="B31" s="783"/>
      <c r="C31" s="781"/>
      <c r="D31" s="781"/>
      <c r="E31" s="783"/>
      <c r="F31" s="783"/>
      <c r="G31" s="794"/>
      <c r="H31" s="781"/>
    </row>
    <row r="32" spans="1:8" ht="11.25" customHeight="1">
      <c r="A32" s="777" t="s">
        <v>93</v>
      </c>
      <c r="B32" s="783">
        <v>39063880200</v>
      </c>
      <c r="C32" s="781">
        <v>2457073200</v>
      </c>
      <c r="D32" s="781">
        <v>609605600</v>
      </c>
      <c r="E32" s="783">
        <v>3066678800</v>
      </c>
      <c r="F32" s="783">
        <v>42130559000</v>
      </c>
      <c r="G32" s="794">
        <v>7.2789891062209733E-2</v>
      </c>
      <c r="H32" s="781">
        <v>29133448.599999998</v>
      </c>
    </row>
    <row r="33" spans="1:8" ht="11.25" customHeight="1">
      <c r="A33" s="777" t="s">
        <v>95</v>
      </c>
      <c r="B33" s="783">
        <v>2406963400</v>
      </c>
      <c r="C33" s="781">
        <v>69034900</v>
      </c>
      <c r="D33" s="781">
        <v>118037000</v>
      </c>
      <c r="E33" s="783">
        <v>187071900</v>
      </c>
      <c r="F33" s="783">
        <v>2594035300</v>
      </c>
      <c r="G33" s="794">
        <v>7.2116173592549029E-2</v>
      </c>
      <c r="H33" s="781">
        <v>1328210.49</v>
      </c>
    </row>
    <row r="34" spans="1:8" ht="11.25" customHeight="1">
      <c r="A34" s="777" t="s">
        <v>97</v>
      </c>
      <c r="B34" s="783">
        <v>515130200</v>
      </c>
      <c r="C34" s="781">
        <v>94860100</v>
      </c>
      <c r="D34" s="781">
        <v>31898800</v>
      </c>
      <c r="E34" s="783">
        <v>126758900</v>
      </c>
      <c r="F34" s="783">
        <v>641889100</v>
      </c>
      <c r="G34" s="794">
        <v>0.19747788208274608</v>
      </c>
      <c r="H34" s="781">
        <v>747877.51</v>
      </c>
    </row>
    <row r="35" spans="1:8" ht="11.25" customHeight="1">
      <c r="A35" s="777" t="s">
        <v>99</v>
      </c>
      <c r="B35" s="783">
        <v>6119583418</v>
      </c>
      <c r="C35" s="781">
        <v>230303900</v>
      </c>
      <c r="D35" s="781">
        <v>284135000</v>
      </c>
      <c r="E35" s="783">
        <v>514438900</v>
      </c>
      <c r="F35" s="783">
        <v>6634022318</v>
      </c>
      <c r="G35" s="794">
        <v>7.7545548588852362E-2</v>
      </c>
      <c r="H35" s="781">
        <v>3189521.1799999997</v>
      </c>
    </row>
    <row r="36" spans="1:8" ht="11.25" customHeight="1">
      <c r="A36" s="777" t="s">
        <v>101</v>
      </c>
      <c r="B36" s="783">
        <v>863436935</v>
      </c>
      <c r="C36" s="781">
        <v>49799200</v>
      </c>
      <c r="D36" s="781">
        <v>75142200</v>
      </c>
      <c r="E36" s="783">
        <v>124941400</v>
      </c>
      <c r="F36" s="783">
        <v>988378335</v>
      </c>
      <c r="G36" s="794">
        <v>0.12641050048916744</v>
      </c>
      <c r="H36" s="781">
        <v>974542.92</v>
      </c>
    </row>
    <row r="37" spans="1:8" ht="9" customHeight="1">
      <c r="B37" s="783"/>
      <c r="C37" s="781"/>
      <c r="D37" s="781"/>
      <c r="E37" s="783"/>
      <c r="F37" s="783"/>
      <c r="G37" s="794"/>
      <c r="H37" s="781"/>
    </row>
    <row r="38" spans="1:8" ht="11.25" customHeight="1">
      <c r="A38" s="777" t="s">
        <v>103</v>
      </c>
      <c r="B38" s="783">
        <v>1292727200</v>
      </c>
      <c r="C38" s="781">
        <v>164745900</v>
      </c>
      <c r="D38" s="781">
        <v>47200600</v>
      </c>
      <c r="E38" s="783">
        <v>211946500</v>
      </c>
      <c r="F38" s="783">
        <v>1504673700</v>
      </c>
      <c r="G38" s="794">
        <v>0.14085877888342171</v>
      </c>
      <c r="H38" s="781">
        <v>1271679</v>
      </c>
    </row>
    <row r="39" spans="1:8" ht="11.25" customHeight="1">
      <c r="A39" s="777" t="s">
        <v>105</v>
      </c>
      <c r="B39" s="783">
        <v>2763388613</v>
      </c>
      <c r="C39" s="781">
        <v>221005600</v>
      </c>
      <c r="D39" s="781">
        <v>177018600</v>
      </c>
      <c r="E39" s="783">
        <v>398024200</v>
      </c>
      <c r="F39" s="783">
        <v>3161412813</v>
      </c>
      <c r="G39" s="794">
        <v>0.12590073601375007</v>
      </c>
      <c r="H39" s="781">
        <v>3144391.18</v>
      </c>
    </row>
    <row r="40" spans="1:8" ht="11.25" customHeight="1">
      <c r="A40" s="777" t="s">
        <v>107</v>
      </c>
      <c r="B40" s="783">
        <v>1390992000</v>
      </c>
      <c r="C40" s="781">
        <v>27043300</v>
      </c>
      <c r="D40" s="781">
        <v>71550500</v>
      </c>
      <c r="E40" s="783">
        <v>98593800</v>
      </c>
      <c r="F40" s="783">
        <v>1489585800</v>
      </c>
      <c r="G40" s="794">
        <v>6.6188735150402217E-2</v>
      </c>
      <c r="H40" s="781">
        <v>867625.44000000006</v>
      </c>
    </row>
    <row r="41" spans="1:8" ht="11.25" customHeight="1">
      <c r="A41" s="777" t="s">
        <v>109</v>
      </c>
      <c r="B41" s="783">
        <v>255352668383</v>
      </c>
      <c r="C41" s="781">
        <v>14733597260</v>
      </c>
      <c r="D41" s="781">
        <v>4215231250</v>
      </c>
      <c r="E41" s="783">
        <v>18948828510</v>
      </c>
      <c r="F41" s="783">
        <v>274301496893</v>
      </c>
      <c r="G41" s="794">
        <v>6.9080295676955755E-2</v>
      </c>
      <c r="H41" s="781">
        <v>217911527.86499998</v>
      </c>
    </row>
    <row r="42" spans="1:8" ht="11.25" customHeight="1">
      <c r="A42" s="777" t="s">
        <v>111</v>
      </c>
      <c r="B42" s="783">
        <v>13425985500</v>
      </c>
      <c r="C42" s="781">
        <v>666818800</v>
      </c>
      <c r="D42" s="781">
        <v>279986300</v>
      </c>
      <c r="E42" s="783">
        <v>946805100</v>
      </c>
      <c r="F42" s="783">
        <v>14372790600</v>
      </c>
      <c r="G42" s="794">
        <v>6.5874827397819316E-2</v>
      </c>
      <c r="H42" s="781">
        <v>9411242.6940000001</v>
      </c>
    </row>
    <row r="43" spans="1:8" ht="14">
      <c r="A43" s="776" t="s">
        <v>857</v>
      </c>
      <c r="B43" s="791"/>
      <c r="C43" s="791"/>
      <c r="D43" s="791"/>
      <c r="E43" s="791"/>
      <c r="F43" s="791"/>
      <c r="G43" s="791"/>
      <c r="H43" s="791"/>
    </row>
    <row r="44" spans="1:8" s="745" customFormat="1" ht="13">
      <c r="A44" s="1963" t="s">
        <v>902</v>
      </c>
      <c r="B44" s="1963"/>
      <c r="C44" s="1963"/>
      <c r="D44" s="1963"/>
      <c r="E44" s="1963"/>
      <c r="F44" s="1963"/>
      <c r="G44" s="1963"/>
      <c r="H44" s="1963"/>
    </row>
    <row r="45" spans="1:8" ht="7.5" customHeight="1" thickBot="1">
      <c r="A45" s="778"/>
      <c r="B45" s="778"/>
      <c r="C45" s="778"/>
      <c r="D45" s="778"/>
      <c r="E45" s="778"/>
      <c r="F45" s="778"/>
      <c r="G45" s="778"/>
      <c r="H45" s="778"/>
    </row>
    <row r="46" spans="1:8" ht="14.25" customHeight="1">
      <c r="A46" s="792"/>
      <c r="B46" s="792"/>
      <c r="C46" s="792"/>
      <c r="D46" s="792"/>
      <c r="E46" s="792"/>
      <c r="F46" s="792" t="s">
        <v>828</v>
      </c>
      <c r="G46" s="792"/>
      <c r="H46" s="792" t="s">
        <v>846</v>
      </c>
    </row>
    <row r="47" spans="1:8" ht="12.75" customHeight="1">
      <c r="A47" s="786"/>
      <c r="B47" s="786" t="s">
        <v>847</v>
      </c>
      <c r="C47" s="1964" t="s">
        <v>848</v>
      </c>
      <c r="D47" s="1964"/>
      <c r="E47" s="1964"/>
      <c r="F47" s="786" t="s">
        <v>849</v>
      </c>
      <c r="G47" s="786" t="s">
        <v>850</v>
      </c>
      <c r="H47" s="786" t="s">
        <v>851</v>
      </c>
    </row>
    <row r="48" spans="1:8">
      <c r="A48" s="779" t="s">
        <v>21</v>
      </c>
      <c r="B48" s="779" t="s">
        <v>852</v>
      </c>
      <c r="C48" s="779" t="s">
        <v>853</v>
      </c>
      <c r="D48" s="779" t="s">
        <v>854</v>
      </c>
      <c r="E48" s="779" t="s">
        <v>855</v>
      </c>
      <c r="F48" s="779" t="s">
        <v>856</v>
      </c>
      <c r="G48" s="779" t="s">
        <v>828</v>
      </c>
      <c r="H48" s="779" t="s">
        <v>322</v>
      </c>
    </row>
    <row r="49" spans="1:8" ht="9" customHeight="1"/>
    <row r="50" spans="1:8" ht="11.25" customHeight="1">
      <c r="A50" s="777" t="s">
        <v>113</v>
      </c>
      <c r="B50" s="793">
        <v>1791404700</v>
      </c>
      <c r="C50" s="780">
        <v>94856600</v>
      </c>
      <c r="D50" s="780">
        <v>30500900</v>
      </c>
      <c r="E50" s="793">
        <v>125357500</v>
      </c>
      <c r="F50" s="793">
        <v>1916762200</v>
      </c>
      <c r="G50" s="794">
        <v>6.5400653247439877E-2</v>
      </c>
      <c r="H50" s="780">
        <v>752145</v>
      </c>
    </row>
    <row r="51" spans="1:8" ht="11.25" customHeight="1">
      <c r="A51" s="777" t="s">
        <v>115</v>
      </c>
      <c r="B51" s="783">
        <v>2969880502</v>
      </c>
      <c r="C51" s="781">
        <v>156163600</v>
      </c>
      <c r="D51" s="781">
        <v>158906600</v>
      </c>
      <c r="E51" s="783">
        <v>315070200</v>
      </c>
      <c r="F51" s="783">
        <v>3284950702</v>
      </c>
      <c r="G51" s="794">
        <v>9.5913220191759213E-2</v>
      </c>
      <c r="H51" s="781">
        <v>2914399.35</v>
      </c>
    </row>
    <row r="52" spans="1:8" ht="11.25" customHeight="1">
      <c r="A52" s="777" t="s">
        <v>24</v>
      </c>
      <c r="B52" s="783">
        <v>7152725800</v>
      </c>
      <c r="C52" s="781">
        <v>108486200</v>
      </c>
      <c r="D52" s="781">
        <v>402424200</v>
      </c>
      <c r="E52" s="783">
        <v>510910400</v>
      </c>
      <c r="F52" s="783">
        <v>7663636200</v>
      </c>
      <c r="G52" s="794">
        <v>6.666683890866322E-2</v>
      </c>
      <c r="H52" s="781">
        <v>31165.534400000004</v>
      </c>
    </row>
    <row r="53" spans="1:8" ht="11.25" customHeight="1">
      <c r="A53" s="777" t="s">
        <v>118</v>
      </c>
      <c r="B53" s="783">
        <v>10954173175</v>
      </c>
      <c r="C53" s="781">
        <v>201482600</v>
      </c>
      <c r="D53" s="781">
        <v>963126500</v>
      </c>
      <c r="E53" s="783">
        <v>1164609100</v>
      </c>
      <c r="F53" s="783">
        <v>12118782275</v>
      </c>
      <c r="G53" s="794">
        <v>9.6099515081023268E-2</v>
      </c>
      <c r="H53" s="781">
        <v>7104115.5099999998</v>
      </c>
    </row>
    <row r="54" spans="1:8" ht="11.25" customHeight="1">
      <c r="A54" s="777" t="s">
        <v>120</v>
      </c>
      <c r="B54" s="783">
        <v>1208803700</v>
      </c>
      <c r="C54" s="781">
        <v>71976500</v>
      </c>
      <c r="D54" s="781">
        <v>72023600</v>
      </c>
      <c r="E54" s="783">
        <v>144000100</v>
      </c>
      <c r="F54" s="783">
        <v>1352803800</v>
      </c>
      <c r="G54" s="794">
        <v>0.10644566492199387</v>
      </c>
      <c r="H54" s="781">
        <v>964800.67000000016</v>
      </c>
    </row>
    <row r="55" spans="1:8" ht="9" customHeight="1">
      <c r="B55" s="783"/>
      <c r="C55" s="781"/>
      <c r="D55" s="781"/>
      <c r="E55" s="783"/>
      <c r="F55" s="783"/>
      <c r="G55" s="794"/>
      <c r="H55" s="781"/>
    </row>
    <row r="56" spans="1:8" ht="11.25" customHeight="1">
      <c r="A56" s="777" t="s">
        <v>55</v>
      </c>
      <c r="B56" s="783">
        <v>4488767686</v>
      </c>
      <c r="C56" s="781">
        <v>231336808</v>
      </c>
      <c r="D56" s="781">
        <v>161004780</v>
      </c>
      <c r="E56" s="783">
        <v>392341588</v>
      </c>
      <c r="F56" s="783">
        <v>4881109274</v>
      </c>
      <c r="G56" s="794">
        <v>8.0379595287872266E-2</v>
      </c>
      <c r="H56" s="781">
        <v>2726774.0365999998</v>
      </c>
    </row>
    <row r="57" spans="1:8" ht="11.25" customHeight="1">
      <c r="A57" s="777" t="s">
        <v>57</v>
      </c>
      <c r="B57" s="783">
        <v>5906644700</v>
      </c>
      <c r="C57" s="781">
        <v>158635400</v>
      </c>
      <c r="D57" s="781">
        <v>121415300</v>
      </c>
      <c r="E57" s="783">
        <v>280050700</v>
      </c>
      <c r="F57" s="783">
        <v>6186695400</v>
      </c>
      <c r="G57" s="794">
        <v>4.526660549669214E-2</v>
      </c>
      <c r="H57" s="781">
        <v>1484268.71</v>
      </c>
    </row>
    <row r="58" spans="1:8" ht="11.25" customHeight="1">
      <c r="A58" s="777" t="s">
        <v>59</v>
      </c>
      <c r="B58" s="783">
        <v>1668133900</v>
      </c>
      <c r="C58" s="781">
        <v>129139100</v>
      </c>
      <c r="D58" s="781">
        <v>102777300</v>
      </c>
      <c r="E58" s="783">
        <v>231916400</v>
      </c>
      <c r="F58" s="783">
        <v>1900050300</v>
      </c>
      <c r="G58" s="794">
        <v>0.12205803183210466</v>
      </c>
      <c r="H58" s="781">
        <v>1298731.8400000001</v>
      </c>
    </row>
    <row r="59" spans="1:8" ht="11.25" customHeight="1">
      <c r="A59" s="777" t="s">
        <v>61</v>
      </c>
      <c r="B59" s="783">
        <v>2314491649</v>
      </c>
      <c r="C59" s="781">
        <v>131717000</v>
      </c>
      <c r="D59" s="781">
        <v>122281900</v>
      </c>
      <c r="E59" s="783">
        <v>253998900</v>
      </c>
      <c r="F59" s="783">
        <v>2568490549</v>
      </c>
      <c r="G59" s="794">
        <v>9.8890338568265457E-2</v>
      </c>
      <c r="H59" s="781">
        <v>2082790.98</v>
      </c>
    </row>
    <row r="60" spans="1:8" ht="11.25" customHeight="1">
      <c r="A60" s="782" t="s">
        <v>63</v>
      </c>
      <c r="B60" s="795">
        <v>636966910</v>
      </c>
      <c r="C60" s="781">
        <v>161228100</v>
      </c>
      <c r="D60" s="781">
        <v>30515700</v>
      </c>
      <c r="E60" s="795">
        <v>191743800</v>
      </c>
      <c r="F60" s="795">
        <v>828710710</v>
      </c>
      <c r="G60" s="796">
        <v>0.23137603712156682</v>
      </c>
      <c r="H60" s="781">
        <v>1284683.46</v>
      </c>
    </row>
    <row r="61" spans="1:8" ht="8.25" customHeight="1">
      <c r="B61" s="777">
        <v>0</v>
      </c>
    </row>
    <row r="62" spans="1:8">
      <c r="A62" s="777" t="s">
        <v>328</v>
      </c>
      <c r="B62" s="783">
        <v>2689744036</v>
      </c>
      <c r="C62" s="781">
        <v>156625676</v>
      </c>
      <c r="D62" s="781">
        <v>259920827</v>
      </c>
      <c r="E62" s="783">
        <v>416546503</v>
      </c>
      <c r="F62" s="783">
        <v>3106290539</v>
      </c>
      <c r="G62" s="794">
        <v>0.13409772774638709</v>
      </c>
      <c r="H62" s="781">
        <v>2082732.5150000001</v>
      </c>
    </row>
    <row r="63" spans="1:8">
      <c r="A63" s="777" t="s">
        <v>67</v>
      </c>
      <c r="B63" s="783">
        <v>15841039810</v>
      </c>
      <c r="C63" s="781">
        <v>1141645401</v>
      </c>
      <c r="D63" s="781">
        <v>419159100</v>
      </c>
      <c r="E63" s="783">
        <v>1560804501</v>
      </c>
      <c r="F63" s="783">
        <v>17401844311</v>
      </c>
      <c r="G63" s="794">
        <v>8.9691901220687806E-2</v>
      </c>
      <c r="H63" s="781">
        <v>12642516.4581</v>
      </c>
    </row>
    <row r="64" spans="1:8">
      <c r="A64" s="777" t="s">
        <v>69</v>
      </c>
      <c r="B64" s="783">
        <v>40391059400</v>
      </c>
      <c r="C64" s="781">
        <v>2340973100</v>
      </c>
      <c r="D64" s="781">
        <v>1617720800</v>
      </c>
      <c r="E64" s="783">
        <v>3958693900</v>
      </c>
      <c r="F64" s="783">
        <v>44349753300</v>
      </c>
      <c r="G64" s="794">
        <v>8.9260787387514057E-2</v>
      </c>
      <c r="H64" s="781">
        <v>34440636.93</v>
      </c>
    </row>
    <row r="65" spans="1:8">
      <c r="A65" s="777" t="s">
        <v>71</v>
      </c>
      <c r="B65" s="783">
        <v>2946641700</v>
      </c>
      <c r="C65" s="781">
        <v>203216400</v>
      </c>
      <c r="D65" s="781">
        <v>376550400</v>
      </c>
      <c r="E65" s="783">
        <v>579766800</v>
      </c>
      <c r="F65" s="783">
        <v>3526408500</v>
      </c>
      <c r="G65" s="794">
        <v>0.16440715816105819</v>
      </c>
      <c r="H65" s="781">
        <v>3217705.74</v>
      </c>
    </row>
    <row r="66" spans="1:8">
      <c r="A66" s="777" t="s">
        <v>72</v>
      </c>
      <c r="B66" s="783">
        <v>674154200</v>
      </c>
      <c r="C66" s="781">
        <v>61015400</v>
      </c>
      <c r="D66" s="781">
        <v>22213400</v>
      </c>
      <c r="E66" s="783">
        <v>83228800</v>
      </c>
      <c r="F66" s="783">
        <v>757383000</v>
      </c>
      <c r="G66" s="794">
        <v>0.10988997640559664</v>
      </c>
      <c r="H66" s="781">
        <v>399498.23999999999</v>
      </c>
    </row>
    <row r="67" spans="1:8" ht="9" customHeight="1">
      <c r="B67" s="783"/>
      <c r="C67" s="781"/>
      <c r="D67" s="781"/>
      <c r="E67" s="783"/>
      <c r="F67" s="783"/>
      <c r="G67" s="794"/>
      <c r="H67" s="781"/>
    </row>
    <row r="68" spans="1:8">
      <c r="A68" s="777" t="s">
        <v>74</v>
      </c>
      <c r="B68" s="783">
        <v>5007174280</v>
      </c>
      <c r="C68" s="781">
        <v>113202600</v>
      </c>
      <c r="D68" s="781">
        <v>228685400</v>
      </c>
      <c r="E68" s="783">
        <v>341888000</v>
      </c>
      <c r="F68" s="783">
        <v>5349062280</v>
      </c>
      <c r="G68" s="794">
        <v>6.3915501840072053E-2</v>
      </c>
      <c r="H68" s="781">
        <v>2904555.83</v>
      </c>
    </row>
    <row r="69" spans="1:8">
      <c r="A69" s="777" t="s">
        <v>914</v>
      </c>
      <c r="B69" s="783">
        <v>12218758700</v>
      </c>
      <c r="C69" s="781">
        <v>594950800</v>
      </c>
      <c r="D69" s="781">
        <v>160212800</v>
      </c>
      <c r="E69" s="783">
        <v>755163600</v>
      </c>
      <c r="F69" s="783">
        <v>12973922300</v>
      </c>
      <c r="G69" s="794">
        <v>5.8206268122940739E-2</v>
      </c>
      <c r="H69" s="781">
        <v>6343374.2400000002</v>
      </c>
    </row>
    <row r="70" spans="1:8">
      <c r="A70" s="777" t="s">
        <v>78</v>
      </c>
      <c r="B70" s="783">
        <v>902427400</v>
      </c>
      <c r="C70" s="781">
        <v>25542100</v>
      </c>
      <c r="D70" s="781">
        <v>44540400</v>
      </c>
      <c r="E70" s="783">
        <v>70082500</v>
      </c>
      <c r="F70" s="783">
        <v>972509900</v>
      </c>
      <c r="G70" s="794">
        <v>7.2063533749116587E-2</v>
      </c>
      <c r="H70" s="781">
        <v>371437.25</v>
      </c>
    </row>
    <row r="71" spans="1:8">
      <c r="A71" s="777" t="s">
        <v>80</v>
      </c>
      <c r="B71" s="783">
        <v>2973689239</v>
      </c>
      <c r="C71" s="781">
        <v>1222841100</v>
      </c>
      <c r="D71" s="781">
        <v>62334300</v>
      </c>
      <c r="E71" s="783">
        <v>1285175400</v>
      </c>
      <c r="F71" s="783">
        <v>4258864639</v>
      </c>
      <c r="G71" s="794">
        <v>0.30176479154354263</v>
      </c>
      <c r="H71" s="781">
        <v>0</v>
      </c>
    </row>
    <row r="72" spans="1:8" ht="12" customHeight="1">
      <c r="A72" s="777" t="s">
        <v>364</v>
      </c>
      <c r="B72" s="783">
        <v>1409242279</v>
      </c>
      <c r="C72" s="781">
        <v>40235335</v>
      </c>
      <c r="D72" s="781">
        <v>44077188</v>
      </c>
      <c r="E72" s="783">
        <v>84312523</v>
      </c>
      <c r="F72" s="783">
        <v>1493554802</v>
      </c>
      <c r="G72" s="794">
        <v>5.645090684794303E-2</v>
      </c>
      <c r="H72" s="781">
        <v>725087.69779999997</v>
      </c>
    </row>
    <row r="73" spans="1:8" ht="8.25" customHeight="1">
      <c r="B73" s="783"/>
      <c r="C73" s="783"/>
      <c r="D73" s="781"/>
      <c r="E73" s="783"/>
      <c r="F73" s="783"/>
      <c r="G73" s="794"/>
      <c r="H73" s="783"/>
    </row>
    <row r="74" spans="1:8">
      <c r="A74" s="777" t="s">
        <v>84</v>
      </c>
      <c r="B74" s="783">
        <v>2672216300</v>
      </c>
      <c r="C74" s="781">
        <v>47581300</v>
      </c>
      <c r="D74" s="781">
        <v>77302300</v>
      </c>
      <c r="E74" s="783">
        <v>124883600</v>
      </c>
      <c r="F74" s="783">
        <v>2797099900</v>
      </c>
      <c r="G74" s="794">
        <v>4.4647529392854365E-2</v>
      </c>
      <c r="H74" s="781">
        <v>786766.67999999993</v>
      </c>
    </row>
    <row r="75" spans="1:8">
      <c r="A75" s="777" t="s">
        <v>86</v>
      </c>
      <c r="B75" s="783">
        <v>965135982</v>
      </c>
      <c r="C75" s="781">
        <v>152877078</v>
      </c>
      <c r="D75" s="781">
        <v>83224400</v>
      </c>
      <c r="E75" s="783">
        <v>236101478</v>
      </c>
      <c r="F75" s="783">
        <v>1201237460</v>
      </c>
      <c r="G75" s="794">
        <v>0.19654854752864601</v>
      </c>
      <c r="H75" s="781">
        <v>1460759.8443860002</v>
      </c>
    </row>
    <row r="76" spans="1:8">
      <c r="A76" s="777" t="s">
        <v>88</v>
      </c>
      <c r="B76" s="783">
        <v>85909281920</v>
      </c>
      <c r="C76" s="781">
        <v>5408287010</v>
      </c>
      <c r="D76" s="781">
        <v>1802929900</v>
      </c>
      <c r="E76" s="783">
        <v>7211216910</v>
      </c>
      <c r="F76" s="783">
        <v>93120498830</v>
      </c>
      <c r="G76" s="794">
        <v>7.7439629304013255E-2</v>
      </c>
      <c r="H76" s="781">
        <v>75357216.709499985</v>
      </c>
    </row>
    <row r="77" spans="1:8">
      <c r="A77" s="777" t="s">
        <v>90</v>
      </c>
      <c r="B77" s="783">
        <v>5580455500</v>
      </c>
      <c r="C77" s="781">
        <v>60982000</v>
      </c>
      <c r="D77" s="781">
        <v>128805800</v>
      </c>
      <c r="E77" s="783">
        <v>189787800</v>
      </c>
      <c r="F77" s="783">
        <v>5770243300</v>
      </c>
      <c r="G77" s="794">
        <v>3.2890779492781526E-2</v>
      </c>
      <c r="H77" s="781">
        <v>1366472.16</v>
      </c>
    </row>
    <row r="78" spans="1:8">
      <c r="A78" s="777" t="s">
        <v>92</v>
      </c>
      <c r="B78" s="783">
        <v>926502400</v>
      </c>
      <c r="C78" s="781">
        <v>45008600</v>
      </c>
      <c r="D78" s="781">
        <v>54053100</v>
      </c>
      <c r="E78" s="783">
        <v>99061700</v>
      </c>
      <c r="F78" s="783">
        <v>1025564100</v>
      </c>
      <c r="G78" s="794">
        <v>9.6592402171643874E-2</v>
      </c>
      <c r="H78" s="781">
        <v>376434.45999999996</v>
      </c>
    </row>
    <row r="79" spans="1:8" ht="9" customHeight="1">
      <c r="B79" s="783"/>
      <c r="C79" s="781"/>
      <c r="D79" s="781"/>
      <c r="E79" s="783"/>
      <c r="F79" s="783"/>
      <c r="G79" s="794"/>
      <c r="H79" s="781"/>
    </row>
    <row r="80" spans="1:8">
      <c r="A80" s="777" t="s">
        <v>94</v>
      </c>
      <c r="B80" s="783">
        <v>2265906900</v>
      </c>
      <c r="C80" s="781">
        <v>107088900</v>
      </c>
      <c r="D80" s="781">
        <v>231156000</v>
      </c>
      <c r="E80" s="783">
        <v>338244900</v>
      </c>
      <c r="F80" s="783">
        <v>2604151800</v>
      </c>
      <c r="G80" s="794">
        <v>0.12988678309766735</v>
      </c>
      <c r="H80" s="781">
        <v>2367714.2999999998</v>
      </c>
    </row>
    <row r="81" spans="1:8">
      <c r="A81" s="777" t="s">
        <v>96</v>
      </c>
      <c r="B81" s="783">
        <v>1629386500</v>
      </c>
      <c r="C81" s="781">
        <v>14025800</v>
      </c>
      <c r="D81" s="781">
        <v>57689500</v>
      </c>
      <c r="E81" s="783">
        <v>71715300</v>
      </c>
      <c r="F81" s="783">
        <v>1701101800</v>
      </c>
      <c r="G81" s="794">
        <v>4.2158147149100662E-2</v>
      </c>
      <c r="H81" s="781">
        <v>462563.68500000006</v>
      </c>
    </row>
    <row r="82" spans="1:8">
      <c r="A82" s="777" t="s">
        <v>98</v>
      </c>
      <c r="B82" s="783">
        <v>4533434600</v>
      </c>
      <c r="C82" s="781">
        <v>229717200</v>
      </c>
      <c r="D82" s="781">
        <v>237281200</v>
      </c>
      <c r="E82" s="783">
        <v>466998400</v>
      </c>
      <c r="F82" s="783">
        <v>5000433000</v>
      </c>
      <c r="G82" s="794">
        <v>9.3391592288107853E-2</v>
      </c>
      <c r="H82" s="781">
        <v>1961393.2799999998</v>
      </c>
    </row>
    <row r="83" spans="1:8">
      <c r="A83" s="777" t="s">
        <v>100</v>
      </c>
      <c r="B83" s="783">
        <v>2273920800</v>
      </c>
      <c r="C83" s="781">
        <v>33591500</v>
      </c>
      <c r="D83" s="781">
        <v>78131200</v>
      </c>
      <c r="E83" s="783">
        <v>111722700</v>
      </c>
      <c r="F83" s="783">
        <v>2385643500</v>
      </c>
      <c r="G83" s="794">
        <v>4.6831263765939879E-2</v>
      </c>
      <c r="H83" s="781">
        <v>692680.74</v>
      </c>
    </row>
    <row r="84" spans="1:8">
      <c r="A84" s="777" t="s">
        <v>102</v>
      </c>
      <c r="B84" s="783">
        <v>8658132300</v>
      </c>
      <c r="C84" s="781">
        <v>888034700</v>
      </c>
      <c r="D84" s="781">
        <v>3099854900</v>
      </c>
      <c r="E84" s="783">
        <v>3987889600</v>
      </c>
      <c r="F84" s="783">
        <v>12646021900</v>
      </c>
      <c r="G84" s="794">
        <v>0.31534735836571659</v>
      </c>
      <c r="H84" s="781">
        <v>35492217.439999998</v>
      </c>
    </row>
    <row r="85" spans="1:8" ht="14">
      <c r="A85" s="776" t="s">
        <v>857</v>
      </c>
      <c r="B85" s="791"/>
      <c r="C85" s="791"/>
      <c r="D85" s="791"/>
      <c r="E85" s="791"/>
      <c r="F85" s="791"/>
      <c r="G85" s="791"/>
      <c r="H85" s="791"/>
    </row>
    <row r="86" spans="1:8" ht="13">
      <c r="A86" s="1963" t="s">
        <v>902</v>
      </c>
      <c r="B86" s="1963"/>
      <c r="C86" s="1963"/>
      <c r="D86" s="1963"/>
      <c r="E86" s="1963"/>
      <c r="F86" s="1963"/>
      <c r="G86" s="1963"/>
      <c r="H86" s="1963"/>
    </row>
    <row r="87" spans="1:8" ht="8.25" customHeight="1" thickBot="1">
      <c r="A87" s="778"/>
      <c r="B87" s="778"/>
      <c r="C87" s="778"/>
      <c r="D87" s="778"/>
      <c r="E87" s="778"/>
      <c r="F87" s="778"/>
      <c r="G87" s="778"/>
      <c r="H87" s="778"/>
    </row>
    <row r="88" spans="1:8" ht="13.5" customHeight="1">
      <c r="A88" s="792"/>
      <c r="B88" s="792"/>
      <c r="C88" s="792"/>
      <c r="D88" s="792"/>
      <c r="E88" s="792"/>
      <c r="F88" s="792" t="s">
        <v>828</v>
      </c>
      <c r="G88" s="792"/>
      <c r="H88" s="792" t="s">
        <v>846</v>
      </c>
    </row>
    <row r="89" spans="1:8">
      <c r="A89" s="786"/>
      <c r="B89" s="786" t="s">
        <v>847</v>
      </c>
      <c r="C89" s="1964" t="s">
        <v>848</v>
      </c>
      <c r="D89" s="1964"/>
      <c r="E89" s="1964"/>
      <c r="F89" s="786" t="s">
        <v>849</v>
      </c>
      <c r="G89" s="786" t="s">
        <v>850</v>
      </c>
      <c r="H89" s="786" t="s">
        <v>851</v>
      </c>
    </row>
    <row r="90" spans="1:8">
      <c r="A90" s="779" t="s">
        <v>21</v>
      </c>
      <c r="B90" s="779" t="s">
        <v>852</v>
      </c>
      <c r="C90" s="779" t="s">
        <v>853</v>
      </c>
      <c r="D90" s="779" t="s">
        <v>854</v>
      </c>
      <c r="E90" s="779" t="s">
        <v>855</v>
      </c>
      <c r="F90" s="779" t="s">
        <v>856</v>
      </c>
      <c r="G90" s="779" t="s">
        <v>828</v>
      </c>
      <c r="H90" s="779" t="s">
        <v>322</v>
      </c>
    </row>
    <row r="91" spans="1:8" ht="9" customHeight="1">
      <c r="B91" s="783"/>
      <c r="C91" s="783"/>
      <c r="D91" s="781"/>
      <c r="E91" s="783"/>
      <c r="F91" s="783"/>
      <c r="G91" s="794"/>
      <c r="H91" s="783"/>
    </row>
    <row r="92" spans="1:8">
      <c r="A92" s="777" t="s">
        <v>104</v>
      </c>
      <c r="B92" s="793">
        <v>2985743250</v>
      </c>
      <c r="C92" s="780">
        <v>89946900</v>
      </c>
      <c r="D92" s="780">
        <v>95005200</v>
      </c>
      <c r="E92" s="793">
        <v>184952100</v>
      </c>
      <c r="F92" s="793">
        <v>3170695350</v>
      </c>
      <c r="G92" s="794">
        <v>5.8331715785939507E-2</v>
      </c>
      <c r="H92" s="780">
        <v>1331655.1200000001</v>
      </c>
    </row>
    <row r="93" spans="1:8">
      <c r="A93" s="777" t="s">
        <v>106</v>
      </c>
      <c r="B93" s="783">
        <v>3100118703</v>
      </c>
      <c r="C93" s="781">
        <v>291717062</v>
      </c>
      <c r="D93" s="781">
        <v>160646500</v>
      </c>
      <c r="E93" s="783">
        <v>452363562</v>
      </c>
      <c r="F93" s="783">
        <v>3552482265</v>
      </c>
      <c r="G93" s="794">
        <v>0.12733731747426472</v>
      </c>
      <c r="H93" s="781">
        <v>3709381.2083999999</v>
      </c>
    </row>
    <row r="94" spans="1:8">
      <c r="A94" s="777" t="s">
        <v>108</v>
      </c>
      <c r="B94" s="783">
        <v>1999101400</v>
      </c>
      <c r="C94" s="781">
        <v>180554800</v>
      </c>
      <c r="D94" s="781">
        <v>352741400</v>
      </c>
      <c r="E94" s="783">
        <v>533296200</v>
      </c>
      <c r="F94" s="783">
        <v>2532397600</v>
      </c>
      <c r="G94" s="794">
        <v>0.21058944298478249</v>
      </c>
      <c r="H94" s="781">
        <v>4426358.459999999</v>
      </c>
    </row>
    <row r="95" spans="1:8">
      <c r="A95" s="777" t="s">
        <v>110</v>
      </c>
      <c r="B95" s="783">
        <v>3047609200</v>
      </c>
      <c r="C95" s="781">
        <v>14658100</v>
      </c>
      <c r="D95" s="781">
        <v>82189900</v>
      </c>
      <c r="E95" s="783">
        <v>96848000</v>
      </c>
      <c r="F95" s="783">
        <v>3144457200</v>
      </c>
      <c r="G95" s="794">
        <v>3.0799592374798422E-2</v>
      </c>
      <c r="H95" s="781">
        <v>571403.19999999995</v>
      </c>
    </row>
    <row r="96" spans="1:8">
      <c r="A96" s="777" t="s">
        <v>112</v>
      </c>
      <c r="B96" s="783">
        <v>977114191</v>
      </c>
      <c r="C96" s="781">
        <v>157744496</v>
      </c>
      <c r="D96" s="781">
        <v>80086632</v>
      </c>
      <c r="E96" s="783">
        <v>237831128</v>
      </c>
      <c r="F96" s="783">
        <v>1214945319</v>
      </c>
      <c r="G96" s="794">
        <v>0.19575459428557213</v>
      </c>
      <c r="H96" s="781">
        <v>1141589.3600000001</v>
      </c>
    </row>
    <row r="97" spans="1:8" ht="9" customHeight="1">
      <c r="B97" s="783"/>
      <c r="C97" s="781"/>
      <c r="D97" s="781"/>
      <c r="E97" s="783"/>
      <c r="F97" s="783"/>
      <c r="G97" s="794"/>
      <c r="H97" s="781"/>
    </row>
    <row r="98" spans="1:8">
      <c r="A98" s="777" t="s">
        <v>114</v>
      </c>
      <c r="B98" s="783">
        <v>4173536200</v>
      </c>
      <c r="C98" s="781">
        <v>300602600</v>
      </c>
      <c r="D98" s="781">
        <v>100109800</v>
      </c>
      <c r="E98" s="783">
        <v>400712400</v>
      </c>
      <c r="F98" s="783">
        <v>4574248600</v>
      </c>
      <c r="G98" s="794">
        <v>8.7601797593598207E-2</v>
      </c>
      <c r="H98" s="781">
        <v>3221727.696</v>
      </c>
    </row>
    <row r="99" spans="1:8">
      <c r="A99" s="777" t="s">
        <v>116</v>
      </c>
      <c r="B99" s="783">
        <v>2520990100</v>
      </c>
      <c r="C99" s="781">
        <v>256238400</v>
      </c>
      <c r="D99" s="781">
        <v>199185200</v>
      </c>
      <c r="E99" s="783">
        <v>455423600</v>
      </c>
      <c r="F99" s="783">
        <v>2976413700</v>
      </c>
      <c r="G99" s="794">
        <v>0.15301085329636804</v>
      </c>
      <c r="H99" s="781">
        <v>3324592.2800000003</v>
      </c>
    </row>
    <row r="100" spans="1:8">
      <c r="A100" s="777" t="s">
        <v>117</v>
      </c>
      <c r="B100" s="783">
        <v>1582512500</v>
      </c>
      <c r="C100" s="781">
        <v>47649800</v>
      </c>
      <c r="D100" s="781">
        <v>107242300</v>
      </c>
      <c r="E100" s="783">
        <v>154892100</v>
      </c>
      <c r="F100" s="783">
        <v>1737404600</v>
      </c>
      <c r="G100" s="794">
        <v>8.9151427364702496E-2</v>
      </c>
      <c r="H100" s="781">
        <v>1053266.28</v>
      </c>
    </row>
    <row r="101" spans="1:8">
      <c r="A101" s="777" t="s">
        <v>119</v>
      </c>
      <c r="B101" s="783">
        <v>4829255400</v>
      </c>
      <c r="C101" s="781">
        <v>167193700</v>
      </c>
      <c r="D101" s="781">
        <v>441036400</v>
      </c>
      <c r="E101" s="783">
        <v>608230100</v>
      </c>
      <c r="F101" s="783">
        <v>5437485500</v>
      </c>
      <c r="G101" s="794">
        <v>0.11185870748528892</v>
      </c>
      <c r="H101" s="781">
        <v>3771026.62</v>
      </c>
    </row>
    <row r="102" spans="1:8">
      <c r="A102" s="777" t="s">
        <v>121</v>
      </c>
      <c r="B102" s="783">
        <v>3854983400</v>
      </c>
      <c r="C102" s="781">
        <v>124691900</v>
      </c>
      <c r="D102" s="781">
        <v>173339300</v>
      </c>
      <c r="E102" s="783">
        <v>298031200</v>
      </c>
      <c r="F102" s="783">
        <v>4153014600</v>
      </c>
      <c r="G102" s="794">
        <v>7.176261793059914E-2</v>
      </c>
      <c r="H102" s="781">
        <v>2622674.56</v>
      </c>
    </row>
    <row r="103" spans="1:8" ht="6" customHeight="1">
      <c r="B103" s="783"/>
      <c r="C103" s="783"/>
      <c r="D103" s="781"/>
      <c r="E103" s="783"/>
      <c r="F103" s="783"/>
      <c r="G103" s="794"/>
      <c r="H103" s="783"/>
    </row>
    <row r="104" spans="1:8">
      <c r="A104" s="777" t="s">
        <v>122</v>
      </c>
      <c r="B104" s="783">
        <v>1559337150</v>
      </c>
      <c r="C104" s="781">
        <v>89522200</v>
      </c>
      <c r="D104" s="781">
        <v>339059600</v>
      </c>
      <c r="E104" s="783">
        <v>428581800</v>
      </c>
      <c r="F104" s="783">
        <v>1987918950</v>
      </c>
      <c r="G104" s="794">
        <v>0.21559319609081648</v>
      </c>
      <c r="H104" s="781">
        <v>2185767.1800000002</v>
      </c>
    </row>
    <row r="105" spans="1:8">
      <c r="A105" s="777" t="s">
        <v>124</v>
      </c>
      <c r="B105" s="783">
        <v>3001941606</v>
      </c>
      <c r="C105" s="781">
        <v>2522070700</v>
      </c>
      <c r="D105" s="781">
        <v>114317200</v>
      </c>
      <c r="E105" s="783">
        <v>2636387900</v>
      </c>
      <c r="F105" s="783">
        <v>5638329506</v>
      </c>
      <c r="G105" s="794">
        <v>0.4675831551161565</v>
      </c>
      <c r="H105" s="781">
        <v>0</v>
      </c>
    </row>
    <row r="106" spans="1:8">
      <c r="A106" s="777" t="s">
        <v>126</v>
      </c>
      <c r="B106" s="783">
        <v>62427619400</v>
      </c>
      <c r="C106" s="781">
        <v>2563110200</v>
      </c>
      <c r="D106" s="781">
        <v>1881943800</v>
      </c>
      <c r="E106" s="783">
        <v>4445054000</v>
      </c>
      <c r="F106" s="783">
        <v>66872673400</v>
      </c>
      <c r="G106" s="794">
        <v>6.6470409720452414E-2</v>
      </c>
      <c r="H106" s="781">
        <v>50006857.5</v>
      </c>
    </row>
    <row r="107" spans="1:8">
      <c r="A107" s="777" t="s">
        <v>128</v>
      </c>
      <c r="B107" s="783">
        <v>2745847155</v>
      </c>
      <c r="C107" s="781">
        <v>533537900</v>
      </c>
      <c r="D107" s="781">
        <v>94469100</v>
      </c>
      <c r="E107" s="783">
        <v>628007000</v>
      </c>
      <c r="F107" s="783">
        <v>3373854155</v>
      </c>
      <c r="G107" s="794">
        <v>0.18613934424797329</v>
      </c>
      <c r="H107" s="781">
        <v>4835653.9000000004</v>
      </c>
    </row>
    <row r="108" spans="1:8">
      <c r="A108" s="777" t="s">
        <v>130</v>
      </c>
      <c r="B108" s="783">
        <v>2168949300</v>
      </c>
      <c r="C108" s="781">
        <v>111067200</v>
      </c>
      <c r="D108" s="781">
        <v>31289500</v>
      </c>
      <c r="E108" s="783">
        <v>142356700</v>
      </c>
      <c r="F108" s="783">
        <v>2311306000</v>
      </c>
      <c r="G108" s="794">
        <v>6.159145522055496E-2</v>
      </c>
      <c r="H108" s="781">
        <v>953789.89</v>
      </c>
    </row>
    <row r="109" spans="1:8" ht="6" customHeight="1">
      <c r="B109" s="783"/>
      <c r="C109" s="781"/>
      <c r="D109" s="781"/>
      <c r="E109" s="783"/>
      <c r="F109" s="783"/>
      <c r="G109" s="794"/>
      <c r="H109" s="781"/>
    </row>
    <row r="110" spans="1:8">
      <c r="A110" s="777" t="s">
        <v>132</v>
      </c>
      <c r="B110" s="783">
        <v>881309994</v>
      </c>
      <c r="C110" s="781">
        <v>71054907</v>
      </c>
      <c r="D110" s="781">
        <v>54224012</v>
      </c>
      <c r="E110" s="783">
        <v>125278919</v>
      </c>
      <c r="F110" s="783">
        <v>1006588913</v>
      </c>
      <c r="G110" s="794">
        <v>0.12445887033130873</v>
      </c>
      <c r="H110" s="781">
        <v>876952.43299999996</v>
      </c>
    </row>
    <row r="111" spans="1:8">
      <c r="A111" s="777" t="s">
        <v>25</v>
      </c>
      <c r="B111" s="783">
        <v>8883727000</v>
      </c>
      <c r="C111" s="781">
        <v>661601500</v>
      </c>
      <c r="D111" s="781">
        <v>448570900</v>
      </c>
      <c r="E111" s="783">
        <v>1110172400</v>
      </c>
      <c r="F111" s="783">
        <v>9993899400</v>
      </c>
      <c r="G111" s="794">
        <v>0.11108500852029789</v>
      </c>
      <c r="H111" s="781">
        <v>12100879.16</v>
      </c>
    </row>
    <row r="112" spans="1:8">
      <c r="A112" s="777" t="s">
        <v>134</v>
      </c>
      <c r="B112" s="783">
        <v>3093716140</v>
      </c>
      <c r="C112" s="781">
        <v>211111000</v>
      </c>
      <c r="D112" s="781">
        <v>191861400</v>
      </c>
      <c r="E112" s="783">
        <v>402972400</v>
      </c>
      <c r="F112" s="783">
        <v>3496688540</v>
      </c>
      <c r="G112" s="794">
        <v>0.1152440074059327</v>
      </c>
      <c r="H112" s="781">
        <v>2941698.52</v>
      </c>
    </row>
    <row r="113" spans="1:8">
      <c r="A113" s="777" t="s">
        <v>135</v>
      </c>
      <c r="B113" s="783">
        <v>9123576400</v>
      </c>
      <c r="C113" s="781">
        <v>329295100</v>
      </c>
      <c r="D113" s="781">
        <v>852377900</v>
      </c>
      <c r="E113" s="783">
        <v>1181673000</v>
      </c>
      <c r="F113" s="783">
        <v>10305249400</v>
      </c>
      <c r="G113" s="794">
        <v>0.11466709384054305</v>
      </c>
      <c r="H113" s="781">
        <v>8744380.1999999993</v>
      </c>
    </row>
    <row r="114" spans="1:8">
      <c r="A114" s="782" t="s">
        <v>137</v>
      </c>
      <c r="B114" s="795">
        <v>1608993683</v>
      </c>
      <c r="C114" s="781">
        <v>129226060</v>
      </c>
      <c r="D114" s="781">
        <v>102856200</v>
      </c>
      <c r="E114" s="795">
        <v>232082260</v>
      </c>
      <c r="F114" s="795">
        <v>1841075943</v>
      </c>
      <c r="G114" s="796">
        <v>0.12605795045142251</v>
      </c>
      <c r="H114" s="781">
        <v>1462118.2380000001</v>
      </c>
    </row>
    <row r="115" spans="1:8" ht="8.25" customHeight="1"/>
    <row r="116" spans="1:8">
      <c r="A116" s="777" t="s">
        <v>139</v>
      </c>
      <c r="B116" s="781">
        <v>1233910100</v>
      </c>
      <c r="C116" s="781">
        <v>126056243</v>
      </c>
      <c r="D116" s="781">
        <v>164035800</v>
      </c>
      <c r="E116" s="781">
        <v>290092043</v>
      </c>
      <c r="F116" s="784">
        <v>1524002143</v>
      </c>
      <c r="G116" s="797">
        <v>0.19034884191760615</v>
      </c>
      <c r="H116" s="781">
        <v>2320736.344</v>
      </c>
    </row>
    <row r="117" spans="1:8">
      <c r="A117" s="777" t="s">
        <v>141</v>
      </c>
      <c r="B117" s="783">
        <v>5018358180</v>
      </c>
      <c r="C117" s="781">
        <v>602322000</v>
      </c>
      <c r="D117" s="781">
        <v>212497600</v>
      </c>
      <c r="E117" s="783">
        <v>814819600</v>
      </c>
      <c r="F117" s="783">
        <v>5833177780</v>
      </c>
      <c r="G117" s="794">
        <v>0.13968708493571749</v>
      </c>
      <c r="H117" s="781">
        <v>5214845.4400000004</v>
      </c>
    </row>
    <row r="118" spans="1:8">
      <c r="A118" s="777" t="s">
        <v>143</v>
      </c>
      <c r="B118" s="783">
        <v>1600223200</v>
      </c>
      <c r="C118" s="781">
        <v>145722500</v>
      </c>
      <c r="D118" s="781">
        <v>205974900</v>
      </c>
      <c r="E118" s="783">
        <v>351697400</v>
      </c>
      <c r="F118" s="783">
        <v>1951920600</v>
      </c>
      <c r="G118" s="794">
        <v>0.18018017741090492</v>
      </c>
      <c r="H118" s="781">
        <v>2602560.7599999998</v>
      </c>
    </row>
    <row r="119" spans="1:8">
      <c r="A119" s="777" t="s">
        <v>145</v>
      </c>
      <c r="B119" s="783">
        <v>1822303200</v>
      </c>
      <c r="C119" s="781">
        <v>163723900</v>
      </c>
      <c r="D119" s="781">
        <v>151834700</v>
      </c>
      <c r="E119" s="783">
        <v>315558600</v>
      </c>
      <c r="F119" s="783">
        <v>2137861800</v>
      </c>
      <c r="G119" s="794">
        <v>0.14760477033641745</v>
      </c>
      <c r="H119" s="781">
        <v>2824249.4699999997</v>
      </c>
    </row>
    <row r="120" spans="1:8">
      <c r="A120" s="777" t="s">
        <v>147</v>
      </c>
      <c r="B120" s="783">
        <v>15652591400</v>
      </c>
      <c r="C120" s="781">
        <v>672150500</v>
      </c>
      <c r="D120" s="781">
        <v>189589500</v>
      </c>
      <c r="E120" s="783">
        <v>861740000</v>
      </c>
      <c r="F120" s="783">
        <v>16514331400</v>
      </c>
      <c r="G120" s="794">
        <v>5.2181343532926798E-2</v>
      </c>
      <c r="H120" s="781">
        <v>7302384.7600000007</v>
      </c>
    </row>
    <row r="121" spans="1:8" ht="9" customHeight="1">
      <c r="B121" s="783"/>
      <c r="C121" s="781"/>
      <c r="D121" s="781"/>
      <c r="E121" s="783"/>
      <c r="F121" s="783"/>
      <c r="G121" s="794"/>
      <c r="H121" s="781"/>
    </row>
    <row r="122" spans="1:8">
      <c r="A122" s="777" t="s">
        <v>149</v>
      </c>
      <c r="B122" s="783">
        <v>17858571201</v>
      </c>
      <c r="C122" s="781">
        <v>886772200</v>
      </c>
      <c r="D122" s="781">
        <v>887523300</v>
      </c>
      <c r="E122" s="783">
        <v>1774295500</v>
      </c>
      <c r="F122" s="783">
        <v>19632866701</v>
      </c>
      <c r="G122" s="794">
        <v>9.037373538066279E-2</v>
      </c>
      <c r="H122" s="781">
        <v>17920384.550000001</v>
      </c>
    </row>
    <row r="123" spans="1:8">
      <c r="A123" s="777" t="s">
        <v>151</v>
      </c>
      <c r="B123" s="783">
        <v>949954600</v>
      </c>
      <c r="C123" s="781">
        <v>54567900</v>
      </c>
      <c r="D123" s="781">
        <v>62594700</v>
      </c>
      <c r="E123" s="783">
        <v>117162600</v>
      </c>
      <c r="F123" s="783">
        <v>1067117200</v>
      </c>
      <c r="G123" s="794">
        <v>0.1097935634436405</v>
      </c>
      <c r="H123" s="781">
        <v>831854.46</v>
      </c>
    </row>
    <row r="124" spans="1:8" ht="12" customHeight="1">
      <c r="A124" s="777" t="s">
        <v>153</v>
      </c>
      <c r="B124" s="783">
        <v>898802822</v>
      </c>
      <c r="C124" s="781">
        <v>215997900</v>
      </c>
      <c r="D124" s="781">
        <v>72424100</v>
      </c>
      <c r="E124" s="783">
        <v>288422000</v>
      </c>
      <c r="F124" s="783">
        <v>1187224822</v>
      </c>
      <c r="G124" s="794">
        <v>0.24293797994732291</v>
      </c>
      <c r="H124" s="781">
        <v>1672847.5999999999</v>
      </c>
    </row>
    <row r="125" spans="1:8">
      <c r="A125" s="777" t="s">
        <v>155</v>
      </c>
      <c r="B125" s="783">
        <v>2734336575</v>
      </c>
      <c r="C125" s="781">
        <v>327346200</v>
      </c>
      <c r="D125" s="781">
        <v>215642600</v>
      </c>
      <c r="E125" s="783">
        <v>542988800</v>
      </c>
      <c r="F125" s="783">
        <v>3277325375</v>
      </c>
      <c r="G125" s="794">
        <v>0.16568046741468262</v>
      </c>
      <c r="H125" s="781">
        <v>3149335.04</v>
      </c>
    </row>
    <row r="126" spans="1:8">
      <c r="A126" s="777" t="s">
        <v>157</v>
      </c>
      <c r="B126" s="783">
        <v>4979909800</v>
      </c>
      <c r="C126" s="781">
        <v>409962400</v>
      </c>
      <c r="D126" s="781">
        <v>452250100</v>
      </c>
      <c r="E126" s="783">
        <v>862212500</v>
      </c>
      <c r="F126" s="783">
        <v>5842122300</v>
      </c>
      <c r="G126" s="794">
        <v>0.14758549303221535</v>
      </c>
      <c r="H126" s="781">
        <v>5647491.875</v>
      </c>
    </row>
    <row r="127" spans="1:8" ht="14">
      <c r="A127" s="776" t="s">
        <v>857</v>
      </c>
      <c r="B127" s="791"/>
      <c r="C127" s="791"/>
      <c r="D127" s="791"/>
      <c r="E127" s="791"/>
      <c r="F127" s="791"/>
      <c r="G127" s="791"/>
      <c r="H127" s="791"/>
    </row>
    <row r="128" spans="1:8" ht="13">
      <c r="A128" s="1963" t="s">
        <v>902</v>
      </c>
      <c r="B128" s="1963"/>
      <c r="C128" s="1963"/>
      <c r="D128" s="1963"/>
      <c r="E128" s="1963"/>
      <c r="F128" s="1963"/>
      <c r="G128" s="1963"/>
      <c r="H128" s="1963"/>
    </row>
    <row r="129" spans="1:8" ht="8.25" customHeight="1" thickBot="1">
      <c r="A129" s="778"/>
      <c r="B129" s="778"/>
      <c r="C129" s="778"/>
      <c r="D129" s="778"/>
      <c r="E129" s="778"/>
      <c r="F129" s="778"/>
      <c r="G129" s="778"/>
      <c r="H129" s="778"/>
    </row>
    <row r="130" spans="1:8" ht="12" customHeight="1">
      <c r="A130" s="792"/>
      <c r="B130" s="792"/>
      <c r="C130" s="792"/>
      <c r="D130" s="792"/>
      <c r="E130" s="792"/>
      <c r="F130" s="792" t="s">
        <v>828</v>
      </c>
      <c r="G130" s="792"/>
      <c r="H130" s="792" t="s">
        <v>846</v>
      </c>
    </row>
    <row r="131" spans="1:8">
      <c r="A131" s="786"/>
      <c r="B131" s="786" t="s">
        <v>847</v>
      </c>
      <c r="C131" s="1964" t="s">
        <v>848</v>
      </c>
      <c r="D131" s="1964"/>
      <c r="E131" s="1964"/>
      <c r="F131" s="786" t="s">
        <v>849</v>
      </c>
      <c r="G131" s="786" t="s">
        <v>850</v>
      </c>
      <c r="H131" s="786" t="s">
        <v>851</v>
      </c>
    </row>
    <row r="132" spans="1:8">
      <c r="A132" s="779" t="s">
        <v>21</v>
      </c>
      <c r="B132" s="779" t="s">
        <v>852</v>
      </c>
      <c r="C132" s="779" t="s">
        <v>853</v>
      </c>
      <c r="D132" s="779" t="s">
        <v>854</v>
      </c>
      <c r="E132" s="779" t="s">
        <v>855</v>
      </c>
      <c r="F132" s="779" t="s">
        <v>856</v>
      </c>
      <c r="G132" s="779" t="s">
        <v>828</v>
      </c>
      <c r="H132" s="779" t="s">
        <v>322</v>
      </c>
    </row>
    <row r="133" spans="1:8" ht="9" customHeight="1">
      <c r="B133" s="783"/>
      <c r="C133" s="781"/>
      <c r="D133" s="781"/>
      <c r="E133" s="783"/>
      <c r="F133" s="783"/>
      <c r="G133" s="794"/>
      <c r="H133" s="781"/>
    </row>
    <row r="134" spans="1:8">
      <c r="A134" s="777" t="s">
        <v>159</v>
      </c>
      <c r="B134" s="793">
        <v>4835927501</v>
      </c>
      <c r="C134" s="780">
        <v>272865000</v>
      </c>
      <c r="D134" s="780">
        <v>513802300</v>
      </c>
      <c r="E134" s="793">
        <v>786667300</v>
      </c>
      <c r="F134" s="793">
        <v>5622594801</v>
      </c>
      <c r="G134" s="794">
        <v>0.13991178945708274</v>
      </c>
      <c r="H134" s="780">
        <v>4956003.99</v>
      </c>
    </row>
    <row r="135" spans="1:8">
      <c r="A135" s="777" t="s">
        <v>161</v>
      </c>
      <c r="B135" s="783">
        <v>2647085400</v>
      </c>
      <c r="C135" s="781">
        <v>67034800</v>
      </c>
      <c r="D135" s="781">
        <v>67902300</v>
      </c>
      <c r="E135" s="783">
        <v>134937100</v>
      </c>
      <c r="F135" s="783">
        <v>2782022500</v>
      </c>
      <c r="G135" s="794">
        <v>4.8503238201703977E-2</v>
      </c>
      <c r="H135" s="781">
        <v>840948.91999999993</v>
      </c>
    </row>
    <row r="136" spans="1:8">
      <c r="A136" s="777" t="s">
        <v>163</v>
      </c>
      <c r="B136" s="783">
        <v>1894338921</v>
      </c>
      <c r="C136" s="781">
        <v>462294015</v>
      </c>
      <c r="D136" s="781">
        <v>523302780</v>
      </c>
      <c r="E136" s="783">
        <v>985596795</v>
      </c>
      <c r="F136" s="783">
        <v>2879935716</v>
      </c>
      <c r="G136" s="794">
        <v>0.34222874820585059</v>
      </c>
      <c r="H136" s="781">
        <v>6800617.8854999989</v>
      </c>
    </row>
    <row r="137" spans="1:8">
      <c r="A137" s="777" t="s">
        <v>165</v>
      </c>
      <c r="B137" s="783">
        <v>2599551500</v>
      </c>
      <c r="C137" s="781">
        <v>235451700</v>
      </c>
      <c r="D137" s="781">
        <v>155032200</v>
      </c>
      <c r="E137" s="783">
        <v>390483900</v>
      </c>
      <c r="F137" s="783">
        <v>2990035400</v>
      </c>
      <c r="G137" s="794">
        <v>0.13059507589776362</v>
      </c>
      <c r="H137" s="781">
        <v>2108613.06</v>
      </c>
    </row>
    <row r="138" spans="1:8">
      <c r="A138" s="777" t="s">
        <v>167</v>
      </c>
      <c r="B138" s="783">
        <v>9256819569</v>
      </c>
      <c r="C138" s="781">
        <v>4659507400</v>
      </c>
      <c r="D138" s="781">
        <v>508779100</v>
      </c>
      <c r="E138" s="783">
        <v>5168286500</v>
      </c>
      <c r="F138" s="783">
        <v>14425106069</v>
      </c>
      <c r="G138" s="794">
        <v>0.35828412458656422</v>
      </c>
      <c r="H138" s="781">
        <v>41087877.674999997</v>
      </c>
    </row>
    <row r="139" spans="1:8" ht="8.25" customHeight="1">
      <c r="B139" s="780"/>
      <c r="C139" s="780"/>
      <c r="D139" s="780"/>
      <c r="E139" s="780"/>
      <c r="F139" s="780"/>
      <c r="G139" s="780"/>
      <c r="H139" s="780"/>
    </row>
    <row r="140" spans="1:8" ht="12.75" customHeight="1">
      <c r="A140" s="798" t="s">
        <v>22</v>
      </c>
      <c r="B140" s="785">
        <v>910276017429</v>
      </c>
      <c r="C140" s="785">
        <v>66099368047</v>
      </c>
      <c r="D140" s="785">
        <v>33103623360</v>
      </c>
      <c r="E140" s="785">
        <v>99202991407</v>
      </c>
      <c r="F140" s="785">
        <v>1009479008836</v>
      </c>
      <c r="G140" s="799">
        <v>9.8271475225015323E-2</v>
      </c>
      <c r="H140" s="785">
        <v>768270608.84052575</v>
      </c>
    </row>
    <row r="141" spans="1:8" ht="7.5" customHeight="1">
      <c r="A141" s="800"/>
      <c r="B141" s="801"/>
      <c r="C141" s="801"/>
      <c r="D141" s="801"/>
      <c r="E141" s="801"/>
      <c r="F141" s="801"/>
      <c r="G141" s="802"/>
      <c r="H141" s="801"/>
    </row>
    <row r="142" spans="1:8" ht="9" customHeight="1" thickBot="1">
      <c r="A142" s="803"/>
      <c r="B142" s="803"/>
      <c r="C142" s="803"/>
      <c r="D142" s="803"/>
      <c r="E142" s="803"/>
      <c r="F142" s="803"/>
      <c r="G142" s="803"/>
      <c r="H142" s="803"/>
    </row>
    <row r="143" spans="1:8" ht="14.25" customHeight="1">
      <c r="A143" s="792"/>
      <c r="B143" s="792"/>
      <c r="C143" s="792"/>
      <c r="D143" s="792"/>
      <c r="E143" s="792"/>
      <c r="F143" s="792" t="s">
        <v>828</v>
      </c>
      <c r="G143" s="792"/>
      <c r="H143" s="792" t="s">
        <v>846</v>
      </c>
    </row>
    <row r="144" spans="1:8" ht="12.75" customHeight="1">
      <c r="A144" s="786"/>
      <c r="B144" s="786" t="s">
        <v>847</v>
      </c>
      <c r="C144" s="1964" t="s">
        <v>848</v>
      </c>
      <c r="D144" s="1964"/>
      <c r="E144" s="1964"/>
      <c r="F144" s="786" t="s">
        <v>849</v>
      </c>
      <c r="G144" s="786" t="s">
        <v>850</v>
      </c>
      <c r="H144" s="786" t="s">
        <v>851</v>
      </c>
    </row>
    <row r="145" spans="1:8">
      <c r="A145" s="779" t="s">
        <v>23</v>
      </c>
      <c r="B145" s="779" t="s">
        <v>852</v>
      </c>
      <c r="C145" s="779" t="s">
        <v>853</v>
      </c>
      <c r="D145" s="779" t="s">
        <v>854</v>
      </c>
      <c r="E145" s="779" t="s">
        <v>855</v>
      </c>
      <c r="F145" s="779" t="s">
        <v>856</v>
      </c>
      <c r="G145" s="779" t="s">
        <v>828</v>
      </c>
      <c r="H145" s="779" t="s">
        <v>322</v>
      </c>
    </row>
    <row r="146" spans="1:8" ht="9" customHeight="1">
      <c r="A146" s="786"/>
      <c r="B146" s="786"/>
      <c r="C146" s="786"/>
      <c r="D146" s="786"/>
      <c r="E146" s="786"/>
      <c r="F146" s="786"/>
      <c r="G146" s="786"/>
      <c r="H146" s="786"/>
    </row>
    <row r="147" spans="1:8" ht="12" customHeight="1">
      <c r="A147" s="777" t="s">
        <v>402</v>
      </c>
      <c r="B147" s="780">
        <v>39501128321</v>
      </c>
      <c r="C147" s="780">
        <v>3887055419</v>
      </c>
      <c r="D147" s="780">
        <v>1249195434</v>
      </c>
      <c r="E147" s="780">
        <v>5136250853</v>
      </c>
      <c r="F147" s="780">
        <v>44637379174</v>
      </c>
      <c r="G147" s="804">
        <v>0.11506613847059641</v>
      </c>
      <c r="H147" s="780">
        <v>58039634.638899997</v>
      </c>
    </row>
    <row r="148" spans="1:8" ht="12" customHeight="1">
      <c r="A148" s="777" t="s">
        <v>174</v>
      </c>
      <c r="B148" s="781">
        <v>1186847670</v>
      </c>
      <c r="C148" s="781">
        <v>156128550</v>
      </c>
      <c r="D148" s="781">
        <v>87258900</v>
      </c>
      <c r="E148" s="781">
        <v>243387450</v>
      </c>
      <c r="F148" s="781">
        <v>1430235120</v>
      </c>
      <c r="G148" s="804">
        <v>0.17017303420713092</v>
      </c>
      <c r="H148" s="781">
        <v>2847633.17</v>
      </c>
    </row>
    <row r="149" spans="1:8" ht="12" customHeight="1">
      <c r="A149" s="777" t="s">
        <v>176</v>
      </c>
      <c r="B149" s="781">
        <v>328615450</v>
      </c>
      <c r="C149" s="781">
        <v>43255300</v>
      </c>
      <c r="D149" s="781">
        <v>87951300</v>
      </c>
      <c r="E149" s="781">
        <v>131206600</v>
      </c>
      <c r="F149" s="781">
        <v>459822050</v>
      </c>
      <c r="G149" s="804">
        <v>0.2853421231104511</v>
      </c>
      <c r="H149" s="781">
        <v>1587598.7599999998</v>
      </c>
    </row>
    <row r="150" spans="1:8" ht="12" customHeight="1">
      <c r="A150" s="777" t="s">
        <v>178</v>
      </c>
      <c r="B150" s="781">
        <v>7647893000</v>
      </c>
      <c r="C150" s="781">
        <v>958398900</v>
      </c>
      <c r="D150" s="781">
        <v>1088276900</v>
      </c>
      <c r="E150" s="781">
        <v>2046675800</v>
      </c>
      <c r="F150" s="781">
        <v>9694568800</v>
      </c>
      <c r="G150" s="804">
        <v>0.21111571254205758</v>
      </c>
      <c r="H150" s="781">
        <v>19443420.099999998</v>
      </c>
    </row>
    <row r="151" spans="1:8" ht="12" customHeight="1">
      <c r="A151" s="777" t="s">
        <v>123</v>
      </c>
      <c r="B151" s="781">
        <v>28062056400</v>
      </c>
      <c r="C151" s="781">
        <v>2105752600</v>
      </c>
      <c r="D151" s="781">
        <v>1042367500</v>
      </c>
      <c r="E151" s="781">
        <v>3148120100</v>
      </c>
      <c r="F151" s="781">
        <v>31210176500</v>
      </c>
      <c r="G151" s="804">
        <v>0.10086838502819745</v>
      </c>
      <c r="H151" s="781">
        <v>33055261.050000001</v>
      </c>
    </row>
    <row r="152" spans="1:8" ht="5.25" customHeight="1">
      <c r="B152" s="781"/>
      <c r="C152" s="781"/>
      <c r="D152" s="781"/>
      <c r="E152" s="781"/>
      <c r="F152" s="781"/>
      <c r="G152" s="804"/>
      <c r="H152" s="781"/>
    </row>
    <row r="153" spans="1:8" ht="12" customHeight="1">
      <c r="A153" s="777" t="s">
        <v>125</v>
      </c>
      <c r="B153" s="781">
        <v>1694461870</v>
      </c>
      <c r="C153" s="781">
        <v>70572900</v>
      </c>
      <c r="D153" s="781">
        <v>63426800</v>
      </c>
      <c r="E153" s="781">
        <v>133999700</v>
      </c>
      <c r="F153" s="781">
        <v>1828461570</v>
      </c>
      <c r="G153" s="804">
        <v>7.328548884951408E-2</v>
      </c>
      <c r="H153" s="781">
        <v>1607996.4</v>
      </c>
    </row>
    <row r="154" spans="1:8" ht="12" customHeight="1">
      <c r="A154" s="777" t="s">
        <v>127</v>
      </c>
      <c r="B154" s="781">
        <v>299114968</v>
      </c>
      <c r="C154" s="781">
        <v>52267500</v>
      </c>
      <c r="D154" s="781">
        <v>61834700</v>
      </c>
      <c r="E154" s="781">
        <v>114102200</v>
      </c>
      <c r="F154" s="781">
        <v>413217168</v>
      </c>
      <c r="G154" s="804">
        <v>0.27613131504739413</v>
      </c>
      <c r="H154" s="781">
        <v>912817.60000000009</v>
      </c>
    </row>
    <row r="155" spans="1:8" ht="12" customHeight="1">
      <c r="A155" s="777" t="s">
        <v>129</v>
      </c>
      <c r="B155" s="781">
        <v>2264173900</v>
      </c>
      <c r="C155" s="781">
        <v>345829000</v>
      </c>
      <c r="D155" s="781">
        <v>193638600</v>
      </c>
      <c r="E155" s="781">
        <v>539467600</v>
      </c>
      <c r="F155" s="781">
        <v>2803641500</v>
      </c>
      <c r="G155" s="804">
        <v>0.19241675513791617</v>
      </c>
      <c r="H155" s="781">
        <v>4531527.84</v>
      </c>
    </row>
    <row r="156" spans="1:8" ht="12" customHeight="1">
      <c r="A156" s="777" t="s">
        <v>131</v>
      </c>
      <c r="B156" s="781">
        <v>347503600</v>
      </c>
      <c r="C156" s="781">
        <v>39419000</v>
      </c>
      <c r="D156" s="781">
        <v>33125700</v>
      </c>
      <c r="E156" s="781">
        <v>72544700</v>
      </c>
      <c r="F156" s="781">
        <v>420048300</v>
      </c>
      <c r="G156" s="804">
        <v>0.17270561504474605</v>
      </c>
      <c r="H156" s="781">
        <v>689174.64999999991</v>
      </c>
    </row>
    <row r="157" spans="1:8" ht="12" customHeight="1">
      <c r="A157" s="777" t="s">
        <v>908</v>
      </c>
      <c r="B157" s="781">
        <v>6239184700</v>
      </c>
      <c r="C157" s="781">
        <v>238946300</v>
      </c>
      <c r="D157" s="781">
        <v>343970900</v>
      </c>
      <c r="E157" s="781">
        <v>582917200</v>
      </c>
      <c r="F157" s="781">
        <v>6822101900</v>
      </c>
      <c r="G157" s="804">
        <v>8.5445396234846621E-2</v>
      </c>
      <c r="H157" s="781">
        <v>6266359.9000000004</v>
      </c>
    </row>
    <row r="158" spans="1:8" ht="5.25" customHeight="1">
      <c r="B158" s="781"/>
      <c r="C158" s="781"/>
      <c r="D158" s="781"/>
      <c r="E158" s="781"/>
      <c r="F158" s="781"/>
      <c r="G158" s="804"/>
      <c r="H158" s="781"/>
    </row>
    <row r="159" spans="1:8" ht="12" customHeight="1">
      <c r="A159" s="777" t="s">
        <v>433</v>
      </c>
      <c r="B159" s="781">
        <v>4144519800</v>
      </c>
      <c r="C159" s="781">
        <v>160142300</v>
      </c>
      <c r="D159" s="781">
        <v>140260100</v>
      </c>
      <c r="E159" s="781">
        <v>300402400</v>
      </c>
      <c r="F159" s="781">
        <v>4444922200</v>
      </c>
      <c r="G159" s="804">
        <v>6.7583275135839269E-2</v>
      </c>
      <c r="H159" s="781">
        <v>4010372.04</v>
      </c>
    </row>
    <row r="160" spans="1:8" ht="12" customHeight="1">
      <c r="A160" s="777" t="s">
        <v>24</v>
      </c>
      <c r="B160" s="781">
        <v>571192990</v>
      </c>
      <c r="C160" s="781">
        <v>38997600</v>
      </c>
      <c r="D160" s="781">
        <v>65437500</v>
      </c>
      <c r="E160" s="781">
        <v>104435100</v>
      </c>
      <c r="F160" s="781">
        <v>675628090</v>
      </c>
      <c r="G160" s="804">
        <v>0.15457483421093401</v>
      </c>
      <c r="H160" s="781">
        <v>1075681.53</v>
      </c>
    </row>
    <row r="161" spans="1:8" ht="12" customHeight="1">
      <c r="A161" s="777" t="s">
        <v>136</v>
      </c>
      <c r="B161" s="781">
        <v>4099237700</v>
      </c>
      <c r="C161" s="781">
        <v>791868300</v>
      </c>
      <c r="D161" s="781">
        <v>429376500</v>
      </c>
      <c r="E161" s="781">
        <v>1221244800</v>
      </c>
      <c r="F161" s="781">
        <v>5320482500</v>
      </c>
      <c r="G161" s="804">
        <v>0.22953647531027496</v>
      </c>
      <c r="H161" s="781">
        <v>10380580.800000001</v>
      </c>
    </row>
    <row r="162" spans="1:8" ht="12" customHeight="1">
      <c r="A162" s="777" t="s">
        <v>138</v>
      </c>
      <c r="B162" s="781">
        <v>444892350</v>
      </c>
      <c r="C162" s="781">
        <v>41934300</v>
      </c>
      <c r="D162" s="781">
        <v>25493200</v>
      </c>
      <c r="E162" s="781">
        <v>67427500</v>
      </c>
      <c r="F162" s="781">
        <v>512319850</v>
      </c>
      <c r="G162" s="804">
        <v>0.13161211692266073</v>
      </c>
      <c r="H162" s="781">
        <v>569762.375</v>
      </c>
    </row>
    <row r="163" spans="1:8" ht="12" customHeight="1">
      <c r="A163" s="777" t="s">
        <v>912</v>
      </c>
      <c r="B163" s="781">
        <v>10870556100</v>
      </c>
      <c r="C163" s="781">
        <v>3034547000</v>
      </c>
      <c r="D163" s="781">
        <v>559630800</v>
      </c>
      <c r="E163" s="781">
        <v>3594177800</v>
      </c>
      <c r="F163" s="781">
        <v>14464733900</v>
      </c>
      <c r="G163" s="804">
        <v>0.24847866713953168</v>
      </c>
      <c r="H163" s="781">
        <v>44567804.719999999</v>
      </c>
    </row>
    <row r="164" spans="1:8" ht="5.25" customHeight="1">
      <c r="B164" s="781"/>
      <c r="C164" s="781"/>
      <c r="D164" s="781"/>
      <c r="E164" s="781"/>
      <c r="F164" s="781"/>
      <c r="G164" s="804"/>
      <c r="H164" s="781"/>
    </row>
    <row r="165" spans="1:8" ht="12" customHeight="1">
      <c r="A165" s="777" t="s">
        <v>834</v>
      </c>
      <c r="B165" s="781">
        <v>4372278453</v>
      </c>
      <c r="C165" s="781">
        <v>1198552230</v>
      </c>
      <c r="D165" s="781">
        <v>338276400</v>
      </c>
      <c r="E165" s="781">
        <v>1536828630</v>
      </c>
      <c r="F165" s="781">
        <v>5909107083</v>
      </c>
      <c r="G165" s="804">
        <v>0.26007797936533011</v>
      </c>
      <c r="H165" s="781">
        <v>13216726.218000002</v>
      </c>
    </row>
    <row r="166" spans="1:8" ht="12" customHeight="1">
      <c r="A166" s="777" t="s">
        <v>144</v>
      </c>
      <c r="B166" s="781">
        <v>1364498700</v>
      </c>
      <c r="C166" s="781">
        <v>168391000</v>
      </c>
      <c r="D166" s="781">
        <v>40025900</v>
      </c>
      <c r="E166" s="781">
        <v>208416900</v>
      </c>
      <c r="F166" s="781">
        <v>1572915600</v>
      </c>
      <c r="G166" s="804">
        <v>0.13250354945936069</v>
      </c>
      <c r="H166" s="781">
        <v>2355110.9699999997</v>
      </c>
    </row>
    <row r="167" spans="1:8" ht="12" customHeight="1">
      <c r="A167" s="777" t="s">
        <v>835</v>
      </c>
      <c r="B167" s="781">
        <v>575280400</v>
      </c>
      <c r="C167" s="781">
        <v>531387900</v>
      </c>
      <c r="D167" s="781">
        <v>543230900</v>
      </c>
      <c r="E167" s="781">
        <v>1074618800</v>
      </c>
      <c r="F167" s="781">
        <v>1649899200</v>
      </c>
      <c r="G167" s="804">
        <v>0.65132391118196797</v>
      </c>
      <c r="H167" s="781">
        <v>11390959.280000001</v>
      </c>
    </row>
    <row r="168" spans="1:8" ht="12" customHeight="1">
      <c r="A168" s="782" t="s">
        <v>148</v>
      </c>
      <c r="B168" s="781">
        <v>5626575300</v>
      </c>
      <c r="C168" s="781">
        <v>462701600</v>
      </c>
      <c r="D168" s="781">
        <v>1357092800</v>
      </c>
      <c r="E168" s="781">
        <v>1819794400</v>
      </c>
      <c r="F168" s="784">
        <v>7446369700</v>
      </c>
      <c r="G168" s="797">
        <v>0.24438679159322427</v>
      </c>
      <c r="H168" s="781">
        <v>20199717.840000004</v>
      </c>
    </row>
    <row r="169" spans="1:8" ht="12" customHeight="1">
      <c r="A169" s="777" t="s">
        <v>836</v>
      </c>
      <c r="B169" s="781">
        <v>5063746000</v>
      </c>
      <c r="C169" s="781">
        <v>571514000</v>
      </c>
      <c r="D169" s="781">
        <v>237596800</v>
      </c>
      <c r="E169" s="781">
        <v>809110800</v>
      </c>
      <c r="F169" s="784">
        <v>5872856800</v>
      </c>
      <c r="G169" s="797">
        <v>0.13777124618465073</v>
      </c>
      <c r="H169" s="781">
        <v>11974839.84</v>
      </c>
    </row>
    <row r="170" spans="1:8" ht="14">
      <c r="A170" s="776" t="s">
        <v>857</v>
      </c>
      <c r="B170" s="791"/>
      <c r="C170" s="791"/>
      <c r="D170" s="791"/>
      <c r="E170" s="791"/>
      <c r="F170" s="791"/>
      <c r="G170" s="791"/>
      <c r="H170" s="791"/>
    </row>
    <row r="171" spans="1:8" ht="13">
      <c r="A171" s="1963" t="s">
        <v>902</v>
      </c>
      <c r="B171" s="1963"/>
      <c r="C171" s="1963"/>
      <c r="D171" s="1963"/>
      <c r="E171" s="1963"/>
      <c r="F171" s="1963"/>
      <c r="G171" s="1963"/>
      <c r="H171" s="1963"/>
    </row>
    <row r="172" spans="1:8" ht="12" thickBot="1">
      <c r="A172" s="778"/>
      <c r="B172" s="778"/>
      <c r="C172" s="778"/>
      <c r="D172" s="778"/>
      <c r="E172" s="778"/>
      <c r="F172" s="778"/>
      <c r="G172" s="778"/>
      <c r="H172" s="778"/>
    </row>
    <row r="173" spans="1:8" ht="14.25" customHeight="1">
      <c r="A173" s="792"/>
      <c r="B173" s="792"/>
      <c r="C173" s="792"/>
      <c r="D173" s="792"/>
      <c r="E173" s="792"/>
      <c r="F173" s="792" t="s">
        <v>828</v>
      </c>
      <c r="G173" s="792"/>
      <c r="H173" s="792" t="s">
        <v>846</v>
      </c>
    </row>
    <row r="174" spans="1:8">
      <c r="A174" s="786"/>
      <c r="B174" s="786" t="s">
        <v>847</v>
      </c>
      <c r="C174" s="1964" t="s">
        <v>848</v>
      </c>
      <c r="D174" s="1964"/>
      <c r="E174" s="1964"/>
      <c r="F174" s="786" t="s">
        <v>849</v>
      </c>
      <c r="G174" s="786" t="s">
        <v>850</v>
      </c>
      <c r="H174" s="786" t="s">
        <v>851</v>
      </c>
    </row>
    <row r="175" spans="1:8">
      <c r="A175" s="779" t="s">
        <v>23</v>
      </c>
      <c r="B175" s="779" t="s">
        <v>852</v>
      </c>
      <c r="C175" s="779" t="s">
        <v>853</v>
      </c>
      <c r="D175" s="779" t="s">
        <v>854</v>
      </c>
      <c r="E175" s="779" t="s">
        <v>855</v>
      </c>
      <c r="F175" s="779" t="s">
        <v>856</v>
      </c>
      <c r="G175" s="779" t="s">
        <v>828</v>
      </c>
      <c r="H175" s="779" t="s">
        <v>322</v>
      </c>
    </row>
    <row r="176" spans="1:8" ht="8.25" customHeight="1"/>
    <row r="177" spans="1:8" ht="12" customHeight="1">
      <c r="A177" s="777" t="s">
        <v>911</v>
      </c>
      <c r="B177" s="793">
        <v>1625685700</v>
      </c>
      <c r="C177" s="780">
        <v>131520000</v>
      </c>
      <c r="D177" s="780">
        <v>2666400</v>
      </c>
      <c r="E177" s="793">
        <v>134186400</v>
      </c>
      <c r="F177" s="793">
        <v>1759872100</v>
      </c>
      <c r="G177" s="794">
        <v>7.6247813690551711E-2</v>
      </c>
      <c r="H177" s="780">
        <v>2079889.2</v>
      </c>
    </row>
    <row r="178" spans="1:8" ht="12" customHeight="1">
      <c r="A178" s="777" t="s">
        <v>154</v>
      </c>
      <c r="B178" s="781">
        <v>638496000</v>
      </c>
      <c r="C178" s="781">
        <v>49198600</v>
      </c>
      <c r="D178" s="781">
        <v>97526700</v>
      </c>
      <c r="E178" s="781">
        <v>146725300</v>
      </c>
      <c r="F178" s="781">
        <v>785221300</v>
      </c>
      <c r="G178" s="804">
        <v>0.18685853274739236</v>
      </c>
      <c r="H178" s="781">
        <v>1558369.4113</v>
      </c>
    </row>
    <row r="179" spans="1:8" ht="12" customHeight="1">
      <c r="A179" s="777" t="s">
        <v>156</v>
      </c>
      <c r="B179" s="781">
        <v>16006199700</v>
      </c>
      <c r="C179" s="781">
        <v>18124814900</v>
      </c>
      <c r="D179" s="781">
        <v>823363300</v>
      </c>
      <c r="E179" s="781">
        <v>18948178200</v>
      </c>
      <c r="F179" s="781">
        <v>34954377900</v>
      </c>
      <c r="G179" s="804">
        <v>0.54208311915057716</v>
      </c>
      <c r="H179" s="781">
        <v>231167774.03999999</v>
      </c>
    </row>
    <row r="180" spans="1:8" ht="12" customHeight="1">
      <c r="A180" s="777" t="s">
        <v>158</v>
      </c>
      <c r="B180" s="781">
        <v>21076783700</v>
      </c>
      <c r="C180" s="781">
        <v>9362472000</v>
      </c>
      <c r="D180" s="781">
        <v>2341912500</v>
      </c>
      <c r="E180" s="781">
        <v>11704384500</v>
      </c>
      <c r="F180" s="781">
        <v>32781168200</v>
      </c>
      <c r="G180" s="804">
        <v>0.35704598532275611</v>
      </c>
      <c r="H180" s="781">
        <v>146304806.25</v>
      </c>
    </row>
    <row r="181" spans="1:8" ht="12" customHeight="1">
      <c r="A181" s="777" t="s">
        <v>837</v>
      </c>
      <c r="B181" s="781">
        <v>233537200</v>
      </c>
      <c r="C181" s="781">
        <v>34723000</v>
      </c>
      <c r="D181" s="781">
        <v>38810600</v>
      </c>
      <c r="E181" s="781">
        <v>73533600</v>
      </c>
      <c r="F181" s="781">
        <v>307070800</v>
      </c>
      <c r="G181" s="804">
        <v>0.23946790121366149</v>
      </c>
      <c r="H181" s="781">
        <v>661802.4</v>
      </c>
    </row>
    <row r="182" spans="1:8" ht="9" customHeight="1">
      <c r="B182" s="781"/>
      <c r="C182" s="781"/>
      <c r="D182" s="781"/>
      <c r="E182" s="781"/>
      <c r="F182" s="781"/>
      <c r="G182" s="804"/>
      <c r="H182" s="781"/>
    </row>
    <row r="183" spans="1:8" ht="12" customHeight="1">
      <c r="A183" s="777" t="s">
        <v>910</v>
      </c>
      <c r="B183" s="781">
        <v>1922080749</v>
      </c>
      <c r="C183" s="781">
        <v>212048307</v>
      </c>
      <c r="D183" s="781">
        <v>184754128</v>
      </c>
      <c r="E183" s="781">
        <v>396802435</v>
      </c>
      <c r="F183" s="781">
        <v>2318883184</v>
      </c>
      <c r="G183" s="804">
        <v>0.17111790612734892</v>
      </c>
      <c r="H183" s="781">
        <v>5356832.8725000005</v>
      </c>
    </row>
    <row r="184" spans="1:8" ht="12" customHeight="1">
      <c r="A184" s="777" t="s">
        <v>909</v>
      </c>
      <c r="B184" s="781">
        <v>1602049325</v>
      </c>
      <c r="C184" s="781">
        <v>40651900</v>
      </c>
      <c r="D184" s="781">
        <v>63077000</v>
      </c>
      <c r="E184" s="781">
        <v>103728900</v>
      </c>
      <c r="F184" s="781">
        <v>1705778225</v>
      </c>
      <c r="G184" s="804">
        <v>6.0810308444405194E-2</v>
      </c>
      <c r="H184" s="781">
        <v>1182509.46</v>
      </c>
    </row>
    <row r="185" spans="1:8" ht="12" customHeight="1">
      <c r="A185" s="777" t="s">
        <v>894</v>
      </c>
      <c r="B185" s="781">
        <v>7494771402</v>
      </c>
      <c r="C185" s="781">
        <v>4972003421</v>
      </c>
      <c r="D185" s="781">
        <v>563378830</v>
      </c>
      <c r="E185" s="781">
        <v>5535382251</v>
      </c>
      <c r="F185" s="781">
        <v>13030153653</v>
      </c>
      <c r="G185" s="804">
        <v>0.42481327530052265</v>
      </c>
      <c r="H185" s="781">
        <v>71959969.263000011</v>
      </c>
    </row>
    <row r="186" spans="1:8" ht="12" customHeight="1">
      <c r="A186" s="777" t="s">
        <v>168</v>
      </c>
      <c r="B186" s="781">
        <v>822947600</v>
      </c>
      <c r="C186" s="781">
        <v>573466200</v>
      </c>
      <c r="D186" s="781">
        <v>29477600</v>
      </c>
      <c r="E186" s="781">
        <v>602943800</v>
      </c>
      <c r="F186" s="781">
        <v>1425891400</v>
      </c>
      <c r="G186" s="804">
        <v>0.42285394245312091</v>
      </c>
      <c r="H186" s="781">
        <v>4944139.16</v>
      </c>
    </row>
    <row r="187" spans="1:8" ht="12" customHeight="1">
      <c r="A187" s="777" t="s">
        <v>916</v>
      </c>
      <c r="B187" s="781">
        <v>22710883000</v>
      </c>
      <c r="C187" s="781">
        <v>5582978000</v>
      </c>
      <c r="D187" s="781">
        <v>1952875000</v>
      </c>
      <c r="E187" s="781">
        <v>7535853000</v>
      </c>
      <c r="F187" s="781">
        <v>30246736000</v>
      </c>
      <c r="G187" s="804">
        <v>0.24914599049629685</v>
      </c>
      <c r="H187" s="781">
        <v>90430236</v>
      </c>
    </row>
    <row r="188" spans="1:8" ht="11.25" customHeight="1">
      <c r="B188" s="781"/>
      <c r="C188" s="781"/>
      <c r="D188" s="781"/>
      <c r="E188" s="781"/>
      <c r="F188" s="781"/>
      <c r="G188" s="804"/>
      <c r="H188" s="781"/>
    </row>
    <row r="189" spans="1:8" ht="12" customHeight="1">
      <c r="A189" s="777" t="s">
        <v>25</v>
      </c>
      <c r="B189" s="781">
        <v>7962115600</v>
      </c>
      <c r="C189" s="781">
        <v>1064329900</v>
      </c>
      <c r="D189" s="781">
        <v>1115859800</v>
      </c>
      <c r="E189" s="781">
        <v>2180189700</v>
      </c>
      <c r="F189" s="781">
        <v>10142305300</v>
      </c>
      <c r="G189" s="804">
        <v>0.2149599756181664</v>
      </c>
      <c r="H189" s="781">
        <v>26598314.34</v>
      </c>
    </row>
    <row r="190" spans="1:8" ht="12" customHeight="1">
      <c r="A190" s="777" t="s">
        <v>169</v>
      </c>
      <c r="B190" s="781">
        <v>2277666100</v>
      </c>
      <c r="C190" s="781">
        <v>342704400</v>
      </c>
      <c r="D190" s="781">
        <v>199441800</v>
      </c>
      <c r="E190" s="781">
        <v>542146200</v>
      </c>
      <c r="F190" s="781">
        <v>2819812300</v>
      </c>
      <c r="G190" s="804">
        <v>0.19226322262655568</v>
      </c>
      <c r="H190" s="781">
        <v>6505754.4000000004</v>
      </c>
    </row>
    <row r="191" spans="1:8" ht="12" customHeight="1">
      <c r="A191" s="777" t="s">
        <v>170</v>
      </c>
      <c r="B191" s="781">
        <v>2043064069</v>
      </c>
      <c r="C191" s="781">
        <v>256336765</v>
      </c>
      <c r="D191" s="781">
        <v>153955422</v>
      </c>
      <c r="E191" s="781">
        <v>410292187</v>
      </c>
      <c r="F191" s="781">
        <v>2453356256</v>
      </c>
      <c r="G191" s="804">
        <v>0.16723710060313393</v>
      </c>
      <c r="H191" s="781">
        <v>3979834.2138999999</v>
      </c>
    </row>
    <row r="192" spans="1:8" ht="12" customHeight="1">
      <c r="A192" s="777" t="s">
        <v>171</v>
      </c>
      <c r="B192" s="781">
        <v>10513127400</v>
      </c>
      <c r="C192" s="781">
        <v>747181400</v>
      </c>
      <c r="D192" s="781">
        <v>370483700</v>
      </c>
      <c r="E192" s="781">
        <v>1117665100</v>
      </c>
      <c r="F192" s="781">
        <v>11630792500</v>
      </c>
      <c r="G192" s="804">
        <v>9.6095352057910075E-2</v>
      </c>
      <c r="H192" s="781">
        <v>12406082.610000001</v>
      </c>
    </row>
    <row r="193" spans="1:8" ht="12" customHeight="1">
      <c r="A193" s="777" t="s">
        <v>602</v>
      </c>
      <c r="B193" s="781">
        <v>59558551700</v>
      </c>
      <c r="C193" s="781">
        <v>9705359000</v>
      </c>
      <c r="D193" s="781">
        <v>1716477500</v>
      </c>
      <c r="E193" s="781">
        <v>11421836500</v>
      </c>
      <c r="F193" s="781">
        <v>70980388200</v>
      </c>
      <c r="G193" s="804">
        <v>0.16091538507533831</v>
      </c>
      <c r="H193" s="781">
        <v>116217186.3875</v>
      </c>
    </row>
    <row r="194" spans="1:8" ht="9" customHeight="1">
      <c r="B194" s="781"/>
      <c r="C194" s="781"/>
      <c r="D194" s="781"/>
      <c r="E194" s="781"/>
      <c r="F194" s="781"/>
      <c r="G194" s="804"/>
      <c r="H194" s="781"/>
    </row>
    <row r="195" spans="1:8">
      <c r="A195" s="777" t="s">
        <v>173</v>
      </c>
      <c r="B195" s="781">
        <v>1908479700</v>
      </c>
      <c r="C195" s="781">
        <v>116586000</v>
      </c>
      <c r="D195" s="781">
        <v>197620400</v>
      </c>
      <c r="E195" s="781">
        <v>314206400</v>
      </c>
      <c r="F195" s="781">
        <v>2222686100</v>
      </c>
      <c r="G195" s="804">
        <v>0.14136337110309907</v>
      </c>
      <c r="H195" s="781">
        <v>2827857.6</v>
      </c>
    </row>
    <row r="196" spans="1:8">
      <c r="A196" s="777" t="s">
        <v>838</v>
      </c>
      <c r="B196" s="781">
        <v>1996684300</v>
      </c>
      <c r="C196" s="781">
        <v>118622200</v>
      </c>
      <c r="D196" s="781">
        <v>924575700</v>
      </c>
      <c r="E196" s="781">
        <v>1043197900</v>
      </c>
      <c r="F196" s="781">
        <v>3039882200</v>
      </c>
      <c r="G196" s="804">
        <v>0.34317050180431335</v>
      </c>
      <c r="H196" s="781">
        <v>6259187.4000000004</v>
      </c>
    </row>
    <row r="197" spans="1:8">
      <c r="A197" s="777" t="s">
        <v>177</v>
      </c>
      <c r="B197" s="781">
        <v>3191648489</v>
      </c>
      <c r="C197" s="781">
        <v>139017900</v>
      </c>
      <c r="D197" s="781">
        <v>827135701</v>
      </c>
      <c r="E197" s="781">
        <v>966153601</v>
      </c>
      <c r="F197" s="781">
        <v>4157802090</v>
      </c>
      <c r="G197" s="804">
        <v>0.23237123366783435</v>
      </c>
      <c r="H197" s="781">
        <v>8985228.4892999995</v>
      </c>
    </row>
    <row r="198" spans="1:8" ht="12" customHeight="1">
      <c r="E198" s="781"/>
      <c r="G198" s="804"/>
    </row>
    <row r="199" spans="1:8" ht="12.75" customHeight="1">
      <c r="A199" s="785" t="s">
        <v>27</v>
      </c>
      <c r="B199" s="785">
        <v>288288529406</v>
      </c>
      <c r="C199" s="785">
        <v>66471675592</v>
      </c>
      <c r="D199" s="785">
        <v>19590859715</v>
      </c>
      <c r="E199" s="785">
        <v>86062535307</v>
      </c>
      <c r="F199" s="785">
        <v>374351064713</v>
      </c>
      <c r="G199" s="799">
        <v>0.22989793116517701</v>
      </c>
      <c r="H199" s="785">
        <v>988148753.21939993</v>
      </c>
    </row>
    <row r="200" spans="1:8" ht="12.75" customHeight="1">
      <c r="A200" s="785" t="s">
        <v>22</v>
      </c>
      <c r="B200" s="785">
        <v>910276017429</v>
      </c>
      <c r="C200" s="785">
        <v>66099368047</v>
      </c>
      <c r="D200" s="785">
        <v>33103623360</v>
      </c>
      <c r="E200" s="785">
        <v>99202991407</v>
      </c>
      <c r="F200" s="785">
        <v>1009479008836</v>
      </c>
      <c r="G200" s="799">
        <v>9.8271475225015323E-2</v>
      </c>
      <c r="H200" s="785">
        <v>768270608.84052575</v>
      </c>
    </row>
    <row r="201" spans="1:8">
      <c r="A201" s="805"/>
      <c r="B201" s="805"/>
      <c r="C201" s="805"/>
      <c r="D201" s="805"/>
      <c r="E201" s="805"/>
      <c r="F201" s="805"/>
      <c r="G201" s="805"/>
      <c r="H201" s="805"/>
    </row>
    <row r="202" spans="1:8" ht="12.75" customHeight="1">
      <c r="A202" s="785" t="s">
        <v>28</v>
      </c>
      <c r="B202" s="785">
        <v>1198564546835</v>
      </c>
      <c r="C202" s="785">
        <v>132571043639</v>
      </c>
      <c r="D202" s="785">
        <v>52694483075</v>
      </c>
      <c r="E202" s="785">
        <v>185265526714</v>
      </c>
      <c r="F202" s="785">
        <v>1383830073549</v>
      </c>
      <c r="G202" s="799">
        <v>0.13387881233052271</v>
      </c>
      <c r="H202" s="785">
        <v>1756419362.0599256</v>
      </c>
    </row>
    <row r="203" spans="1:8">
      <c r="A203" s="806"/>
      <c r="B203" s="806"/>
      <c r="C203" s="806"/>
      <c r="D203" s="806"/>
      <c r="E203" s="806"/>
      <c r="F203" s="806"/>
      <c r="G203" s="807"/>
      <c r="H203" s="806"/>
    </row>
    <row r="204" spans="1:8">
      <c r="A204" s="806"/>
      <c r="B204" s="806"/>
      <c r="C204" s="806"/>
      <c r="D204" s="806"/>
      <c r="E204" s="806"/>
      <c r="F204" s="806"/>
      <c r="G204" s="806"/>
      <c r="H204" s="806"/>
    </row>
    <row r="205" spans="1:8">
      <c r="A205" s="777" t="s">
        <v>1</v>
      </c>
      <c r="B205" s="780"/>
      <c r="C205" s="780"/>
      <c r="D205" s="780"/>
      <c r="E205" s="780"/>
      <c r="F205" s="780"/>
      <c r="G205" s="780"/>
      <c r="H205" s="780"/>
    </row>
    <row r="206" spans="1:8">
      <c r="A206" s="777" t="s">
        <v>839</v>
      </c>
      <c r="F206" s="780"/>
      <c r="G206" s="808"/>
    </row>
    <row r="207" spans="1:8">
      <c r="A207" s="777" t="s">
        <v>858</v>
      </c>
      <c r="G207" s="808"/>
    </row>
    <row r="208" spans="1:8">
      <c r="A208" s="777" t="s">
        <v>859</v>
      </c>
      <c r="G208" s="808"/>
    </row>
    <row r="209" spans="1:8">
      <c r="A209" s="789" t="s">
        <v>906</v>
      </c>
    </row>
    <row r="210" spans="1:8">
      <c r="B210" s="789"/>
      <c r="C210" s="789"/>
      <c r="D210" s="789"/>
      <c r="E210" s="789"/>
      <c r="F210" s="789"/>
      <c r="G210" s="808"/>
      <c r="H210" s="789"/>
    </row>
    <row r="211" spans="1:8">
      <c r="B211" s="789">
        <v>1197482687329</v>
      </c>
      <c r="C211" s="789">
        <v>132613911494</v>
      </c>
      <c r="D211" s="789">
        <v>52531008029</v>
      </c>
      <c r="E211" s="789">
        <v>185144919523</v>
      </c>
      <c r="F211" s="789">
        <v>1382627606852</v>
      </c>
      <c r="G211" s="808">
        <v>0.13390801587170853</v>
      </c>
      <c r="H211" s="789">
        <v>1845670812.4442854</v>
      </c>
    </row>
    <row r="212" spans="1:8">
      <c r="B212" s="789">
        <v>1081859506</v>
      </c>
      <c r="C212" s="789">
        <v>-42867855</v>
      </c>
      <c r="D212" s="789">
        <v>163475046</v>
      </c>
      <c r="E212" s="789">
        <v>120607191</v>
      </c>
      <c r="F212" s="789">
        <v>1202466697</v>
      </c>
      <c r="G212" s="789">
        <v>-2.92035411858238E-5</v>
      </c>
      <c r="H212" s="789">
        <v>-89251450.384359837</v>
      </c>
    </row>
    <row r="213" spans="1:8">
      <c r="B213" s="789"/>
      <c r="C213" s="789"/>
      <c r="D213" s="789"/>
      <c r="E213" s="789"/>
      <c r="F213" s="789"/>
      <c r="G213" s="808"/>
      <c r="H213" s="789"/>
    </row>
    <row r="215" spans="1:8">
      <c r="B215" s="790"/>
      <c r="C215" s="790"/>
      <c r="D215" s="790"/>
      <c r="E215" s="790"/>
      <c r="F215" s="790"/>
      <c r="G215" s="790"/>
      <c r="H215" s="790"/>
    </row>
    <row r="216" spans="1:8">
      <c r="B216" s="790"/>
      <c r="C216" s="790"/>
      <c r="D216" s="790"/>
      <c r="E216" s="790"/>
      <c r="F216" s="790"/>
      <c r="G216" s="790"/>
      <c r="H216" s="790"/>
    </row>
    <row r="218" spans="1:8">
      <c r="B218" s="790"/>
      <c r="C218" s="790"/>
      <c r="D218" s="790"/>
      <c r="E218" s="790"/>
      <c r="F218" s="790"/>
      <c r="G218" s="790"/>
      <c r="H218" s="790"/>
    </row>
  </sheetData>
  <mergeCells count="11">
    <mergeCell ref="C47:E47"/>
    <mergeCell ref="A86:H86"/>
    <mergeCell ref="C89:E89"/>
    <mergeCell ref="A2:H2"/>
    <mergeCell ref="C5:E5"/>
    <mergeCell ref="A44:H44"/>
    <mergeCell ref="A171:H171"/>
    <mergeCell ref="C174:E174"/>
    <mergeCell ref="A128:H128"/>
    <mergeCell ref="C131:E131"/>
    <mergeCell ref="C144:E144"/>
  </mergeCells>
  <printOptions horizontalCentered="1"/>
  <pageMargins left="0.25" right="0.25" top="0.75" bottom="1.25" header="0.25" footer="0.4"/>
  <pageSetup fitToHeight="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zoomScaleNormal="100" workbookViewId="0">
      <pane ySplit="2690" topLeftCell="A135"/>
      <selection pane="bottomLeft" activeCell="J180" sqref="J180"/>
    </sheetView>
  </sheetViews>
  <sheetFormatPr defaultColWidth="10.81640625" defaultRowHeight="11.5"/>
  <cols>
    <col min="1" max="1" width="14.7265625" style="723" customWidth="1"/>
    <col min="2" max="2" width="16.7265625" style="1545" customWidth="1"/>
    <col min="3" max="3" width="0.81640625" style="1541" hidden="1" customWidth="1"/>
    <col min="4" max="4" width="15.7265625" style="1545" customWidth="1"/>
    <col min="5" max="5" width="0.54296875" style="1541" customWidth="1"/>
    <col min="6" max="6" width="15.7265625" style="1545" customWidth="1"/>
    <col min="7" max="7" width="0.81640625" style="1541" hidden="1" customWidth="1"/>
    <col min="8" max="8" width="13.7265625" style="1545" customWidth="1"/>
    <col min="9" max="9" width="0.54296875" style="1541" customWidth="1"/>
    <col min="10" max="10" width="14.7265625" style="1545" customWidth="1"/>
    <col min="11" max="11" width="0.81640625" style="1541" hidden="1" customWidth="1"/>
    <col min="12" max="12" width="12.7265625" style="1545" customWidth="1"/>
    <col min="13" max="13" width="0.54296875" style="1541" customWidth="1"/>
    <col min="14" max="14" width="15.7265625" style="1545" customWidth="1"/>
    <col min="15" max="15" width="0.81640625" style="1541" hidden="1" customWidth="1"/>
    <col min="16" max="16" width="13.7265625" style="1545" customWidth="1"/>
    <col min="17" max="17" width="7" style="757" bestFit="1" customWidth="1"/>
    <col min="18" max="16384" width="10.81640625" style="723"/>
  </cols>
  <sheetData>
    <row r="1" spans="1:17" s="738" customFormat="1" ht="15" customHeight="1">
      <c r="A1" s="909" t="s">
        <v>860</v>
      </c>
      <c r="B1" s="1557"/>
      <c r="C1" s="1550"/>
      <c r="D1" s="1557"/>
      <c r="E1" s="1550"/>
      <c r="F1" s="1557"/>
      <c r="G1" s="1550"/>
      <c r="H1" s="1557"/>
      <c r="I1" s="1550"/>
      <c r="J1" s="1557"/>
      <c r="K1" s="1550"/>
      <c r="L1" s="1557"/>
      <c r="M1" s="1550"/>
      <c r="N1" s="1557"/>
      <c r="O1" s="1550"/>
      <c r="P1" s="1557"/>
      <c r="Q1" s="939" t="s">
        <v>1018</v>
      </c>
    </row>
    <row r="2" spans="1:17" s="738" customFormat="1" ht="15" customHeight="1">
      <c r="A2" s="1031" t="s">
        <v>1272</v>
      </c>
      <c r="B2" s="1558"/>
      <c r="C2" s="1558"/>
      <c r="D2" s="1558"/>
      <c r="E2" s="1558"/>
      <c r="F2" s="1558"/>
      <c r="G2" s="1558"/>
      <c r="H2" s="1558"/>
      <c r="I2" s="1558"/>
      <c r="J2" s="1558"/>
      <c r="K2" s="1558"/>
      <c r="L2" s="1558"/>
      <c r="M2" s="1558"/>
      <c r="N2" s="1558"/>
      <c r="O2" s="1558"/>
      <c r="P2" s="1558"/>
      <c r="Q2" s="748"/>
    </row>
    <row r="3" spans="1:17" ht="5.15" customHeight="1" thickBot="1">
      <c r="A3" s="727"/>
      <c r="B3" s="1543"/>
      <c r="C3" s="1543"/>
      <c r="D3" s="1543"/>
      <c r="E3" s="1543"/>
      <c r="F3" s="1543"/>
      <c r="G3" s="1543"/>
      <c r="H3" s="1543"/>
      <c r="I3" s="1543"/>
      <c r="J3" s="1543"/>
      <c r="K3" s="1543"/>
      <c r="L3" s="1543"/>
      <c r="M3" s="1543"/>
      <c r="N3" s="1543"/>
      <c r="O3" s="1543"/>
      <c r="P3" s="1543"/>
      <c r="Q3" s="750"/>
    </row>
    <row r="4" spans="1:17" s="838" customFormat="1" ht="12.75" customHeight="1">
      <c r="A4" s="1027"/>
      <c r="B4" s="1603" t="s">
        <v>862</v>
      </c>
      <c r="C4" s="1603"/>
      <c r="D4" s="1603"/>
      <c r="E4" s="1602"/>
      <c r="F4" s="1604" t="s">
        <v>863</v>
      </c>
      <c r="G4" s="1604"/>
      <c r="H4" s="1604"/>
      <c r="I4" s="1602"/>
      <c r="J4" s="1604" t="s">
        <v>864</v>
      </c>
      <c r="K4" s="1604"/>
      <c r="L4" s="1604"/>
      <c r="M4" s="1602"/>
      <c r="N4" s="1604" t="s">
        <v>865</v>
      </c>
      <c r="O4" s="1604"/>
      <c r="P4" s="1604"/>
      <c r="Q4" s="748"/>
    </row>
    <row r="5" spans="1:17" s="1028" customFormat="1" ht="12.75" customHeight="1">
      <c r="A5" s="1404" t="s">
        <v>21</v>
      </c>
      <c r="B5" s="1485" t="s">
        <v>866</v>
      </c>
      <c r="C5" s="1484"/>
      <c r="D5" s="1485" t="s">
        <v>867</v>
      </c>
      <c r="E5" s="1481"/>
      <c r="F5" s="1485" t="s">
        <v>866</v>
      </c>
      <c r="G5" s="1484"/>
      <c r="H5" s="1485" t="s">
        <v>867</v>
      </c>
      <c r="I5" s="1481"/>
      <c r="J5" s="1483" t="s">
        <v>866</v>
      </c>
      <c r="K5" s="1484"/>
      <c r="L5" s="1483" t="s">
        <v>867</v>
      </c>
      <c r="M5" s="1481"/>
      <c r="N5" s="1486" t="s">
        <v>866</v>
      </c>
      <c r="O5" s="1484"/>
      <c r="P5" s="1485" t="s">
        <v>867</v>
      </c>
      <c r="Q5" s="1029"/>
    </row>
    <row r="6" spans="1:17" ht="18" customHeight="1">
      <c r="A6" s="723" t="s">
        <v>327</v>
      </c>
      <c r="B6" s="1865">
        <v>428661552</v>
      </c>
      <c r="C6" s="1866"/>
      <c r="D6" s="1865">
        <v>13428445</v>
      </c>
      <c r="E6" s="1866"/>
      <c r="F6" s="1865">
        <v>22118856</v>
      </c>
      <c r="G6" s="1866"/>
      <c r="H6" s="1865">
        <v>822039</v>
      </c>
      <c r="I6" s="1866"/>
      <c r="J6" s="1865">
        <v>0</v>
      </c>
      <c r="K6" s="1866"/>
      <c r="L6" s="1865">
        <v>0</v>
      </c>
      <c r="M6" s="1866"/>
      <c r="N6" s="1865">
        <v>410484176</v>
      </c>
      <c r="O6" s="1866"/>
      <c r="P6" s="1867">
        <v>2569437</v>
      </c>
      <c r="Q6" s="835"/>
    </row>
    <row r="7" spans="1:17" ht="11.25" customHeight="1">
      <c r="A7" s="723" t="s">
        <v>56</v>
      </c>
      <c r="B7" s="1868">
        <v>1344704331</v>
      </c>
      <c r="C7" s="1869"/>
      <c r="D7" s="1868">
        <v>52485001.529619999</v>
      </c>
      <c r="E7" s="1869"/>
      <c r="F7" s="1868">
        <v>19810637</v>
      </c>
      <c r="G7" s="1869"/>
      <c r="H7" s="1868">
        <v>847895.26359999995</v>
      </c>
      <c r="I7" s="1869"/>
      <c r="J7" s="1868">
        <v>0</v>
      </c>
      <c r="K7" s="1869"/>
      <c r="L7" s="1868">
        <v>0</v>
      </c>
      <c r="M7" s="1869"/>
      <c r="N7" s="1868">
        <v>579855775.5</v>
      </c>
      <c r="O7" s="1869"/>
      <c r="P7" s="1870">
        <v>4973292.2949299999</v>
      </c>
      <c r="Q7" s="835"/>
    </row>
    <row r="8" spans="1:17" ht="11.25" customHeight="1">
      <c r="A8" s="723" t="s">
        <v>58</v>
      </c>
      <c r="B8" s="1868">
        <v>162718832</v>
      </c>
      <c r="C8" s="1869"/>
      <c r="D8" s="1868">
        <v>4779785.3186000008</v>
      </c>
      <c r="E8" s="1869"/>
      <c r="F8" s="1868">
        <v>211565658</v>
      </c>
      <c r="G8" s="1869"/>
      <c r="H8" s="1868">
        <v>6304656.6084000003</v>
      </c>
      <c r="I8" s="1869"/>
      <c r="J8" s="1868">
        <v>0</v>
      </c>
      <c r="K8" s="1869"/>
      <c r="L8" s="1868">
        <v>0</v>
      </c>
      <c r="M8" s="1869"/>
      <c r="N8" s="1868">
        <v>177069169</v>
      </c>
      <c r="O8" s="1869"/>
      <c r="P8" s="1870">
        <v>1294988.1336999999</v>
      </c>
      <c r="Q8" s="835"/>
    </row>
    <row r="9" spans="1:17" ht="11.25" customHeight="1">
      <c r="A9" s="723" t="s">
        <v>60</v>
      </c>
      <c r="B9" s="1868">
        <v>130167442</v>
      </c>
      <c r="C9" s="1869"/>
      <c r="D9" s="1868">
        <v>5173388</v>
      </c>
      <c r="E9" s="1869"/>
      <c r="F9" s="1868">
        <v>13578875</v>
      </c>
      <c r="G9" s="1869"/>
      <c r="H9" s="1868">
        <v>135788.75</v>
      </c>
      <c r="I9" s="1869"/>
      <c r="J9" s="1868">
        <v>0</v>
      </c>
      <c r="K9" s="1869"/>
      <c r="L9" s="1868">
        <v>0</v>
      </c>
      <c r="M9" s="1869"/>
      <c r="N9" s="1868">
        <v>47438299</v>
      </c>
      <c r="O9" s="1869"/>
      <c r="P9" s="1870">
        <v>1966212</v>
      </c>
      <c r="Q9" s="835"/>
    </row>
    <row r="10" spans="1:17" ht="11.25" customHeight="1">
      <c r="A10" s="723" t="s">
        <v>62</v>
      </c>
      <c r="B10" s="1868">
        <v>295872890</v>
      </c>
      <c r="C10" s="1869"/>
      <c r="D10" s="1868">
        <v>9738315.2130000014</v>
      </c>
      <c r="E10" s="1869"/>
      <c r="F10" s="1868">
        <v>116154270</v>
      </c>
      <c r="G10" s="1869"/>
      <c r="H10" s="1868">
        <v>2323085.4</v>
      </c>
      <c r="I10" s="1869"/>
      <c r="J10" s="1868">
        <v>0</v>
      </c>
      <c r="K10" s="1869"/>
      <c r="L10" s="1868">
        <v>0</v>
      </c>
      <c r="M10" s="1869"/>
      <c r="N10" s="1868">
        <v>131520498</v>
      </c>
      <c r="O10" s="1869"/>
      <c r="P10" s="1870">
        <v>802307.75459999999</v>
      </c>
      <c r="Q10" s="835"/>
    </row>
    <row r="11" spans="1:17" ht="18" customHeight="1">
      <c r="A11" s="723" t="s">
        <v>64</v>
      </c>
      <c r="B11" s="1868">
        <v>176359012</v>
      </c>
      <c r="C11" s="1869"/>
      <c r="D11" s="1868">
        <v>5695020.8187999995</v>
      </c>
      <c r="E11" s="1869"/>
      <c r="F11" s="1868">
        <v>4050530</v>
      </c>
      <c r="G11" s="1869"/>
      <c r="H11" s="1868">
        <v>135692.755</v>
      </c>
      <c r="I11" s="1869"/>
      <c r="J11" s="1868">
        <v>13083887</v>
      </c>
      <c r="K11" s="1869"/>
      <c r="L11" s="1868">
        <v>130838.87</v>
      </c>
      <c r="M11" s="1869"/>
      <c r="N11" s="1868">
        <v>141979619</v>
      </c>
      <c r="O11" s="1869"/>
      <c r="P11" s="1870">
        <v>915279.5181000001</v>
      </c>
      <c r="Q11" s="835"/>
    </row>
    <row r="12" spans="1:17" ht="11.25" customHeight="1">
      <c r="A12" s="723" t="s">
        <v>66</v>
      </c>
      <c r="B12" s="1868">
        <v>2340155885.4000001</v>
      </c>
      <c r="C12" s="1869"/>
      <c r="D12" s="1868">
        <v>117007794.27</v>
      </c>
      <c r="E12" s="1869"/>
      <c r="F12" s="1868">
        <v>5499887</v>
      </c>
      <c r="G12" s="1869"/>
      <c r="H12" s="1868">
        <v>274994.34999999998</v>
      </c>
      <c r="I12" s="1869"/>
      <c r="J12" s="1868">
        <v>0</v>
      </c>
      <c r="K12" s="1869"/>
      <c r="L12" s="1868">
        <v>0</v>
      </c>
      <c r="M12" s="1869"/>
      <c r="N12" s="1868">
        <v>775793614.85000002</v>
      </c>
      <c r="O12" s="1869"/>
      <c r="P12" s="1870">
        <v>7865497.7648904994</v>
      </c>
      <c r="Q12" s="835"/>
    </row>
    <row r="13" spans="1:17" ht="11.25" customHeight="1">
      <c r="A13" s="723" t="s">
        <v>68</v>
      </c>
      <c r="B13" s="1868">
        <v>859133240</v>
      </c>
      <c r="C13" s="1869"/>
      <c r="D13" s="1868">
        <v>20814638.020000003</v>
      </c>
      <c r="E13" s="1869"/>
      <c r="F13" s="1868">
        <v>264108470</v>
      </c>
      <c r="G13" s="1869"/>
      <c r="H13" s="1868">
        <v>5282169.4000000004</v>
      </c>
      <c r="I13" s="1869"/>
      <c r="J13" s="1868">
        <v>0</v>
      </c>
      <c r="K13" s="1869"/>
      <c r="L13" s="1868">
        <v>0</v>
      </c>
      <c r="M13" s="1869"/>
      <c r="N13" s="1868">
        <v>460644580</v>
      </c>
      <c r="O13" s="1869"/>
      <c r="P13" s="1870">
        <v>2915932.1039999998</v>
      </c>
      <c r="Q13" s="835"/>
    </row>
    <row r="14" spans="1:17" ht="11.25" customHeight="1">
      <c r="A14" s="723" t="s">
        <v>70</v>
      </c>
      <c r="B14" s="1868">
        <v>63434600</v>
      </c>
      <c r="C14" s="1869"/>
      <c r="D14" s="1868">
        <v>284535.5</v>
      </c>
      <c r="E14" s="1869"/>
      <c r="F14" s="1868">
        <v>4415100</v>
      </c>
      <c r="G14" s="1869"/>
      <c r="H14" s="1868">
        <v>19867.95</v>
      </c>
      <c r="I14" s="1869"/>
      <c r="J14" s="1868">
        <v>0</v>
      </c>
      <c r="K14" s="1869"/>
      <c r="L14" s="1868">
        <v>0</v>
      </c>
      <c r="M14" s="1869"/>
      <c r="N14" s="1868">
        <v>1375846099</v>
      </c>
      <c r="O14" s="1869"/>
      <c r="P14" s="1870">
        <v>7565858.8224999998</v>
      </c>
      <c r="Q14" s="835"/>
    </row>
    <row r="15" spans="1:17" ht="11.25" customHeight="1">
      <c r="A15" s="723" t="s">
        <v>832</v>
      </c>
      <c r="B15" s="1868">
        <v>1323291649</v>
      </c>
      <c r="C15" s="1869"/>
      <c r="D15" s="1868">
        <v>29734534.561000004</v>
      </c>
      <c r="E15" s="1869"/>
      <c r="F15" s="1868">
        <v>304052555</v>
      </c>
      <c r="G15" s="1869"/>
      <c r="H15" s="1868">
        <v>3648630.66</v>
      </c>
      <c r="I15" s="1869"/>
      <c r="J15" s="1868">
        <v>0</v>
      </c>
      <c r="K15" s="1869"/>
      <c r="L15" s="1868">
        <v>0</v>
      </c>
      <c r="M15" s="1869"/>
      <c r="N15" s="1868">
        <v>320071169</v>
      </c>
      <c r="O15" s="1869"/>
      <c r="P15" s="1870">
        <v>1600616.8985000001</v>
      </c>
      <c r="Q15" s="835"/>
    </row>
    <row r="16" spans="1:17" ht="18" customHeight="1">
      <c r="A16" s="723" t="s">
        <v>73</v>
      </c>
      <c r="B16" s="1868">
        <v>75139178</v>
      </c>
      <c r="C16" s="1869"/>
      <c r="D16" s="1868">
        <v>1670503.8092000003</v>
      </c>
      <c r="E16" s="1869"/>
      <c r="F16" s="1868">
        <v>27716715</v>
      </c>
      <c r="G16" s="1869"/>
      <c r="H16" s="1868">
        <v>246678.7635</v>
      </c>
      <c r="I16" s="1869"/>
      <c r="J16" s="1868">
        <v>19231761</v>
      </c>
      <c r="K16" s="1869"/>
      <c r="L16" s="1868">
        <v>140391.8553</v>
      </c>
      <c r="M16" s="1869"/>
      <c r="N16" s="1868">
        <v>105305361</v>
      </c>
      <c r="O16" s="1869"/>
      <c r="P16" s="1870">
        <v>631832.16599999997</v>
      </c>
      <c r="Q16" s="835"/>
    </row>
    <row r="17" spans="1:17" ht="11.25" customHeight="1">
      <c r="A17" s="723" t="s">
        <v>75</v>
      </c>
      <c r="B17" s="1868">
        <v>53683049</v>
      </c>
      <c r="C17" s="1869"/>
      <c r="D17" s="1868">
        <v>1344526.8647</v>
      </c>
      <c r="E17" s="1869"/>
      <c r="F17" s="1868">
        <v>264096426</v>
      </c>
      <c r="G17" s="1869"/>
      <c r="H17" s="1868">
        <v>4753735.6680000005</v>
      </c>
      <c r="I17" s="1869"/>
      <c r="J17" s="1868">
        <v>0</v>
      </c>
      <c r="K17" s="1869"/>
      <c r="L17" s="1868">
        <v>0</v>
      </c>
      <c r="M17" s="1869"/>
      <c r="N17" s="1868">
        <v>514313172</v>
      </c>
      <c r="O17" s="1869"/>
      <c r="P17" s="1870">
        <v>4066353.7068000007</v>
      </c>
      <c r="Q17" s="835"/>
    </row>
    <row r="18" spans="1:17" ht="11.25" customHeight="1">
      <c r="A18" s="723" t="s">
        <v>77</v>
      </c>
      <c r="B18" s="1868">
        <v>148024760</v>
      </c>
      <c r="C18" s="1869"/>
      <c r="D18" s="1868">
        <v>5447848.3400000008</v>
      </c>
      <c r="E18" s="1869"/>
      <c r="F18" s="1868">
        <v>8599410</v>
      </c>
      <c r="G18" s="1869"/>
      <c r="H18" s="1868">
        <v>292379.94</v>
      </c>
      <c r="I18" s="1869"/>
      <c r="J18" s="1868">
        <v>0</v>
      </c>
      <c r="K18" s="1869"/>
      <c r="L18" s="1868">
        <v>0</v>
      </c>
      <c r="M18" s="1869"/>
      <c r="N18" s="1868">
        <v>994779297</v>
      </c>
      <c r="O18" s="1869"/>
      <c r="P18" s="1870">
        <v>6466389.5905000009</v>
      </c>
      <c r="Q18" s="835"/>
    </row>
    <row r="19" spans="1:17" ht="11.25" customHeight="1">
      <c r="A19" s="723" t="s">
        <v>79</v>
      </c>
      <c r="B19" s="1868">
        <v>274013710</v>
      </c>
      <c r="C19" s="1869"/>
      <c r="D19" s="1868">
        <v>5118721.540000001</v>
      </c>
      <c r="E19" s="1869"/>
      <c r="F19" s="1868">
        <v>219731416</v>
      </c>
      <c r="G19" s="1869"/>
      <c r="H19" s="1868">
        <v>4284762.63</v>
      </c>
      <c r="I19" s="1869"/>
      <c r="J19" s="1868">
        <v>3401143</v>
      </c>
      <c r="K19" s="1869"/>
      <c r="L19" s="1868">
        <v>68022.86</v>
      </c>
      <c r="M19" s="1869"/>
      <c r="N19" s="1868">
        <v>163094829</v>
      </c>
      <c r="O19" s="1869"/>
      <c r="P19" s="1870">
        <v>638405.64</v>
      </c>
      <c r="Q19" s="835"/>
    </row>
    <row r="20" spans="1:17" ht="11.25" customHeight="1">
      <c r="A20" s="723" t="s">
        <v>81</v>
      </c>
      <c r="B20" s="1868">
        <v>161562475</v>
      </c>
      <c r="C20" s="1869"/>
      <c r="D20" s="1868">
        <v>6181757.683699999</v>
      </c>
      <c r="E20" s="1869"/>
      <c r="F20" s="1868">
        <v>11618970</v>
      </c>
      <c r="G20" s="1869"/>
      <c r="H20" s="1868">
        <v>336950.13</v>
      </c>
      <c r="I20" s="1869"/>
      <c r="J20" s="1868">
        <v>19370530</v>
      </c>
      <c r="K20" s="1869"/>
      <c r="L20" s="1868">
        <v>193705.3</v>
      </c>
      <c r="M20" s="1869"/>
      <c r="N20" s="1868">
        <v>616893391</v>
      </c>
      <c r="O20" s="1869"/>
      <c r="P20" s="1870">
        <v>3209139.2017000001</v>
      </c>
      <c r="Q20" s="835"/>
    </row>
    <row r="21" spans="1:17" ht="18" customHeight="1">
      <c r="A21" s="723" t="s">
        <v>83</v>
      </c>
      <c r="B21" s="1868">
        <v>449025478</v>
      </c>
      <c r="C21" s="1869"/>
      <c r="D21" s="1868">
        <v>18064332.0667</v>
      </c>
      <c r="E21" s="1869"/>
      <c r="F21" s="1868">
        <v>205796226</v>
      </c>
      <c r="G21" s="1869"/>
      <c r="H21" s="1868">
        <v>6585479.2320000008</v>
      </c>
      <c r="I21" s="1869"/>
      <c r="J21" s="1868">
        <v>0</v>
      </c>
      <c r="K21" s="1869"/>
      <c r="L21" s="1868">
        <v>0</v>
      </c>
      <c r="M21" s="1869"/>
      <c r="N21" s="1868">
        <v>430956704</v>
      </c>
      <c r="O21" s="1869"/>
      <c r="P21" s="1870">
        <v>2286502.5152000003</v>
      </c>
      <c r="Q21" s="835"/>
    </row>
    <row r="22" spans="1:17" ht="11.25" customHeight="1">
      <c r="A22" s="723" t="s">
        <v>85</v>
      </c>
      <c r="B22" s="1868">
        <v>391857878</v>
      </c>
      <c r="C22" s="1869"/>
      <c r="D22" s="1868">
        <v>14197899.897000004</v>
      </c>
      <c r="E22" s="1869"/>
      <c r="F22" s="1868">
        <v>9183130</v>
      </c>
      <c r="G22" s="1869"/>
      <c r="H22" s="1868">
        <v>321409.55</v>
      </c>
      <c r="I22" s="1869"/>
      <c r="J22" s="1868">
        <v>0</v>
      </c>
      <c r="K22" s="1869"/>
      <c r="L22" s="1868">
        <v>0</v>
      </c>
      <c r="M22" s="1869"/>
      <c r="N22" s="1868">
        <v>447207802</v>
      </c>
      <c r="O22" s="1869"/>
      <c r="P22" s="1870">
        <v>3553521.6176</v>
      </c>
      <c r="Q22" s="835"/>
    </row>
    <row r="23" spans="1:17" ht="11.25" customHeight="1">
      <c r="A23" s="723" t="s">
        <v>87</v>
      </c>
      <c r="B23" s="1868">
        <v>327009750</v>
      </c>
      <c r="C23" s="1869"/>
      <c r="D23" s="1868">
        <v>7326454.79</v>
      </c>
      <c r="E23" s="1869"/>
      <c r="F23" s="1868">
        <v>55607740</v>
      </c>
      <c r="G23" s="1869"/>
      <c r="H23" s="1868">
        <v>1112154.8</v>
      </c>
      <c r="I23" s="1869"/>
      <c r="J23" s="1868">
        <v>30998375</v>
      </c>
      <c r="K23" s="1869"/>
      <c r="L23" s="1868">
        <v>213888.78750000001</v>
      </c>
      <c r="M23" s="1869"/>
      <c r="N23" s="1868">
        <v>143109245</v>
      </c>
      <c r="O23" s="1869"/>
      <c r="P23" s="1870">
        <v>922642.12119999994</v>
      </c>
      <c r="Q23" s="835"/>
    </row>
    <row r="24" spans="1:17" ht="11.25" customHeight="1">
      <c r="A24" s="723" t="s">
        <v>89</v>
      </c>
      <c r="B24" s="1868">
        <v>92588852</v>
      </c>
      <c r="C24" s="1869"/>
      <c r="D24" s="1868">
        <v>3420341.0399999996</v>
      </c>
      <c r="E24" s="1869"/>
      <c r="F24" s="1868">
        <v>2562799</v>
      </c>
      <c r="G24" s="1869"/>
      <c r="H24" s="1868">
        <v>76883.97</v>
      </c>
      <c r="I24" s="1869"/>
      <c r="J24" s="1868">
        <v>578835</v>
      </c>
      <c r="K24" s="1869"/>
      <c r="L24" s="1868">
        <v>16207.38</v>
      </c>
      <c r="M24" s="1869"/>
      <c r="N24" s="1868">
        <v>138562359</v>
      </c>
      <c r="O24" s="1869"/>
      <c r="P24" s="1870">
        <v>1053073.9284000001</v>
      </c>
      <c r="Q24" s="835"/>
    </row>
    <row r="25" spans="1:17" ht="11.25" customHeight="1">
      <c r="A25" s="723" t="s">
        <v>91</v>
      </c>
      <c r="B25" s="1868">
        <v>112770790.78</v>
      </c>
      <c r="C25" s="1869"/>
      <c r="D25" s="1868">
        <v>4311283.7416099999</v>
      </c>
      <c r="E25" s="1869"/>
      <c r="F25" s="1868">
        <v>20845895.07</v>
      </c>
      <c r="G25" s="1869"/>
      <c r="H25" s="1868">
        <v>625376.85210000002</v>
      </c>
      <c r="I25" s="1869"/>
      <c r="J25" s="1868">
        <v>1117985.77</v>
      </c>
      <c r="K25" s="1869"/>
      <c r="L25" s="1868">
        <v>35775.54464</v>
      </c>
      <c r="M25" s="1869"/>
      <c r="N25" s="1868">
        <v>102430010</v>
      </c>
      <c r="O25" s="1869"/>
      <c r="P25" s="1870">
        <v>635066.06200000003</v>
      </c>
      <c r="Q25" s="835"/>
    </row>
    <row r="26" spans="1:17" ht="18" customHeight="1">
      <c r="A26" s="723" t="s">
        <v>93</v>
      </c>
      <c r="B26" s="1868">
        <v>5021377830</v>
      </c>
      <c r="C26" s="1869"/>
      <c r="D26" s="1868">
        <v>180476296.5675</v>
      </c>
      <c r="E26" s="1869"/>
      <c r="F26" s="1868">
        <v>712163776</v>
      </c>
      <c r="G26" s="1869"/>
      <c r="H26" s="1868">
        <v>7121637.7599999998</v>
      </c>
      <c r="I26" s="1869"/>
      <c r="J26" s="1868">
        <v>0</v>
      </c>
      <c r="K26" s="1869"/>
      <c r="L26" s="1868">
        <v>0</v>
      </c>
      <c r="M26" s="1869"/>
      <c r="N26" s="1868">
        <v>1700642522</v>
      </c>
      <c r="O26" s="1869"/>
      <c r="P26" s="1870">
        <v>7152994.8039999995</v>
      </c>
      <c r="Q26" s="835"/>
    </row>
    <row r="27" spans="1:17" ht="11.25" customHeight="1">
      <c r="A27" s="723" t="s">
        <v>1330</v>
      </c>
      <c r="B27" s="1868">
        <v>190874546</v>
      </c>
      <c r="C27" s="1869"/>
      <c r="D27" s="1868">
        <v>8576383.2131600007</v>
      </c>
      <c r="E27" s="1869"/>
      <c r="F27" s="1868">
        <v>14074437</v>
      </c>
      <c r="G27" s="1869"/>
      <c r="H27" s="1868">
        <v>175930.46249999999</v>
      </c>
      <c r="I27" s="1869"/>
      <c r="J27" s="1868">
        <v>0</v>
      </c>
      <c r="K27" s="1869"/>
      <c r="L27" s="1868">
        <v>0</v>
      </c>
      <c r="M27" s="1869"/>
      <c r="N27" s="1868">
        <v>67261050</v>
      </c>
      <c r="O27" s="1869"/>
      <c r="P27" s="1870">
        <v>413655.45750000002</v>
      </c>
      <c r="Q27" s="835"/>
    </row>
    <row r="28" spans="1:17" ht="11.25" customHeight="1">
      <c r="A28" s="723" t="s">
        <v>97</v>
      </c>
      <c r="B28" s="1868">
        <v>46104541</v>
      </c>
      <c r="C28" s="1869"/>
      <c r="D28" s="1868">
        <v>1509817.3411999999</v>
      </c>
      <c r="E28" s="1869"/>
      <c r="F28" s="1868">
        <v>1894768</v>
      </c>
      <c r="G28" s="1869"/>
      <c r="H28" s="1868">
        <v>66316.88</v>
      </c>
      <c r="I28" s="1869"/>
      <c r="J28" s="1868">
        <v>347347</v>
      </c>
      <c r="K28" s="1869"/>
      <c r="L28" s="1868">
        <v>12157.145</v>
      </c>
      <c r="M28" s="1869"/>
      <c r="N28" s="1868">
        <v>21098219</v>
      </c>
      <c r="O28" s="1869"/>
      <c r="P28" s="1870">
        <v>143644.31410000002</v>
      </c>
      <c r="Q28" s="835"/>
    </row>
    <row r="29" spans="1:17" ht="11.25" customHeight="1">
      <c r="A29" s="723" t="s">
        <v>99</v>
      </c>
      <c r="B29" s="1868">
        <v>1080009639</v>
      </c>
      <c r="C29" s="1869"/>
      <c r="D29" s="1868">
        <v>33330064.489999998</v>
      </c>
      <c r="E29" s="1869"/>
      <c r="F29" s="1868">
        <v>115064822</v>
      </c>
      <c r="G29" s="1869"/>
      <c r="H29" s="1868">
        <v>2301296.44</v>
      </c>
      <c r="I29" s="1869"/>
      <c r="J29" s="1868">
        <v>0</v>
      </c>
      <c r="K29" s="1869"/>
      <c r="L29" s="1868">
        <v>0</v>
      </c>
      <c r="M29" s="1869"/>
      <c r="N29" s="1868">
        <v>296323154</v>
      </c>
      <c r="O29" s="1869"/>
      <c r="P29" s="1870">
        <v>1792830.02</v>
      </c>
      <c r="Q29" s="835"/>
    </row>
    <row r="30" spans="1:17" ht="11.25" customHeight="1">
      <c r="A30" s="723" t="s">
        <v>101</v>
      </c>
      <c r="B30" s="1868">
        <v>80489382</v>
      </c>
      <c r="C30" s="1869"/>
      <c r="D30" s="1868">
        <v>3450993.915</v>
      </c>
      <c r="E30" s="1869"/>
      <c r="F30" s="1868">
        <v>5757301</v>
      </c>
      <c r="G30" s="1869"/>
      <c r="H30" s="1868">
        <v>215898.78750000001</v>
      </c>
      <c r="I30" s="1869"/>
      <c r="J30" s="1868">
        <v>0</v>
      </c>
      <c r="K30" s="1869"/>
      <c r="L30" s="1868">
        <v>0</v>
      </c>
      <c r="M30" s="1869"/>
      <c r="N30" s="1868">
        <v>126216937</v>
      </c>
      <c r="O30" s="1869"/>
      <c r="P30" s="1870">
        <v>952805.75249999994</v>
      </c>
      <c r="Q30" s="835"/>
    </row>
    <row r="31" spans="1:17" ht="18" customHeight="1">
      <c r="A31" s="723" t="s">
        <v>103</v>
      </c>
      <c r="B31" s="1868">
        <v>130815220</v>
      </c>
      <c r="C31" s="1869"/>
      <c r="D31" s="1868">
        <v>2283322.5950000002</v>
      </c>
      <c r="E31" s="1869"/>
      <c r="F31" s="1868">
        <v>95546081</v>
      </c>
      <c r="G31" s="1869"/>
      <c r="H31" s="1868">
        <v>1767602.4985000002</v>
      </c>
      <c r="I31" s="1869"/>
      <c r="J31" s="1868">
        <v>1338272</v>
      </c>
      <c r="K31" s="1869"/>
      <c r="L31" s="1868">
        <v>140518.56</v>
      </c>
      <c r="M31" s="1869"/>
      <c r="N31" s="1868">
        <v>126014215</v>
      </c>
      <c r="O31" s="1869"/>
      <c r="P31" s="1870">
        <v>756932.27749999997</v>
      </c>
      <c r="Q31" s="835"/>
    </row>
    <row r="32" spans="1:17" ht="11.25" customHeight="1">
      <c r="A32" s="723" t="s">
        <v>105</v>
      </c>
      <c r="B32" s="1868">
        <v>312701560</v>
      </c>
      <c r="C32" s="1869"/>
      <c r="D32" s="1868">
        <v>14083769.142099999</v>
      </c>
      <c r="E32" s="1869"/>
      <c r="F32" s="1868">
        <v>109082504</v>
      </c>
      <c r="G32" s="1869"/>
      <c r="H32" s="1868">
        <v>3599722.6319999998</v>
      </c>
      <c r="I32" s="1869"/>
      <c r="J32" s="1868">
        <v>0</v>
      </c>
      <c r="K32" s="1869"/>
      <c r="L32" s="1868">
        <v>0</v>
      </c>
      <c r="M32" s="1869"/>
      <c r="N32" s="1868">
        <v>281982852</v>
      </c>
      <c r="O32" s="1869"/>
      <c r="P32" s="1870">
        <v>2243579.8104000003</v>
      </c>
      <c r="Q32" s="835"/>
    </row>
    <row r="33" spans="1:17" ht="11.25" customHeight="1">
      <c r="A33" s="723" t="s">
        <v>107</v>
      </c>
      <c r="B33" s="1868">
        <v>156558922</v>
      </c>
      <c r="C33" s="1869"/>
      <c r="D33" s="1868">
        <v>4089019.5449999999</v>
      </c>
      <c r="E33" s="1869"/>
      <c r="F33" s="1868">
        <v>9956840</v>
      </c>
      <c r="G33" s="1869"/>
      <c r="H33" s="1868">
        <v>119482.08</v>
      </c>
      <c r="I33" s="1869"/>
      <c r="J33" s="1868">
        <v>2009875</v>
      </c>
      <c r="K33" s="1869"/>
      <c r="L33" s="1868">
        <v>75370.3125</v>
      </c>
      <c r="M33" s="1869"/>
      <c r="N33" s="1868">
        <v>46306662</v>
      </c>
      <c r="O33" s="1869"/>
      <c r="P33" s="1870">
        <v>342669.29880000005</v>
      </c>
      <c r="Q33" s="835"/>
    </row>
    <row r="34" spans="1:17" ht="11.25" customHeight="1">
      <c r="A34" s="723" t="s">
        <v>748</v>
      </c>
      <c r="B34" s="1868">
        <v>14847626899</v>
      </c>
      <c r="C34" s="1869"/>
      <c r="D34" s="1868">
        <v>674782012.04350007</v>
      </c>
      <c r="E34" s="1869"/>
      <c r="F34" s="1868">
        <v>22532794</v>
      </c>
      <c r="G34" s="1869"/>
      <c r="H34" s="1868">
        <v>1029748.6858000001</v>
      </c>
      <c r="I34" s="1869"/>
      <c r="J34" s="1868">
        <v>0</v>
      </c>
      <c r="K34" s="1869"/>
      <c r="L34" s="1868">
        <v>0</v>
      </c>
      <c r="M34" s="1869"/>
      <c r="N34" s="1868">
        <v>4295551839</v>
      </c>
      <c r="O34" s="1869"/>
      <c r="P34" s="1870">
        <v>49662958.452899992</v>
      </c>
      <c r="Q34" s="835"/>
    </row>
    <row r="35" spans="1:17" ht="11.25" customHeight="1">
      <c r="A35" s="723" t="s">
        <v>111</v>
      </c>
      <c r="B35" s="1868">
        <v>1392281835</v>
      </c>
      <c r="C35" s="1869"/>
      <c r="D35" s="1868">
        <v>56640581.582560003</v>
      </c>
      <c r="E35" s="1869"/>
      <c r="F35" s="1868">
        <v>15176084</v>
      </c>
      <c r="G35" s="1869"/>
      <c r="H35" s="1868">
        <v>349049.93199999997</v>
      </c>
      <c r="I35" s="1869"/>
      <c r="J35" s="1868">
        <v>0</v>
      </c>
      <c r="K35" s="1869"/>
      <c r="L35" s="1868">
        <v>0</v>
      </c>
      <c r="M35" s="1869"/>
      <c r="N35" s="1868">
        <v>0</v>
      </c>
      <c r="O35" s="1869"/>
      <c r="P35" s="1870">
        <v>0</v>
      </c>
      <c r="Q35" s="835"/>
    </row>
    <row r="36" spans="1:17" ht="15" customHeight="1">
      <c r="A36" s="909" t="s">
        <v>868</v>
      </c>
      <c r="B36" s="1557"/>
      <c r="C36" s="1550"/>
      <c r="D36" s="1557"/>
      <c r="E36" s="1550"/>
      <c r="F36" s="1557"/>
      <c r="G36" s="1550"/>
      <c r="H36" s="1557"/>
      <c r="I36" s="1550"/>
      <c r="J36" s="1557"/>
      <c r="K36" s="1550"/>
      <c r="L36" s="1557"/>
      <c r="M36" s="1550"/>
      <c r="N36" s="1557"/>
      <c r="O36" s="1550"/>
      <c r="P36" s="1557"/>
      <c r="Q36" s="748"/>
    </row>
    <row r="37" spans="1:17" ht="15" customHeight="1">
      <c r="A37" s="1031" t="str">
        <f>A2</f>
        <v>Tangible Personal Property, Machinery &amp; Tools, Merchants' Capital, and Public Service Corporations: Assessed Values &amp; Levies by Locality - Tax Year 2021</v>
      </c>
      <c r="B37" s="1558"/>
      <c r="C37" s="1558"/>
      <c r="D37" s="1558"/>
      <c r="E37" s="1558"/>
      <c r="F37" s="1558"/>
      <c r="G37" s="1558"/>
      <c r="H37" s="1558"/>
      <c r="I37" s="1558"/>
      <c r="J37" s="1558"/>
      <c r="K37" s="1558"/>
      <c r="L37" s="1558"/>
      <c r="M37" s="1558"/>
      <c r="N37" s="1558"/>
      <c r="O37" s="1558"/>
      <c r="P37" s="1558"/>
      <c r="Q37" s="748"/>
    </row>
    <row r="38" spans="1:17" ht="5.15" customHeight="1" thickBot="1">
      <c r="A38" s="726"/>
      <c r="B38" s="1543"/>
      <c r="C38" s="1543"/>
      <c r="D38" s="1543"/>
      <c r="E38" s="1543"/>
      <c r="F38" s="1543"/>
      <c r="G38" s="1543"/>
      <c r="H38" s="1543"/>
      <c r="I38" s="1543"/>
      <c r="J38" s="1543"/>
      <c r="K38" s="1543"/>
      <c r="L38" s="1543"/>
      <c r="M38" s="1543"/>
      <c r="N38" s="1543"/>
      <c r="O38" s="1543"/>
      <c r="P38" s="1543"/>
      <c r="Q38" s="750"/>
    </row>
    <row r="39" spans="1:17" ht="12.75" customHeight="1">
      <c r="A39" s="1027"/>
      <c r="B39" s="1603" t="s">
        <v>862</v>
      </c>
      <c r="C39" s="1603"/>
      <c r="D39" s="1603"/>
      <c r="E39" s="1602"/>
      <c r="F39" s="1604" t="s">
        <v>863</v>
      </c>
      <c r="G39" s="1604"/>
      <c r="H39" s="1604"/>
      <c r="I39" s="1602"/>
      <c r="J39" s="1604" t="s">
        <v>864</v>
      </c>
      <c r="K39" s="1604"/>
      <c r="L39" s="1604"/>
      <c r="M39" s="1602"/>
      <c r="N39" s="1604" t="s">
        <v>865</v>
      </c>
      <c r="O39" s="1604"/>
      <c r="P39" s="1604"/>
      <c r="Q39" s="748"/>
    </row>
    <row r="40" spans="1:17" ht="12.75" customHeight="1">
      <c r="A40" s="1404" t="s">
        <v>21</v>
      </c>
      <c r="B40" s="1485" t="s">
        <v>866</v>
      </c>
      <c r="C40" s="1484"/>
      <c r="D40" s="1485" t="s">
        <v>867</v>
      </c>
      <c r="E40" s="1481"/>
      <c r="F40" s="1485" t="s">
        <v>866</v>
      </c>
      <c r="G40" s="1484"/>
      <c r="H40" s="1485" t="s">
        <v>867</v>
      </c>
      <c r="I40" s="1481"/>
      <c r="J40" s="1483" t="s">
        <v>866</v>
      </c>
      <c r="K40" s="1484"/>
      <c r="L40" s="1483" t="s">
        <v>867</v>
      </c>
      <c r="M40" s="1481"/>
      <c r="N40" s="1486" t="s">
        <v>866</v>
      </c>
      <c r="O40" s="1484"/>
      <c r="P40" s="1485" t="s">
        <v>867</v>
      </c>
      <c r="Q40" s="750"/>
    </row>
    <row r="41" spans="1:17" ht="18" customHeight="1">
      <c r="A41" s="723" t="s">
        <v>113</v>
      </c>
      <c r="B41" s="1865">
        <v>151377962</v>
      </c>
      <c r="C41" s="1866"/>
      <c r="D41" s="1865">
        <v>4606119.3631999996</v>
      </c>
      <c r="E41" s="1866"/>
      <c r="F41" s="1865">
        <v>14030648</v>
      </c>
      <c r="G41" s="1866"/>
      <c r="H41" s="1865">
        <v>217475.04399999999</v>
      </c>
      <c r="I41" s="1866"/>
      <c r="J41" s="1865">
        <v>2288442</v>
      </c>
      <c r="K41" s="1866"/>
      <c r="L41" s="1865">
        <v>80095.47</v>
      </c>
      <c r="M41" s="1866"/>
      <c r="N41" s="1865">
        <v>71746251</v>
      </c>
      <c r="O41" s="1866"/>
      <c r="P41" s="1867">
        <v>463159.88440000004</v>
      </c>
      <c r="Q41" s="835"/>
    </row>
    <row r="42" spans="1:17" ht="11.25" customHeight="1">
      <c r="A42" s="723" t="s">
        <v>115</v>
      </c>
      <c r="B42" s="1868">
        <v>265856760</v>
      </c>
      <c r="C42" s="1869"/>
      <c r="D42" s="1868">
        <v>11494220.051059999</v>
      </c>
      <c r="E42" s="1869"/>
      <c r="F42" s="1868">
        <v>1745084</v>
      </c>
      <c r="G42" s="1869"/>
      <c r="H42" s="1868">
        <v>33156.595999999998</v>
      </c>
      <c r="I42" s="1869"/>
      <c r="J42" s="1868">
        <v>16210548</v>
      </c>
      <c r="K42" s="1869"/>
      <c r="L42" s="1868">
        <v>470105.89199999993</v>
      </c>
      <c r="M42" s="1869"/>
      <c r="N42" s="1868">
        <v>509517369</v>
      </c>
      <c r="O42" s="1869"/>
      <c r="P42" s="1870">
        <v>4550392.3030000003</v>
      </c>
      <c r="Q42" s="835"/>
    </row>
    <row r="43" spans="1:17" s="753" customFormat="1" ht="11.25" customHeight="1">
      <c r="A43" s="752" t="s">
        <v>434</v>
      </c>
      <c r="B43" s="1868">
        <v>872547513</v>
      </c>
      <c r="C43" s="1871"/>
      <c r="D43" s="1868">
        <v>19768550.3248</v>
      </c>
      <c r="E43" s="1871"/>
      <c r="F43" s="1868">
        <v>157282541</v>
      </c>
      <c r="G43" s="1871"/>
      <c r="H43" s="1868">
        <v>1100977.7869999998</v>
      </c>
      <c r="I43" s="1871"/>
      <c r="J43" s="1868">
        <v>74559718</v>
      </c>
      <c r="K43" s="1871"/>
      <c r="L43" s="1868">
        <v>805244.95440000016</v>
      </c>
      <c r="M43" s="1871"/>
      <c r="N43" s="1868">
        <v>166207166</v>
      </c>
      <c r="O43" s="1871"/>
      <c r="P43" s="1870">
        <v>1018860.8186</v>
      </c>
      <c r="Q43" s="835"/>
    </row>
    <row r="44" spans="1:17" ht="11.25" customHeight="1">
      <c r="A44" s="723" t="s">
        <v>118</v>
      </c>
      <c r="B44" s="1868">
        <v>1345140406</v>
      </c>
      <c r="C44" s="1869"/>
      <c r="D44" s="1868">
        <v>62197945.735500008</v>
      </c>
      <c r="E44" s="1869"/>
      <c r="F44" s="1868">
        <v>408121409</v>
      </c>
      <c r="G44" s="1869"/>
      <c r="H44" s="1868">
        <v>8162428.1799999997</v>
      </c>
      <c r="I44" s="1869"/>
      <c r="J44" s="1868">
        <v>0</v>
      </c>
      <c r="K44" s="1869"/>
      <c r="L44" s="1868">
        <v>0</v>
      </c>
      <c r="M44" s="1869"/>
      <c r="N44" s="1868">
        <v>432134425</v>
      </c>
      <c r="O44" s="1869"/>
      <c r="P44" s="1870">
        <v>2687324</v>
      </c>
      <c r="Q44" s="835"/>
    </row>
    <row r="45" spans="1:17">
      <c r="A45" s="723" t="s">
        <v>120</v>
      </c>
      <c r="B45" s="1868">
        <v>219532140</v>
      </c>
      <c r="C45" s="1869"/>
      <c r="D45" s="1868">
        <v>4341680.1580000008</v>
      </c>
      <c r="E45" s="1869"/>
      <c r="F45" s="1868">
        <v>282099746</v>
      </c>
      <c r="G45" s="1869"/>
      <c r="H45" s="1868">
        <v>5698414.8691999996</v>
      </c>
      <c r="I45" s="1869"/>
      <c r="J45" s="1868">
        <v>24677414</v>
      </c>
      <c r="K45" s="1869"/>
      <c r="L45" s="1868">
        <v>204822.53619999997</v>
      </c>
      <c r="M45" s="1869"/>
      <c r="N45" s="1868">
        <v>114175028</v>
      </c>
      <c r="O45" s="1869"/>
      <c r="P45" s="1870">
        <v>746886.10610000009</v>
      </c>
      <c r="Q45" s="835"/>
    </row>
    <row r="46" spans="1:17" s="751" customFormat="1" ht="18" customHeight="1">
      <c r="A46" s="754" t="s">
        <v>442</v>
      </c>
      <c r="B46" s="1868">
        <v>592659401</v>
      </c>
      <c r="C46" s="1871"/>
      <c r="D46" s="1868">
        <v>15148283.560600711</v>
      </c>
      <c r="E46" s="1871"/>
      <c r="F46" s="1868">
        <v>9107240</v>
      </c>
      <c r="G46" s="1871"/>
      <c r="H46" s="1868">
        <v>268663.58</v>
      </c>
      <c r="I46" s="1871"/>
      <c r="J46" s="1868">
        <v>0</v>
      </c>
      <c r="K46" s="1871"/>
      <c r="L46" s="1868">
        <v>0</v>
      </c>
      <c r="M46" s="1871"/>
      <c r="N46" s="1868">
        <v>140122540</v>
      </c>
      <c r="O46" s="1871"/>
      <c r="P46" s="1870">
        <v>1015406.79</v>
      </c>
      <c r="Q46" s="835"/>
    </row>
    <row r="47" spans="1:17" s="751" customFormat="1" ht="11.25" customHeight="1">
      <c r="A47" s="754" t="s">
        <v>444</v>
      </c>
      <c r="B47" s="1868">
        <v>397365305</v>
      </c>
      <c r="C47" s="1871"/>
      <c r="D47" s="1868">
        <v>15634547.855500001</v>
      </c>
      <c r="E47" s="1871"/>
      <c r="F47" s="1868">
        <v>56219487</v>
      </c>
      <c r="G47" s="1871"/>
      <c r="H47" s="1868">
        <v>562194.87</v>
      </c>
      <c r="I47" s="1871"/>
      <c r="J47" s="1868">
        <v>0</v>
      </c>
      <c r="K47" s="1871"/>
      <c r="L47" s="1868">
        <v>0</v>
      </c>
      <c r="M47" s="1871"/>
      <c r="N47" s="1868">
        <v>169176286</v>
      </c>
      <c r="O47" s="1871"/>
      <c r="P47" s="1870">
        <v>911280.87620000006</v>
      </c>
      <c r="Q47" s="835"/>
    </row>
    <row r="48" spans="1:17" s="751" customFormat="1" ht="11.25" customHeight="1">
      <c r="A48" s="754" t="s">
        <v>446</v>
      </c>
      <c r="B48" s="1868">
        <v>152865370</v>
      </c>
      <c r="C48" s="1871"/>
      <c r="D48" s="1868">
        <v>3359483.7084000004</v>
      </c>
      <c r="E48" s="1871"/>
      <c r="F48" s="1868">
        <v>11921467</v>
      </c>
      <c r="G48" s="1871"/>
      <c r="H48" s="1868">
        <v>208625.67249999999</v>
      </c>
      <c r="I48" s="1871"/>
      <c r="J48" s="1868">
        <v>536592</v>
      </c>
      <c r="K48" s="1871"/>
      <c r="L48" s="1868">
        <v>35951.663999999997</v>
      </c>
      <c r="M48" s="1871"/>
      <c r="N48" s="1868">
        <v>58735161</v>
      </c>
      <c r="O48" s="1871"/>
      <c r="P48" s="1870">
        <v>346537.44989999995</v>
      </c>
      <c r="Q48" s="835"/>
    </row>
    <row r="49" spans="1:17" ht="11.25" customHeight="1">
      <c r="A49" s="723" t="s">
        <v>61</v>
      </c>
      <c r="B49" s="1868">
        <v>160007654</v>
      </c>
      <c r="C49" s="1869"/>
      <c r="D49" s="1868">
        <v>8000382.6999999993</v>
      </c>
      <c r="E49" s="1869"/>
      <c r="F49" s="1868">
        <v>9827510</v>
      </c>
      <c r="G49" s="1869"/>
      <c r="H49" s="1868">
        <v>245687.75</v>
      </c>
      <c r="I49" s="1869"/>
      <c r="J49" s="1868">
        <v>0</v>
      </c>
      <c r="K49" s="1869"/>
      <c r="L49" s="1868">
        <v>0</v>
      </c>
      <c r="M49" s="1869"/>
      <c r="N49" s="1868">
        <v>62707943</v>
      </c>
      <c r="O49" s="1869"/>
      <c r="P49" s="1870">
        <v>514205.13259999995</v>
      </c>
      <c r="Q49" s="835"/>
    </row>
    <row r="50" spans="1:17" ht="11.25" customHeight="1">
      <c r="A50" s="725" t="s">
        <v>63</v>
      </c>
      <c r="B50" s="1868">
        <v>78325120</v>
      </c>
      <c r="C50" s="1871"/>
      <c r="D50" s="1868">
        <v>3698331.8629999999</v>
      </c>
      <c r="E50" s="1871"/>
      <c r="F50" s="1868">
        <v>29136116</v>
      </c>
      <c r="G50" s="1871"/>
      <c r="H50" s="1868">
        <v>1165444.6399999999</v>
      </c>
      <c r="I50" s="1871"/>
      <c r="J50" s="1868">
        <v>0</v>
      </c>
      <c r="K50" s="1872"/>
      <c r="L50" s="1868">
        <v>0</v>
      </c>
      <c r="M50" s="1872"/>
      <c r="N50" s="1868">
        <v>1038734524</v>
      </c>
      <c r="O50" s="1871"/>
      <c r="P50" s="1870">
        <v>6993732.6408000002</v>
      </c>
      <c r="Q50" s="835"/>
    </row>
    <row r="51" spans="1:17" ht="18" customHeight="1">
      <c r="A51" s="723" t="s">
        <v>328</v>
      </c>
      <c r="B51" s="1870">
        <v>306954900</v>
      </c>
      <c r="C51" s="1873"/>
      <c r="D51" s="1870">
        <v>11003715.83</v>
      </c>
      <c r="E51" s="1870"/>
      <c r="F51" s="1870">
        <v>137977800</v>
      </c>
      <c r="G51" s="1870"/>
      <c r="H51" s="1870">
        <v>1738520.28</v>
      </c>
      <c r="I51" s="1870"/>
      <c r="J51" s="1870">
        <v>0</v>
      </c>
      <c r="K51" s="1874"/>
      <c r="L51" s="1870">
        <v>0</v>
      </c>
      <c r="M51" s="1874"/>
      <c r="N51" s="1870">
        <v>1111398565</v>
      </c>
      <c r="O51" s="1870"/>
      <c r="P51" s="1870">
        <v>5564885.4249999998</v>
      </c>
      <c r="Q51" s="835"/>
    </row>
    <row r="52" spans="1:17" ht="11.25" customHeight="1">
      <c r="A52" s="723" t="s">
        <v>67</v>
      </c>
      <c r="B52" s="1868">
        <v>2064021142.8700001</v>
      </c>
      <c r="C52" s="1871"/>
      <c r="D52" s="1868">
        <v>63301542.63000001</v>
      </c>
      <c r="E52" s="1871"/>
      <c r="F52" s="1868">
        <v>49533988.450000003</v>
      </c>
      <c r="G52" s="1871"/>
      <c r="H52" s="1868">
        <v>1768508.32</v>
      </c>
      <c r="I52" s="1871"/>
      <c r="J52" s="1868">
        <v>89424003.200000003</v>
      </c>
      <c r="K52" s="1871"/>
      <c r="L52" s="1868">
        <v>1699264.72</v>
      </c>
      <c r="M52" s="1871"/>
      <c r="N52" s="1868">
        <v>760401956</v>
      </c>
      <c r="O52" s="1871"/>
      <c r="P52" s="1870">
        <v>6173836.4820000008</v>
      </c>
      <c r="Q52" s="835"/>
    </row>
    <row r="53" spans="1:17" ht="11.25" customHeight="1">
      <c r="A53" s="723" t="s">
        <v>69</v>
      </c>
      <c r="B53" s="1868">
        <v>5266490822</v>
      </c>
      <c r="C53" s="1871"/>
      <c r="D53" s="1868">
        <v>148905204.45179999</v>
      </c>
      <c r="E53" s="1871"/>
      <c r="F53" s="1868">
        <v>329158958</v>
      </c>
      <c r="G53" s="1871"/>
      <c r="H53" s="1868">
        <v>987476.87399999995</v>
      </c>
      <c r="I53" s="1871"/>
      <c r="J53" s="1868">
        <v>0</v>
      </c>
      <c r="K53" s="1872"/>
      <c r="L53" s="1868">
        <v>0</v>
      </c>
      <c r="M53" s="1872"/>
      <c r="N53" s="1868">
        <v>1214486780</v>
      </c>
      <c r="O53" s="1871"/>
      <c r="P53" s="1870">
        <v>10611174.4387</v>
      </c>
      <c r="Q53" s="835"/>
    </row>
    <row r="54" spans="1:17" ht="11.25" customHeight="1">
      <c r="A54" s="723" t="s">
        <v>71</v>
      </c>
      <c r="B54" s="1868">
        <v>518698402</v>
      </c>
      <c r="C54" s="1871"/>
      <c r="D54" s="1868">
        <v>7825451.3069000011</v>
      </c>
      <c r="E54" s="1871"/>
      <c r="F54" s="1868">
        <v>374769831</v>
      </c>
      <c r="G54" s="1871"/>
      <c r="H54" s="1868">
        <v>5808932.3805000009</v>
      </c>
      <c r="I54" s="1871"/>
      <c r="J54" s="1868">
        <v>0</v>
      </c>
      <c r="K54" s="1872"/>
      <c r="L54" s="1868">
        <v>0</v>
      </c>
      <c r="M54" s="1872"/>
      <c r="N54" s="1868">
        <v>277137029</v>
      </c>
      <c r="O54" s="1871"/>
      <c r="P54" s="1870">
        <v>1539567</v>
      </c>
      <c r="Q54" s="835"/>
    </row>
    <row r="55" spans="1:17" ht="10.5" customHeight="1">
      <c r="A55" s="723" t="s">
        <v>72</v>
      </c>
      <c r="B55" s="1868">
        <v>25865712</v>
      </c>
      <c r="C55" s="1869"/>
      <c r="D55" s="1868">
        <v>695457.03200000001</v>
      </c>
      <c r="E55" s="1869"/>
      <c r="F55" s="1868">
        <v>114560</v>
      </c>
      <c r="G55" s="1869"/>
      <c r="H55" s="1868">
        <v>1145.5999999999999</v>
      </c>
      <c r="I55" s="1869"/>
      <c r="J55" s="1868">
        <v>352010</v>
      </c>
      <c r="K55" s="1869"/>
      <c r="L55" s="1868">
        <v>3520.1</v>
      </c>
      <c r="M55" s="1869"/>
      <c r="N55" s="1868">
        <v>25096486</v>
      </c>
      <c r="O55" s="1869"/>
      <c r="P55" s="1870">
        <v>126055</v>
      </c>
      <c r="Q55" s="835"/>
    </row>
    <row r="56" spans="1:17" ht="18" customHeight="1">
      <c r="A56" s="723" t="s">
        <v>74</v>
      </c>
      <c r="B56" s="1868">
        <v>401099732</v>
      </c>
      <c r="C56" s="1869"/>
      <c r="D56" s="1868">
        <v>16936513.8035</v>
      </c>
      <c r="E56" s="1869"/>
      <c r="F56" s="1868">
        <v>272122270</v>
      </c>
      <c r="G56" s="1869"/>
      <c r="H56" s="1868">
        <v>4762139.7249999996</v>
      </c>
      <c r="I56" s="1869"/>
      <c r="J56" s="1868">
        <v>0</v>
      </c>
      <c r="K56" s="1869"/>
      <c r="L56" s="1868">
        <v>0</v>
      </c>
      <c r="M56" s="1869"/>
      <c r="N56" s="1868">
        <v>193238893</v>
      </c>
      <c r="O56" s="1869"/>
      <c r="P56" s="1870">
        <v>1673913.5094999999</v>
      </c>
      <c r="Q56" s="835"/>
    </row>
    <row r="57" spans="1:17" ht="11.25" customHeight="1">
      <c r="A57" s="723" t="s">
        <v>352</v>
      </c>
      <c r="B57" s="1868">
        <v>1044506025</v>
      </c>
      <c r="C57" s="1869"/>
      <c r="D57" s="1868">
        <v>41422462.2126</v>
      </c>
      <c r="E57" s="1869"/>
      <c r="F57" s="1868">
        <v>151478086</v>
      </c>
      <c r="G57" s="1869"/>
      <c r="H57" s="1868">
        <v>6059123.4400000004</v>
      </c>
      <c r="I57" s="1869"/>
      <c r="J57" s="1868">
        <v>0</v>
      </c>
      <c r="K57" s="1869"/>
      <c r="L57" s="1868">
        <v>0</v>
      </c>
      <c r="M57" s="1869"/>
      <c r="N57" s="1868">
        <v>492067041</v>
      </c>
      <c r="O57" s="1869"/>
      <c r="P57" s="1870">
        <v>4138548.1671999996</v>
      </c>
      <c r="Q57" s="835"/>
    </row>
    <row r="58" spans="1:17" ht="11.25" customHeight="1">
      <c r="A58" s="723" t="s">
        <v>78</v>
      </c>
      <c r="B58" s="1868">
        <v>116875306</v>
      </c>
      <c r="C58" s="1869"/>
      <c r="D58" s="1868">
        <v>3498193.5500000003</v>
      </c>
      <c r="E58" s="1869"/>
      <c r="F58" s="1868">
        <v>14167285</v>
      </c>
      <c r="G58" s="1869"/>
      <c r="H58" s="1868">
        <v>155840.35999999999</v>
      </c>
      <c r="I58" s="1869"/>
      <c r="J58" s="1868">
        <v>6135815</v>
      </c>
      <c r="K58" s="1869"/>
      <c r="L58" s="1868">
        <v>39882.82</v>
      </c>
      <c r="M58" s="1869"/>
      <c r="N58" s="1868">
        <v>41000447</v>
      </c>
      <c r="O58" s="1869"/>
      <c r="P58" s="1870">
        <v>217510.60579999999</v>
      </c>
      <c r="Q58" s="835"/>
    </row>
    <row r="59" spans="1:17" ht="11.25" customHeight="1">
      <c r="A59" s="723" t="s">
        <v>80</v>
      </c>
      <c r="B59" s="1868">
        <v>322081637</v>
      </c>
      <c r="C59" s="1871"/>
      <c r="D59" s="1868">
        <v>11178399.103899999</v>
      </c>
      <c r="E59" s="1871"/>
      <c r="F59" s="1868">
        <v>6810841</v>
      </c>
      <c r="G59" s="1871"/>
      <c r="H59" s="1868">
        <v>170271.02499999999</v>
      </c>
      <c r="I59" s="1871"/>
      <c r="J59" s="1868">
        <v>0</v>
      </c>
      <c r="K59" s="1872"/>
      <c r="L59" s="1868">
        <v>0</v>
      </c>
      <c r="M59" s="1872"/>
      <c r="N59" s="1868">
        <v>120237980</v>
      </c>
      <c r="O59" s="1871"/>
      <c r="P59" s="1870">
        <v>882527.8581999999</v>
      </c>
      <c r="Q59" s="835"/>
    </row>
    <row r="60" spans="1:17" ht="11.25" customHeight="1">
      <c r="A60" s="723" t="s">
        <v>82</v>
      </c>
      <c r="B60" s="1868">
        <v>162400678</v>
      </c>
      <c r="C60" s="1871"/>
      <c r="D60" s="1868">
        <v>5899738.1549999993</v>
      </c>
      <c r="E60" s="1871"/>
      <c r="F60" s="1868">
        <v>23889178</v>
      </c>
      <c r="G60" s="1871"/>
      <c r="H60" s="1868">
        <v>537506.505</v>
      </c>
      <c r="I60" s="1871"/>
      <c r="J60" s="1868">
        <v>0</v>
      </c>
      <c r="K60" s="1871"/>
      <c r="L60" s="1868">
        <v>0</v>
      </c>
      <c r="M60" s="1871"/>
      <c r="N60" s="1868">
        <v>41611243</v>
      </c>
      <c r="O60" s="1871"/>
      <c r="P60" s="1870">
        <v>1434223.1494999998</v>
      </c>
      <c r="Q60" s="835"/>
    </row>
    <row r="61" spans="1:17" ht="18" customHeight="1">
      <c r="A61" s="723" t="s">
        <v>84</v>
      </c>
      <c r="B61" s="1868">
        <v>147750855</v>
      </c>
      <c r="C61" s="1871"/>
      <c r="D61" s="1868">
        <v>2812705.5550000002</v>
      </c>
      <c r="E61" s="1871"/>
      <c r="F61" s="1868">
        <v>453150</v>
      </c>
      <c r="G61" s="1871"/>
      <c r="H61" s="1868">
        <v>6887.88</v>
      </c>
      <c r="I61" s="1871"/>
      <c r="J61" s="1868">
        <v>11679684</v>
      </c>
      <c r="K61" s="1871"/>
      <c r="L61" s="1868">
        <v>116796.84</v>
      </c>
      <c r="M61" s="1871"/>
      <c r="N61" s="1868">
        <v>86652632</v>
      </c>
      <c r="O61" s="1871"/>
      <c r="P61" s="1870">
        <v>546464.30160000012</v>
      </c>
      <c r="Q61" s="835"/>
    </row>
    <row r="62" spans="1:17" ht="11.25" customHeight="1">
      <c r="A62" s="723" t="s">
        <v>86</v>
      </c>
      <c r="B62" s="1868">
        <v>185102115</v>
      </c>
      <c r="C62" s="1871"/>
      <c r="D62" s="1868">
        <v>3446639.5294230003</v>
      </c>
      <c r="E62" s="1871"/>
      <c r="F62" s="1868">
        <v>17890039</v>
      </c>
      <c r="G62" s="1871"/>
      <c r="H62" s="1868">
        <v>357800.78</v>
      </c>
      <c r="I62" s="1872"/>
      <c r="J62" s="1868">
        <v>5048854</v>
      </c>
      <c r="K62" s="1871"/>
      <c r="L62" s="1868">
        <v>71188.84139999999</v>
      </c>
      <c r="M62" s="1871"/>
      <c r="N62" s="1868">
        <v>86465709</v>
      </c>
      <c r="O62" s="1871"/>
      <c r="P62" s="1870">
        <v>538063.28266899998</v>
      </c>
      <c r="Q62" s="835"/>
    </row>
    <row r="63" spans="1:17" ht="11.25" customHeight="1">
      <c r="A63" s="723" t="s">
        <v>88</v>
      </c>
      <c r="B63" s="1868">
        <v>16991766274</v>
      </c>
      <c r="C63" s="1871"/>
      <c r="D63" s="1868">
        <v>695014482.89950013</v>
      </c>
      <c r="E63" s="1871"/>
      <c r="F63" s="1868">
        <v>127852982</v>
      </c>
      <c r="G63" s="1871"/>
      <c r="H63" s="1868">
        <v>4174993.9799999995</v>
      </c>
      <c r="I63" s="1871"/>
      <c r="J63" s="1868">
        <v>0</v>
      </c>
      <c r="K63" s="1872"/>
      <c r="L63" s="1868">
        <v>0</v>
      </c>
      <c r="M63" s="1872"/>
      <c r="N63" s="1868">
        <v>3295606695</v>
      </c>
      <c r="O63" s="1871"/>
      <c r="P63" s="1870">
        <v>32365440.2918</v>
      </c>
      <c r="Q63" s="835"/>
    </row>
    <row r="64" spans="1:17" ht="11.25" customHeight="1">
      <c r="A64" s="723" t="s">
        <v>90</v>
      </c>
      <c r="B64" s="1868">
        <v>556005390</v>
      </c>
      <c r="C64" s="1871"/>
      <c r="D64" s="1868">
        <v>12520960.238499999</v>
      </c>
      <c r="E64" s="1871"/>
      <c r="F64" s="1868">
        <v>18857400</v>
      </c>
      <c r="G64" s="1871"/>
      <c r="H64" s="1868">
        <v>358290.6</v>
      </c>
      <c r="I64" s="1871"/>
      <c r="J64" s="1868">
        <v>74388155</v>
      </c>
      <c r="K64" s="1871"/>
      <c r="L64" s="1868">
        <v>483523.00750000001</v>
      </c>
      <c r="M64" s="1871"/>
      <c r="N64" s="1868">
        <v>2306123745</v>
      </c>
      <c r="O64" s="1871"/>
      <c r="P64" s="1870">
        <v>16615689.287999999</v>
      </c>
      <c r="Q64" s="835"/>
    </row>
    <row r="65" spans="1:17" ht="11.25" customHeight="1">
      <c r="A65" s="723" t="s">
        <v>92</v>
      </c>
      <c r="B65" s="1868">
        <v>107891376</v>
      </c>
      <c r="C65" s="1871"/>
      <c r="D65" s="1868">
        <v>3889698.8768000002</v>
      </c>
      <c r="E65" s="1871"/>
      <c r="F65" s="1868">
        <v>20069626</v>
      </c>
      <c r="G65" s="1871"/>
      <c r="H65" s="1868">
        <v>361253.26800000004</v>
      </c>
      <c r="I65" s="1871"/>
      <c r="J65" s="1868">
        <v>8241530</v>
      </c>
      <c r="K65" s="1871"/>
      <c r="L65" s="1868">
        <v>98898.36</v>
      </c>
      <c r="M65" s="1871"/>
      <c r="N65" s="1868">
        <v>75671713</v>
      </c>
      <c r="O65" s="1871"/>
      <c r="P65" s="1870">
        <v>287552.50940000004</v>
      </c>
      <c r="Q65" s="835"/>
    </row>
    <row r="66" spans="1:17" ht="18" customHeight="1">
      <c r="A66" s="723" t="s">
        <v>94</v>
      </c>
      <c r="B66" s="1868">
        <v>161029254</v>
      </c>
      <c r="C66" s="1871"/>
      <c r="D66" s="1868">
        <v>5691272.5188000007</v>
      </c>
      <c r="E66" s="1871"/>
      <c r="F66" s="1868">
        <v>8756231</v>
      </c>
      <c r="G66" s="1871"/>
      <c r="H66" s="1868">
        <v>146229.0577</v>
      </c>
      <c r="I66" s="1871"/>
      <c r="J66" s="1868">
        <v>21002128</v>
      </c>
      <c r="K66" s="1871"/>
      <c r="L66" s="1868">
        <v>180618.30079999997</v>
      </c>
      <c r="M66" s="1871"/>
      <c r="N66" s="1868">
        <v>49872130</v>
      </c>
      <c r="O66" s="1871"/>
      <c r="P66" s="1870">
        <v>369053.76200000005</v>
      </c>
      <c r="Q66" s="835"/>
    </row>
    <row r="67" spans="1:17" ht="11.25" customHeight="1">
      <c r="A67" s="723" t="s">
        <v>96</v>
      </c>
      <c r="B67" s="1875">
        <v>159746395</v>
      </c>
      <c r="C67" s="1869"/>
      <c r="D67" s="1875">
        <v>4802080.0808999995</v>
      </c>
      <c r="E67" s="1869"/>
      <c r="F67" s="1875">
        <v>0</v>
      </c>
      <c r="G67" s="1869"/>
      <c r="H67" s="1875">
        <v>0</v>
      </c>
      <c r="I67" s="1869"/>
      <c r="J67" s="1875">
        <v>0</v>
      </c>
      <c r="K67" s="1869"/>
      <c r="L67" s="1875">
        <v>0</v>
      </c>
      <c r="M67" s="1869"/>
      <c r="N67" s="1875">
        <v>24692065</v>
      </c>
      <c r="O67" s="1869"/>
      <c r="P67" s="1875">
        <v>159294.79695000002</v>
      </c>
      <c r="Q67" s="835"/>
    </row>
    <row r="68" spans="1:17" ht="11.25" customHeight="1">
      <c r="A68" s="723" t="s">
        <v>98</v>
      </c>
      <c r="B68" s="1868">
        <v>1894949573</v>
      </c>
      <c r="C68" s="1871"/>
      <c r="D68" s="1868">
        <v>63168166.324199997</v>
      </c>
      <c r="E68" s="1871"/>
      <c r="F68" s="1868">
        <v>116891447</v>
      </c>
      <c r="G68" s="1871"/>
      <c r="H68" s="1868">
        <v>771483.55020000006</v>
      </c>
      <c r="I68" s="1871"/>
      <c r="J68" s="1868">
        <v>74689225</v>
      </c>
      <c r="K68" s="1871"/>
      <c r="L68" s="1868">
        <v>537762.42000000004</v>
      </c>
      <c r="M68" s="1871"/>
      <c r="N68" s="1868">
        <v>313510086</v>
      </c>
      <c r="O68" s="1871"/>
      <c r="P68" s="1870">
        <v>1379097.1721999999</v>
      </c>
      <c r="Q68" s="835"/>
    </row>
    <row r="69" spans="1:17" ht="11.25" customHeight="1">
      <c r="A69" s="723" t="s">
        <v>100</v>
      </c>
      <c r="B69" s="1868">
        <v>274354280</v>
      </c>
      <c r="C69" s="1871"/>
      <c r="D69" s="1868">
        <v>5170208.5033999998</v>
      </c>
      <c r="E69" s="1871"/>
      <c r="F69" s="1868">
        <v>0</v>
      </c>
      <c r="G69" s="1871"/>
      <c r="H69" s="1868">
        <v>0</v>
      </c>
      <c r="I69" s="1871"/>
      <c r="J69" s="1868">
        <v>0</v>
      </c>
      <c r="K69" s="1871"/>
      <c r="L69" s="1868">
        <v>0</v>
      </c>
      <c r="M69" s="1871"/>
      <c r="N69" s="1868">
        <v>56426013</v>
      </c>
      <c r="O69" s="1871"/>
      <c r="P69" s="1870">
        <v>351288.20519999997</v>
      </c>
      <c r="Q69" s="835"/>
    </row>
    <row r="70" spans="1:17" ht="11.25" customHeight="1">
      <c r="A70" s="723" t="s">
        <v>102</v>
      </c>
      <c r="B70" s="1868">
        <v>939976428</v>
      </c>
      <c r="C70" s="1869"/>
      <c r="D70" s="1868">
        <v>23443006.693999998</v>
      </c>
      <c r="E70" s="1869"/>
      <c r="F70" s="1868">
        <v>174101515</v>
      </c>
      <c r="G70" s="1869"/>
      <c r="H70" s="1868">
        <v>3168647.5730000003</v>
      </c>
      <c r="I70" s="1869"/>
      <c r="J70" s="1868">
        <v>48564788</v>
      </c>
      <c r="K70" s="1869"/>
      <c r="L70" s="1868">
        <v>1481226.034</v>
      </c>
      <c r="M70" s="1869"/>
      <c r="N70" s="1868">
        <v>273696834</v>
      </c>
      <c r="O70" s="1869"/>
      <c r="P70" s="1870">
        <v>2442090.5848000003</v>
      </c>
      <c r="Q70" s="835"/>
    </row>
    <row r="71" spans="1:17" ht="15" customHeight="1">
      <c r="A71" s="909" t="s">
        <v>868</v>
      </c>
      <c r="B71" s="1557"/>
      <c r="C71" s="1550"/>
      <c r="D71" s="1557"/>
      <c r="E71" s="1550"/>
      <c r="F71" s="1557"/>
      <c r="G71" s="1550"/>
      <c r="H71" s="1557"/>
      <c r="I71" s="1550"/>
      <c r="J71" s="1557"/>
      <c r="K71" s="1550"/>
      <c r="L71" s="1557"/>
      <c r="M71" s="1550"/>
      <c r="N71" s="1557"/>
      <c r="O71" s="1550"/>
      <c r="P71" s="1557"/>
      <c r="Q71" s="748"/>
    </row>
    <row r="72" spans="1:17" ht="15" customHeight="1">
      <c r="A72" s="1031" t="str">
        <f>A2</f>
        <v>Tangible Personal Property, Machinery &amp; Tools, Merchants' Capital, and Public Service Corporations: Assessed Values &amp; Levies by Locality - Tax Year 2021</v>
      </c>
      <c r="B72" s="1558"/>
      <c r="C72" s="1558"/>
      <c r="D72" s="1558"/>
      <c r="E72" s="1558"/>
      <c r="F72" s="1558"/>
      <c r="G72" s="1558"/>
      <c r="H72" s="1558"/>
      <c r="I72" s="1558"/>
      <c r="J72" s="1558"/>
      <c r="K72" s="1558"/>
      <c r="L72" s="1558"/>
      <c r="M72" s="1558"/>
      <c r="N72" s="1558"/>
      <c r="O72" s="1558"/>
      <c r="P72" s="1558"/>
      <c r="Q72" s="748"/>
    </row>
    <row r="73" spans="1:17" ht="5.15" customHeight="1" thickBot="1">
      <c r="A73" s="726"/>
      <c r="B73" s="1543"/>
      <c r="C73" s="1543"/>
      <c r="D73" s="1543"/>
      <c r="E73" s="1543"/>
      <c r="F73" s="1543"/>
      <c r="G73" s="1543"/>
      <c r="H73" s="1543"/>
      <c r="I73" s="1543"/>
      <c r="J73" s="1543"/>
      <c r="K73" s="1543"/>
      <c r="L73" s="1543"/>
      <c r="M73" s="1543"/>
      <c r="N73" s="1543"/>
      <c r="O73" s="1543"/>
      <c r="P73" s="1543"/>
      <c r="Q73" s="750"/>
    </row>
    <row r="74" spans="1:17" ht="12.75" customHeight="1">
      <c r="A74" s="1027"/>
      <c r="B74" s="1603" t="s">
        <v>862</v>
      </c>
      <c r="C74" s="1603"/>
      <c r="D74" s="1603"/>
      <c r="E74" s="1602"/>
      <c r="F74" s="1604" t="s">
        <v>863</v>
      </c>
      <c r="G74" s="1604"/>
      <c r="H74" s="1604"/>
      <c r="I74" s="1602"/>
      <c r="J74" s="1604" t="s">
        <v>864</v>
      </c>
      <c r="K74" s="1604"/>
      <c r="L74" s="1604"/>
      <c r="M74" s="1602"/>
      <c r="N74" s="1604" t="s">
        <v>865</v>
      </c>
      <c r="O74" s="1604"/>
      <c r="P74" s="1604"/>
      <c r="Q74" s="748"/>
    </row>
    <row r="75" spans="1:17" ht="12.75" customHeight="1">
      <c r="A75" s="1404" t="s">
        <v>21</v>
      </c>
      <c r="B75" s="1485" t="s">
        <v>866</v>
      </c>
      <c r="C75" s="1484"/>
      <c r="D75" s="1485" t="s">
        <v>867</v>
      </c>
      <c r="E75" s="1481"/>
      <c r="F75" s="1485" t="s">
        <v>866</v>
      </c>
      <c r="G75" s="1484"/>
      <c r="H75" s="1485" t="s">
        <v>867</v>
      </c>
      <c r="I75" s="1481"/>
      <c r="J75" s="1483" t="s">
        <v>866</v>
      </c>
      <c r="K75" s="1484"/>
      <c r="L75" s="1483" t="s">
        <v>867</v>
      </c>
      <c r="M75" s="1481"/>
      <c r="N75" s="1486" t="s">
        <v>866</v>
      </c>
      <c r="O75" s="1484"/>
      <c r="P75" s="1485" t="s">
        <v>867</v>
      </c>
      <c r="Q75" s="750"/>
    </row>
    <row r="76" spans="1:17" ht="18" customHeight="1">
      <c r="A76" s="723" t="s">
        <v>104</v>
      </c>
      <c r="B76" s="1865">
        <v>226946087</v>
      </c>
      <c r="C76" s="1866"/>
      <c r="D76" s="1865">
        <v>7694511.3077999996</v>
      </c>
      <c r="E76" s="1866"/>
      <c r="F76" s="1865">
        <v>7680404</v>
      </c>
      <c r="G76" s="1866"/>
      <c r="H76" s="1865">
        <v>96005.05</v>
      </c>
      <c r="I76" s="1866"/>
      <c r="J76" s="1865">
        <v>0</v>
      </c>
      <c r="K76" s="1866"/>
      <c r="L76" s="1865">
        <v>0</v>
      </c>
      <c r="M76" s="1866"/>
      <c r="N76" s="1865">
        <v>145138806</v>
      </c>
      <c r="O76" s="1866"/>
      <c r="P76" s="1867">
        <v>1088982.7061999999</v>
      </c>
      <c r="Q76" s="835"/>
    </row>
    <row r="77" spans="1:17" ht="11.25" customHeight="1">
      <c r="A77" s="723" t="s">
        <v>106</v>
      </c>
      <c r="B77" s="1869">
        <v>326545200</v>
      </c>
      <c r="C77" s="1869"/>
      <c r="D77" s="1869">
        <v>12011834.53435</v>
      </c>
      <c r="E77" s="1869"/>
      <c r="F77" s="1869">
        <v>6684166</v>
      </c>
      <c r="G77" s="1869"/>
      <c r="H77" s="1869">
        <v>50131.245000000003</v>
      </c>
      <c r="I77" s="1869"/>
      <c r="J77" s="1869">
        <v>0</v>
      </c>
      <c r="K77" s="1869"/>
      <c r="L77" s="1869">
        <v>0</v>
      </c>
      <c r="M77" s="1869"/>
      <c r="N77" s="1869">
        <v>161668493</v>
      </c>
      <c r="O77" s="1869"/>
      <c r="P77" s="1869">
        <v>1277270.0130999999</v>
      </c>
      <c r="Q77" s="835"/>
    </row>
    <row r="78" spans="1:17" ht="11.25" customHeight="1">
      <c r="A78" s="723" t="s">
        <v>108</v>
      </c>
      <c r="B78" s="1869">
        <v>170868500</v>
      </c>
      <c r="C78" s="1871"/>
      <c r="D78" s="1869">
        <v>6154716.54</v>
      </c>
      <c r="E78" s="1871"/>
      <c r="F78" s="1869">
        <v>18140800</v>
      </c>
      <c r="G78" s="1871"/>
      <c r="H78" s="1869">
        <v>303629.73</v>
      </c>
      <c r="I78" s="1871"/>
      <c r="J78" s="1869">
        <v>0</v>
      </c>
      <c r="K78" s="1871"/>
      <c r="L78" s="1869">
        <v>0</v>
      </c>
      <c r="M78" s="1871"/>
      <c r="N78" s="1869">
        <v>58286800</v>
      </c>
      <c r="O78" s="1871"/>
      <c r="P78" s="1869">
        <v>486694.78</v>
      </c>
      <c r="Q78" s="835"/>
    </row>
    <row r="79" spans="1:17" ht="11.25" customHeight="1">
      <c r="A79" s="723" t="s">
        <v>110</v>
      </c>
      <c r="B79" s="1869">
        <v>134037711</v>
      </c>
      <c r="C79" s="1871"/>
      <c r="D79" s="1869">
        <v>4677183</v>
      </c>
      <c r="E79" s="1871"/>
      <c r="F79" s="1869">
        <v>7698758</v>
      </c>
      <c r="G79" s="1871"/>
      <c r="H79" s="1869">
        <v>277155.288</v>
      </c>
      <c r="I79" s="1871"/>
      <c r="J79" s="1869">
        <v>4182488</v>
      </c>
      <c r="K79" s="1871"/>
      <c r="L79" s="1869">
        <v>41824.879999999997</v>
      </c>
      <c r="M79" s="1871"/>
      <c r="N79" s="1869">
        <v>54761375</v>
      </c>
      <c r="O79" s="1871"/>
      <c r="P79" s="1869">
        <v>334044.38750000001</v>
      </c>
      <c r="Q79" s="835"/>
    </row>
    <row r="80" spans="1:17" ht="11.25" customHeight="1">
      <c r="A80" s="723" t="s">
        <v>112</v>
      </c>
      <c r="B80" s="1869">
        <v>106318379</v>
      </c>
      <c r="C80" s="1871"/>
      <c r="D80" s="1869">
        <v>3873022.2505999999</v>
      </c>
      <c r="E80" s="1871"/>
      <c r="F80" s="1869">
        <v>11670242</v>
      </c>
      <c r="G80" s="1871"/>
      <c r="H80" s="1869">
        <v>157548.26700000002</v>
      </c>
      <c r="I80" s="1871"/>
      <c r="J80" s="1869">
        <v>0</v>
      </c>
      <c r="K80" s="1872"/>
      <c r="L80" s="1869">
        <v>0</v>
      </c>
      <c r="M80" s="1872"/>
      <c r="N80" s="1869">
        <v>102139161</v>
      </c>
      <c r="O80" s="1871"/>
      <c r="P80" s="1869">
        <v>546188.96219999995</v>
      </c>
      <c r="Q80" s="835"/>
    </row>
    <row r="81" spans="1:17" ht="18" customHeight="1">
      <c r="A81" s="723" t="s">
        <v>114</v>
      </c>
      <c r="B81" s="1869">
        <v>429159564</v>
      </c>
      <c r="C81" s="1871"/>
      <c r="D81" s="1869">
        <v>14831371.160049999</v>
      </c>
      <c r="E81" s="1871"/>
      <c r="F81" s="1869">
        <v>61222257</v>
      </c>
      <c r="G81" s="1871"/>
      <c r="H81" s="1869">
        <v>1127439.2286</v>
      </c>
      <c r="I81" s="1871"/>
      <c r="J81" s="1869">
        <v>52880141</v>
      </c>
      <c r="K81" s="1871"/>
      <c r="L81" s="1869">
        <v>211520.56400000001</v>
      </c>
      <c r="M81" s="1871"/>
      <c r="N81" s="1869">
        <v>218756395</v>
      </c>
      <c r="O81" s="1871"/>
      <c r="P81" s="1869">
        <v>1576716.1194</v>
      </c>
      <c r="Q81" s="835"/>
    </row>
    <row r="82" spans="1:17" ht="11.25" customHeight="1">
      <c r="A82" s="723" t="s">
        <v>116</v>
      </c>
      <c r="B82" s="1869">
        <v>267416430</v>
      </c>
      <c r="C82" s="1871"/>
      <c r="D82" s="1869">
        <v>11059774.150000002</v>
      </c>
      <c r="E82" s="1871"/>
      <c r="F82" s="1869">
        <v>24686450</v>
      </c>
      <c r="G82" s="1871"/>
      <c r="H82" s="1869">
        <v>370296.75</v>
      </c>
      <c r="I82" s="1871"/>
      <c r="J82" s="1869">
        <v>0</v>
      </c>
      <c r="K82" s="1872"/>
      <c r="L82" s="1869">
        <v>0</v>
      </c>
      <c r="M82" s="1872"/>
      <c r="N82" s="1869">
        <v>103757514</v>
      </c>
      <c r="O82" s="1871"/>
      <c r="P82" s="1869">
        <v>785025.64650000003</v>
      </c>
      <c r="Q82" s="835"/>
    </row>
    <row r="83" spans="1:17" ht="11.25" customHeight="1">
      <c r="A83" s="723" t="s">
        <v>117</v>
      </c>
      <c r="B83" s="1869">
        <v>200813112</v>
      </c>
      <c r="C83" s="1871"/>
      <c r="D83" s="1869">
        <v>3282801.38</v>
      </c>
      <c r="E83" s="1871"/>
      <c r="F83" s="1869">
        <v>37099657</v>
      </c>
      <c r="G83" s="1871"/>
      <c r="H83" s="1869">
        <v>634404.15</v>
      </c>
      <c r="I83" s="1871"/>
      <c r="J83" s="1868">
        <v>0</v>
      </c>
      <c r="K83" s="1872"/>
      <c r="L83" s="1869">
        <v>0</v>
      </c>
      <c r="M83" s="1872"/>
      <c r="N83" s="1869">
        <v>66098358</v>
      </c>
      <c r="O83" s="1871"/>
      <c r="P83" s="1869">
        <v>451162.90630000009</v>
      </c>
      <c r="Q83" s="835"/>
    </row>
    <row r="84" spans="1:17" ht="11.25" customHeight="1">
      <c r="A84" s="723" t="s">
        <v>119</v>
      </c>
      <c r="B84" s="1869">
        <v>193532528</v>
      </c>
      <c r="C84" s="1871"/>
      <c r="D84" s="1869">
        <v>13726000.441</v>
      </c>
      <c r="E84" s="1871"/>
      <c r="F84" s="1869">
        <v>35738470</v>
      </c>
      <c r="G84" s="1871"/>
      <c r="H84" s="1869">
        <v>1608231.15</v>
      </c>
      <c r="I84" s="1871"/>
      <c r="J84" s="1869">
        <v>17359490</v>
      </c>
      <c r="K84" s="1871"/>
      <c r="L84" s="1869">
        <v>477385.97499999998</v>
      </c>
      <c r="M84" s="1871"/>
      <c r="N84" s="1869">
        <v>47575053</v>
      </c>
      <c r="O84" s="1871"/>
      <c r="P84" s="1869">
        <v>438505.25919999997</v>
      </c>
      <c r="Q84" s="835"/>
    </row>
    <row r="85" spans="1:17" ht="11.25" customHeight="1">
      <c r="A85" s="723" t="s">
        <v>121</v>
      </c>
      <c r="B85" s="1869">
        <v>376673773</v>
      </c>
      <c r="C85" s="1871"/>
      <c r="D85" s="1869">
        <v>13560255.828000002</v>
      </c>
      <c r="E85" s="1871"/>
      <c r="F85" s="1869">
        <v>31432110</v>
      </c>
      <c r="G85" s="1871"/>
      <c r="H85" s="1869">
        <v>1131555.96</v>
      </c>
      <c r="I85" s="1871"/>
      <c r="J85" s="1869">
        <v>0</v>
      </c>
      <c r="K85" s="1871"/>
      <c r="L85" s="1869">
        <v>0</v>
      </c>
      <c r="M85" s="1871"/>
      <c r="N85" s="1869">
        <v>105153403</v>
      </c>
      <c r="O85" s="1871"/>
      <c r="P85" s="1869">
        <v>847357.11540000001</v>
      </c>
      <c r="Q85" s="835"/>
    </row>
    <row r="86" spans="1:17" ht="18" customHeight="1">
      <c r="A86" s="723" t="s">
        <v>122</v>
      </c>
      <c r="B86" s="1869">
        <v>318703835</v>
      </c>
      <c r="C86" s="1869"/>
      <c r="D86" s="1869">
        <v>6939628.3850000007</v>
      </c>
      <c r="E86" s="1869"/>
      <c r="F86" s="1869">
        <v>1364850</v>
      </c>
      <c r="G86" s="1869"/>
      <c r="H86" s="1869">
        <v>57323.7</v>
      </c>
      <c r="I86" s="1869"/>
      <c r="J86" s="1869">
        <v>57199550</v>
      </c>
      <c r="K86" s="1869"/>
      <c r="L86" s="1869">
        <v>400396.85</v>
      </c>
      <c r="M86" s="1869"/>
      <c r="N86" s="1869">
        <v>125965553</v>
      </c>
      <c r="O86" s="1869"/>
      <c r="P86" s="1869">
        <v>617862.82579999999</v>
      </c>
      <c r="Q86" s="835"/>
    </row>
    <row r="87" spans="1:17" ht="11.25" customHeight="1">
      <c r="A87" s="723" t="s">
        <v>124</v>
      </c>
      <c r="B87" s="1869">
        <v>377508692</v>
      </c>
      <c r="C87" s="1871"/>
      <c r="D87" s="1869">
        <v>11614766.600000001</v>
      </c>
      <c r="E87" s="1871"/>
      <c r="F87" s="1869">
        <v>102843823</v>
      </c>
      <c r="G87" s="1871"/>
      <c r="H87" s="1869">
        <v>1542657.45</v>
      </c>
      <c r="I87" s="1871"/>
      <c r="J87" s="1869">
        <v>0</v>
      </c>
      <c r="K87" s="1872"/>
      <c r="L87" s="1869">
        <v>0</v>
      </c>
      <c r="M87" s="1872"/>
      <c r="N87" s="1869">
        <v>264129123</v>
      </c>
      <c r="O87" s="1871"/>
      <c r="P87" s="1869">
        <v>2271510.4300000002</v>
      </c>
      <c r="Q87" s="835"/>
    </row>
    <row r="88" spans="1:17" ht="11.25" customHeight="1">
      <c r="A88" s="723" t="s">
        <v>126</v>
      </c>
      <c r="B88" s="1869">
        <v>6435852415.5</v>
      </c>
      <c r="C88" s="1871"/>
      <c r="D88" s="1869">
        <v>234892602.26445198</v>
      </c>
      <c r="E88" s="1871"/>
      <c r="F88" s="1869">
        <v>3551664</v>
      </c>
      <c r="G88" s="1871"/>
      <c r="H88" s="1869">
        <v>130459.04257439999</v>
      </c>
      <c r="I88" s="1871"/>
      <c r="J88" s="1869">
        <v>0</v>
      </c>
      <c r="K88" s="1872"/>
      <c r="L88" s="1869">
        <v>0</v>
      </c>
      <c r="M88" s="1872"/>
      <c r="N88" s="1869">
        <v>1993711162</v>
      </c>
      <c r="O88" s="1871"/>
      <c r="P88" s="1869">
        <v>22229879.456300002</v>
      </c>
      <c r="Q88" s="835"/>
    </row>
    <row r="89" spans="1:17" ht="11.25" customHeight="1">
      <c r="A89" s="723" t="s">
        <v>128</v>
      </c>
      <c r="B89" s="1869">
        <v>413442372</v>
      </c>
      <c r="C89" s="1871"/>
      <c r="D89" s="1869">
        <v>9566738.1613999996</v>
      </c>
      <c r="E89" s="1871"/>
      <c r="F89" s="1869">
        <v>301191744</v>
      </c>
      <c r="G89" s="1871"/>
      <c r="H89" s="1869">
        <v>4517876.16</v>
      </c>
      <c r="I89" s="1871"/>
      <c r="J89" s="1869">
        <v>0</v>
      </c>
      <c r="K89" s="1871"/>
      <c r="L89" s="1869">
        <v>0</v>
      </c>
      <c r="M89" s="1871"/>
      <c r="N89" s="1869">
        <v>0</v>
      </c>
      <c r="O89" s="1871"/>
      <c r="P89" s="1869">
        <v>0</v>
      </c>
      <c r="Q89" s="835"/>
    </row>
    <row r="90" spans="1:17" ht="11.25" customHeight="1">
      <c r="A90" s="723" t="s">
        <v>130</v>
      </c>
      <c r="B90" s="1869">
        <v>102925660</v>
      </c>
      <c r="C90" s="1871"/>
      <c r="D90" s="1869">
        <v>3189088.96</v>
      </c>
      <c r="E90" s="1871"/>
      <c r="F90" s="1869">
        <v>0</v>
      </c>
      <c r="G90" s="1872"/>
      <c r="H90" s="1869">
        <v>0</v>
      </c>
      <c r="I90" s="1872"/>
      <c r="J90" s="1869">
        <v>0</v>
      </c>
      <c r="K90" s="1872"/>
      <c r="L90" s="1869">
        <v>0</v>
      </c>
      <c r="M90" s="1872"/>
      <c r="N90" s="1869">
        <v>59515945</v>
      </c>
      <c r="O90" s="1871"/>
      <c r="P90" s="1869">
        <v>327337.69750000001</v>
      </c>
      <c r="Q90" s="835"/>
    </row>
    <row r="91" spans="1:17" ht="18" customHeight="1">
      <c r="A91" s="723" t="s">
        <v>1329</v>
      </c>
      <c r="B91" s="1869">
        <v>82066680</v>
      </c>
      <c r="C91" s="1871"/>
      <c r="D91" s="1869">
        <v>3015085.3</v>
      </c>
      <c r="E91" s="1871"/>
      <c r="F91" s="1869">
        <v>14043010</v>
      </c>
      <c r="G91" s="1871"/>
      <c r="H91" s="1869">
        <v>56172.04</v>
      </c>
      <c r="I91" s="1871"/>
      <c r="J91" s="1869">
        <v>2679000</v>
      </c>
      <c r="K91" s="1871"/>
      <c r="L91" s="1869">
        <v>93765</v>
      </c>
      <c r="M91" s="1871"/>
      <c r="N91" s="1869">
        <v>86142407</v>
      </c>
      <c r="O91" s="1871"/>
      <c r="P91" s="1869">
        <v>661876.15350000001</v>
      </c>
      <c r="Q91" s="835"/>
    </row>
    <row r="92" spans="1:17" ht="11.25" customHeight="1">
      <c r="A92" s="723" t="s">
        <v>25</v>
      </c>
      <c r="B92" s="1869">
        <v>1000122809</v>
      </c>
      <c r="C92" s="1869"/>
      <c r="D92" s="1869">
        <v>34801605.390000001</v>
      </c>
      <c r="E92" s="1869"/>
      <c r="F92" s="1869">
        <v>82866900</v>
      </c>
      <c r="G92" s="1869"/>
      <c r="H92" s="1869">
        <v>2361706.85</v>
      </c>
      <c r="I92" s="1869"/>
      <c r="J92" s="1869">
        <v>0</v>
      </c>
      <c r="K92" s="1869"/>
      <c r="L92" s="1869">
        <v>0</v>
      </c>
      <c r="M92" s="1869"/>
      <c r="N92" s="1869">
        <v>352643100</v>
      </c>
      <c r="O92" s="1869"/>
      <c r="P92" s="1869">
        <v>3858513.6820000005</v>
      </c>
      <c r="Q92" s="835"/>
    </row>
    <row r="93" spans="1:17" ht="11.25" customHeight="1">
      <c r="A93" s="723" t="s">
        <v>134</v>
      </c>
      <c r="B93" s="1869">
        <v>259669623</v>
      </c>
      <c r="C93" s="1869"/>
      <c r="D93" s="1869">
        <v>10464135.779999999</v>
      </c>
      <c r="E93" s="1869"/>
      <c r="F93" s="1869">
        <v>21848242</v>
      </c>
      <c r="G93" s="1869"/>
      <c r="H93" s="1869">
        <v>557130.17099999997</v>
      </c>
      <c r="I93" s="1869"/>
      <c r="J93" s="1869">
        <v>0</v>
      </c>
      <c r="K93" s="1869"/>
      <c r="L93" s="1869">
        <v>0</v>
      </c>
      <c r="M93" s="1869"/>
      <c r="N93" s="1869">
        <v>272597430</v>
      </c>
      <c r="O93" s="1869"/>
      <c r="P93" s="1869">
        <v>2017220.9819999998</v>
      </c>
      <c r="Q93" s="835"/>
    </row>
    <row r="94" spans="1:17" ht="11.25" customHeight="1">
      <c r="A94" s="723" t="s">
        <v>135</v>
      </c>
      <c r="B94" s="1869">
        <v>1094275555</v>
      </c>
      <c r="C94" s="1869"/>
      <c r="D94" s="1869">
        <v>28606114.619599998</v>
      </c>
      <c r="E94" s="1869"/>
      <c r="F94" s="1869">
        <v>524316755</v>
      </c>
      <c r="G94" s="1869"/>
      <c r="H94" s="1869">
        <v>13370077.252499999</v>
      </c>
      <c r="I94" s="1869"/>
      <c r="J94" s="1869">
        <v>143394748</v>
      </c>
      <c r="K94" s="1869"/>
      <c r="L94" s="1869">
        <v>1247534.3075999999</v>
      </c>
      <c r="M94" s="1869"/>
      <c r="N94" s="1869">
        <v>340312908</v>
      </c>
      <c r="O94" s="1869"/>
      <c r="P94" s="1869">
        <v>2544762.4685999998</v>
      </c>
      <c r="Q94" s="835"/>
    </row>
    <row r="95" spans="1:17" ht="11.25" customHeight="1">
      <c r="A95" s="725" t="s">
        <v>137</v>
      </c>
      <c r="B95" s="1869">
        <v>376398628</v>
      </c>
      <c r="C95" s="1871"/>
      <c r="D95" s="1869">
        <v>7157636.3723999998</v>
      </c>
      <c r="E95" s="1871"/>
      <c r="F95" s="1869">
        <v>66103456</v>
      </c>
      <c r="G95" s="1871"/>
      <c r="H95" s="1869">
        <v>1289017.392</v>
      </c>
      <c r="I95" s="1871"/>
      <c r="J95" s="1869">
        <v>7795479</v>
      </c>
      <c r="K95" s="1871"/>
      <c r="L95" s="1869">
        <v>50670.613500000007</v>
      </c>
      <c r="M95" s="1871"/>
      <c r="N95" s="1869">
        <v>317271309</v>
      </c>
      <c r="O95" s="1871"/>
      <c r="P95" s="1869">
        <v>1998809.2466999998</v>
      </c>
      <c r="Q95" s="835"/>
    </row>
    <row r="96" spans="1:17" ht="18" customHeight="1">
      <c r="A96" s="723" t="s">
        <v>139</v>
      </c>
      <c r="B96" s="1870">
        <v>173299932</v>
      </c>
      <c r="C96" s="1873"/>
      <c r="D96" s="1870">
        <v>2589308.9520999999</v>
      </c>
      <c r="E96" s="1870"/>
      <c r="F96" s="1870">
        <v>28852524</v>
      </c>
      <c r="G96" s="1870"/>
      <c r="H96" s="1870">
        <v>207738.17279999997</v>
      </c>
      <c r="I96" s="1870"/>
      <c r="J96" s="1870">
        <v>13979084</v>
      </c>
      <c r="K96" s="1874"/>
      <c r="L96" s="1870">
        <v>100649.4048</v>
      </c>
      <c r="M96" s="1874"/>
      <c r="N96" s="1870">
        <v>118135585</v>
      </c>
      <c r="O96" s="1870"/>
      <c r="P96" s="1870">
        <v>953882.84300000011</v>
      </c>
      <c r="Q96" s="835"/>
    </row>
    <row r="97" spans="1:17" ht="11.25" customHeight="1">
      <c r="A97" s="723" t="s">
        <v>141</v>
      </c>
      <c r="B97" s="1869">
        <v>533444603</v>
      </c>
      <c r="C97" s="1869"/>
      <c r="D97" s="1869">
        <v>20135411.6472</v>
      </c>
      <c r="E97" s="1869"/>
      <c r="F97" s="1869">
        <v>63120120</v>
      </c>
      <c r="G97" s="1869"/>
      <c r="H97" s="1869">
        <v>1988283.78</v>
      </c>
      <c r="I97" s="1869"/>
      <c r="J97" s="1869">
        <v>57406264</v>
      </c>
      <c r="K97" s="1869"/>
      <c r="L97" s="1869">
        <v>344437.58399999997</v>
      </c>
      <c r="M97" s="1869"/>
      <c r="N97" s="1869">
        <v>288180330</v>
      </c>
      <c r="O97" s="1869"/>
      <c r="P97" s="1869">
        <v>2005883.9822999996</v>
      </c>
      <c r="Q97" s="835"/>
    </row>
    <row r="98" spans="1:17" ht="11.25" customHeight="1">
      <c r="A98" s="723" t="s">
        <v>143</v>
      </c>
      <c r="B98" s="1869">
        <v>280844253</v>
      </c>
      <c r="C98" s="1869"/>
      <c r="D98" s="1869">
        <v>62297930.228</v>
      </c>
      <c r="E98" s="1869"/>
      <c r="F98" s="1869">
        <v>130964299</v>
      </c>
      <c r="G98" s="1869"/>
      <c r="H98" s="1869">
        <v>2029946.6345000002</v>
      </c>
      <c r="I98" s="1869"/>
      <c r="J98" s="1869">
        <v>66968101</v>
      </c>
      <c r="K98" s="1869"/>
      <c r="L98" s="1869">
        <v>267872.40400000004</v>
      </c>
      <c r="M98" s="1869"/>
      <c r="N98" s="1869">
        <v>195072007</v>
      </c>
      <c r="O98" s="1869"/>
      <c r="P98" s="1869">
        <v>1448982.1502</v>
      </c>
      <c r="Q98" s="835"/>
    </row>
    <row r="99" spans="1:17" ht="11.25" customHeight="1">
      <c r="A99" s="723" t="s">
        <v>145</v>
      </c>
      <c r="B99" s="1869">
        <v>232392701</v>
      </c>
      <c r="C99" s="1869"/>
      <c r="D99" s="1869">
        <v>8949174.5255000014</v>
      </c>
      <c r="E99" s="1869"/>
      <c r="F99" s="1869">
        <v>42994865</v>
      </c>
      <c r="G99" s="1869"/>
      <c r="H99" s="1869">
        <v>1031876.76</v>
      </c>
      <c r="I99" s="1869"/>
      <c r="J99" s="1869">
        <v>16082695</v>
      </c>
      <c r="K99" s="1869"/>
      <c r="L99" s="1869">
        <v>80413.475000000006</v>
      </c>
      <c r="M99" s="1869"/>
      <c r="N99" s="1869">
        <v>222936769</v>
      </c>
      <c r="O99" s="1869"/>
      <c r="P99" s="1869">
        <v>1987014.7784</v>
      </c>
      <c r="Q99" s="835"/>
    </row>
    <row r="100" spans="1:17" ht="11.25" customHeight="1">
      <c r="A100" s="723" t="s">
        <v>147</v>
      </c>
      <c r="B100" s="1869">
        <v>1385589710.8499999</v>
      </c>
      <c r="C100" s="1871"/>
      <c r="D100" s="1869">
        <v>83464688.887339011</v>
      </c>
      <c r="E100" s="1871"/>
      <c r="F100" s="1869">
        <v>18212608</v>
      </c>
      <c r="G100" s="1871"/>
      <c r="H100" s="1869">
        <v>455315.20000000001</v>
      </c>
      <c r="I100" s="1871"/>
      <c r="J100" s="1869">
        <v>0</v>
      </c>
      <c r="K100" s="1872"/>
      <c r="L100" s="1869">
        <v>0</v>
      </c>
      <c r="M100" s="1872"/>
      <c r="N100" s="1869">
        <v>462809573</v>
      </c>
      <c r="O100" s="1871"/>
      <c r="P100" s="1869">
        <v>3797946.636134</v>
      </c>
      <c r="Q100" s="835"/>
    </row>
    <row r="101" spans="1:17" ht="18" customHeight="1">
      <c r="A101" s="723" t="s">
        <v>149</v>
      </c>
      <c r="B101" s="1869">
        <v>1399534540</v>
      </c>
      <c r="C101" s="1869"/>
      <c r="D101" s="1869">
        <v>72735163.219999999</v>
      </c>
      <c r="E101" s="1869"/>
      <c r="F101" s="1869">
        <v>0</v>
      </c>
      <c r="G101" s="1869"/>
      <c r="H101" s="1869">
        <v>0</v>
      </c>
      <c r="I101" s="1869"/>
      <c r="J101" s="1869">
        <v>188038990</v>
      </c>
      <c r="K101" s="1869"/>
      <c r="L101" s="1869">
        <v>944467.26</v>
      </c>
      <c r="M101" s="1869"/>
      <c r="N101" s="1869">
        <v>881134</v>
      </c>
      <c r="O101" s="1869"/>
      <c r="P101" s="1869">
        <v>52413.31</v>
      </c>
      <c r="Q101" s="835"/>
    </row>
    <row r="102" spans="1:17" ht="11.25" customHeight="1">
      <c r="A102" s="723" t="s">
        <v>151</v>
      </c>
      <c r="B102" s="1869">
        <v>67991521</v>
      </c>
      <c r="C102" s="1871"/>
      <c r="D102" s="1869">
        <v>2603657.7733</v>
      </c>
      <c r="E102" s="1871"/>
      <c r="F102" s="1869">
        <v>2398886</v>
      </c>
      <c r="G102" s="1871"/>
      <c r="H102" s="1869">
        <v>23988.86</v>
      </c>
      <c r="I102" s="1871"/>
      <c r="J102" s="1869">
        <v>0</v>
      </c>
      <c r="K102" s="1872"/>
      <c r="L102" s="1869">
        <v>0</v>
      </c>
      <c r="M102" s="1872"/>
      <c r="N102" s="1869">
        <v>1995565829</v>
      </c>
      <c r="O102" s="1871"/>
      <c r="P102" s="1869">
        <v>15379783.4805</v>
      </c>
      <c r="Q102" s="835"/>
    </row>
    <row r="103" spans="1:17" ht="11.25" customHeight="1">
      <c r="A103" s="723" t="s">
        <v>153</v>
      </c>
      <c r="B103" s="1869">
        <v>91922134</v>
      </c>
      <c r="C103" s="1869"/>
      <c r="D103" s="1869">
        <v>4312718.4821999986</v>
      </c>
      <c r="E103" s="1869"/>
      <c r="F103" s="1869">
        <v>24044896</v>
      </c>
      <c r="G103" s="1869"/>
      <c r="H103" s="1869">
        <v>584290.97279999999</v>
      </c>
      <c r="I103" s="1869"/>
      <c r="J103" s="1869">
        <v>13271540</v>
      </c>
      <c r="K103" s="1869"/>
      <c r="L103" s="1869">
        <v>132715.4</v>
      </c>
      <c r="M103" s="1869"/>
      <c r="N103" s="1869">
        <v>117020220</v>
      </c>
      <c r="O103" s="1869"/>
      <c r="P103" s="1869">
        <v>728285.57099999988</v>
      </c>
      <c r="Q103" s="835"/>
    </row>
    <row r="104" spans="1:17" ht="11.25" customHeight="1">
      <c r="A104" s="723" t="s">
        <v>155</v>
      </c>
      <c r="B104" s="1869">
        <v>474452155</v>
      </c>
      <c r="C104" s="1871"/>
      <c r="D104" s="1869">
        <v>9047960.0159999989</v>
      </c>
      <c r="E104" s="1871"/>
      <c r="F104" s="1869">
        <v>62167300</v>
      </c>
      <c r="G104" s="1871"/>
      <c r="H104" s="1869">
        <v>1243346</v>
      </c>
      <c r="I104" s="1871"/>
      <c r="J104" s="1869">
        <v>19358050</v>
      </c>
      <c r="K104" s="1871"/>
      <c r="L104" s="1869">
        <v>832396.15</v>
      </c>
      <c r="M104" s="1871"/>
      <c r="N104" s="1869">
        <v>277275075</v>
      </c>
      <c r="O104" s="1871"/>
      <c r="P104" s="1869">
        <v>1615074.9221999999</v>
      </c>
      <c r="Q104" s="835"/>
    </row>
    <row r="105" spans="1:17" ht="11.25" customHeight="1">
      <c r="A105" s="723" t="s">
        <v>157</v>
      </c>
      <c r="B105" s="1869">
        <v>647301185</v>
      </c>
      <c r="C105" s="1871"/>
      <c r="D105" s="1869">
        <v>22316894.569999997</v>
      </c>
      <c r="E105" s="1871"/>
      <c r="F105" s="1869">
        <v>101721090</v>
      </c>
      <c r="G105" s="1871"/>
      <c r="H105" s="1869">
        <v>2051206.6900000002</v>
      </c>
      <c r="I105" s="1871"/>
      <c r="J105" s="1869">
        <v>0</v>
      </c>
      <c r="K105" s="1871"/>
      <c r="L105" s="1869">
        <v>0</v>
      </c>
      <c r="M105" s="1871"/>
      <c r="N105" s="1869">
        <v>1005826130</v>
      </c>
      <c r="O105" s="1871"/>
      <c r="P105" s="1869">
        <v>6710497.8365000002</v>
      </c>
      <c r="Q105" s="835"/>
    </row>
    <row r="106" spans="1:17" ht="18" customHeight="1">
      <c r="A106" s="723" t="s">
        <v>159</v>
      </c>
      <c r="B106" s="1865">
        <v>752509884</v>
      </c>
      <c r="C106" s="1866"/>
      <c r="D106" s="1865">
        <v>12113628.777999999</v>
      </c>
      <c r="E106" s="1866"/>
      <c r="F106" s="1865">
        <v>205764615</v>
      </c>
      <c r="G106" s="1866"/>
      <c r="H106" s="1865">
        <v>3189351.5325000002</v>
      </c>
      <c r="I106" s="1866"/>
      <c r="J106" s="1865">
        <v>0</v>
      </c>
      <c r="K106" s="1866"/>
      <c r="L106" s="1865">
        <v>0</v>
      </c>
      <c r="M106" s="1866"/>
      <c r="N106" s="1865">
        <v>298086636</v>
      </c>
      <c r="O106" s="1866"/>
      <c r="P106" s="1867">
        <v>1804231.7209999999</v>
      </c>
      <c r="Q106" s="835"/>
    </row>
    <row r="107" spans="1:17" ht="12" customHeight="1">
      <c r="A107" s="723" t="s">
        <v>161</v>
      </c>
      <c r="B107" s="1869">
        <v>202470420</v>
      </c>
      <c r="C107" s="1871"/>
      <c r="D107" s="1869">
        <v>6898684.6600000001</v>
      </c>
      <c r="E107" s="1871"/>
      <c r="F107" s="1869">
        <v>13391150</v>
      </c>
      <c r="G107" s="1871"/>
      <c r="H107" s="1869">
        <v>249473.375</v>
      </c>
      <c r="I107" s="1871"/>
      <c r="J107" s="1869">
        <v>10434840</v>
      </c>
      <c r="K107" s="1871"/>
      <c r="L107" s="1869">
        <v>81131.759999999995</v>
      </c>
      <c r="M107" s="1871"/>
      <c r="N107" s="1869">
        <v>61916890</v>
      </c>
      <c r="O107" s="1871"/>
      <c r="P107" s="1869">
        <v>475203.16299999994</v>
      </c>
      <c r="Q107" s="835"/>
    </row>
    <row r="108" spans="1:17" ht="12" customHeight="1">
      <c r="A108" s="723" t="s">
        <v>163</v>
      </c>
      <c r="B108" s="1869">
        <v>407243798</v>
      </c>
      <c r="C108" s="1871"/>
      <c r="D108" s="1869">
        <v>6433176.1421999997</v>
      </c>
      <c r="E108" s="1871"/>
      <c r="F108" s="1869">
        <v>39412210</v>
      </c>
      <c r="G108" s="1871"/>
      <c r="H108" s="1869">
        <v>555712.16099999996</v>
      </c>
      <c r="I108" s="1871"/>
      <c r="J108" s="1869">
        <v>24023243</v>
      </c>
      <c r="K108" s="1871"/>
      <c r="L108" s="1869">
        <v>684662.42550000001</v>
      </c>
      <c r="M108" s="1871"/>
      <c r="N108" s="1869">
        <v>1452443718</v>
      </c>
      <c r="O108" s="1871"/>
      <c r="P108" s="1869">
        <v>10022728.716599999</v>
      </c>
      <c r="Q108" s="835"/>
    </row>
    <row r="109" spans="1:17" ht="12" customHeight="1">
      <c r="A109" s="723" t="s">
        <v>165</v>
      </c>
      <c r="B109" s="1869">
        <v>335256087</v>
      </c>
      <c r="C109" s="1871"/>
      <c r="D109" s="1869">
        <v>7517035.9383999994</v>
      </c>
      <c r="E109" s="1871"/>
      <c r="F109" s="1869">
        <v>158946730</v>
      </c>
      <c r="G109" s="1871"/>
      <c r="H109" s="1869">
        <v>2384200.9500000002</v>
      </c>
      <c r="I109" s="1871"/>
      <c r="J109" s="1869">
        <v>69843010</v>
      </c>
      <c r="K109" s="1871"/>
      <c r="L109" s="1869">
        <v>391120.85600000003</v>
      </c>
      <c r="M109" s="1871"/>
      <c r="N109" s="1869">
        <v>365572986</v>
      </c>
      <c r="O109" s="1871"/>
      <c r="P109" s="1869">
        <v>1979345.5759999999</v>
      </c>
      <c r="Q109" s="835"/>
    </row>
    <row r="110" spans="1:17" ht="12" customHeight="1">
      <c r="A110" s="723" t="s">
        <v>167</v>
      </c>
      <c r="B110" s="1869">
        <v>868260855</v>
      </c>
      <c r="C110" s="1871"/>
      <c r="D110" s="1869">
        <v>34173267.252601676</v>
      </c>
      <c r="E110" s="1871"/>
      <c r="F110" s="1869">
        <v>4472940</v>
      </c>
      <c r="G110" s="1871"/>
      <c r="H110" s="1869">
        <v>178917.6</v>
      </c>
      <c r="I110" s="1871"/>
      <c r="J110" s="1869">
        <v>0</v>
      </c>
      <c r="K110" s="1872"/>
      <c r="L110" s="1869">
        <v>0</v>
      </c>
      <c r="M110" s="1872"/>
      <c r="N110" s="1869">
        <v>421219346</v>
      </c>
      <c r="O110" s="1871"/>
      <c r="P110" s="1869">
        <v>3349875.25985</v>
      </c>
      <c r="Q110" s="835"/>
    </row>
    <row r="111" spans="1:17" ht="5.15" customHeight="1"/>
    <row r="112" spans="1:17" ht="12.75" customHeight="1">
      <c r="A112" s="742" t="s">
        <v>22</v>
      </c>
      <c r="B112" s="1551">
        <f t="shared" ref="B112:P112" si="0">SUM(B6:C35,B41:B70,B76:B105,B106:B110)</f>
        <v>89098050988.400009</v>
      </c>
      <c r="C112" s="1551">
        <f t="shared" si="0"/>
        <v>1305447388.4389501</v>
      </c>
      <c r="D112" s="1551">
        <f t="shared" si="0"/>
        <v>3381030406.5527258</v>
      </c>
      <c r="E112" s="1551">
        <f t="shared" si="0"/>
        <v>2892362972.0699997</v>
      </c>
      <c r="F112" s="1551">
        <f t="shared" si="0"/>
        <v>7973397398.5199995</v>
      </c>
      <c r="G112" s="1551">
        <f t="shared" si="0"/>
        <v>55177317.830899991</v>
      </c>
      <c r="H112" s="1551">
        <f t="shared" si="0"/>
        <v>149987903.58327436</v>
      </c>
      <c r="I112" s="1551">
        <f t="shared" si="0"/>
        <v>91478010.769999996</v>
      </c>
      <c r="J112" s="1551">
        <f t="shared" si="0"/>
        <v>1314173629.97</v>
      </c>
      <c r="K112" s="1551">
        <f t="shared" si="0"/>
        <v>1026876.61494</v>
      </c>
      <c r="L112" s="1551">
        <f t="shared" si="0"/>
        <v>13718743.484640002</v>
      </c>
      <c r="M112" s="1551">
        <f t="shared" si="0"/>
        <v>15038752619.35</v>
      </c>
      <c r="N112" s="1551">
        <f t="shared" si="0"/>
        <v>40805969877.349998</v>
      </c>
      <c r="O112" s="1551">
        <f t="shared" si="0"/>
        <v>119394419.02832051</v>
      </c>
      <c r="P112" s="1551">
        <f t="shared" si="0"/>
        <v>322729351.64532351</v>
      </c>
      <c r="Q112" s="750"/>
    </row>
    <row r="113" spans="1:17" ht="15" customHeight="1">
      <c r="A113" s="909" t="s">
        <v>868</v>
      </c>
      <c r="B113" s="1556"/>
      <c r="C113" s="1556"/>
      <c r="D113" s="1556"/>
      <c r="E113" s="1556"/>
      <c r="F113" s="1556"/>
      <c r="G113" s="1556"/>
      <c r="H113" s="1556"/>
      <c r="I113" s="1556"/>
      <c r="J113" s="1556"/>
      <c r="K113" s="1556"/>
      <c r="L113" s="1556"/>
      <c r="M113" s="1556"/>
      <c r="N113" s="1556"/>
      <c r="O113" s="1556"/>
      <c r="P113" s="1556"/>
      <c r="Q113" s="750"/>
    </row>
    <row r="114" spans="1:17" ht="14.15" customHeight="1">
      <c r="A114" s="1031" t="str">
        <f>A2</f>
        <v>Tangible Personal Property, Machinery &amp; Tools, Merchants' Capital, and Public Service Corporations: Assessed Values &amp; Levies by Locality - Tax Year 2021</v>
      </c>
    </row>
    <row r="115" spans="1:17" ht="5.15" customHeight="1" thickBot="1">
      <c r="A115" s="1025"/>
      <c r="B115" s="1563"/>
      <c r="C115" s="1563"/>
      <c r="D115" s="1563"/>
      <c r="E115" s="1560"/>
      <c r="F115" s="1560"/>
      <c r="G115" s="1560"/>
      <c r="H115" s="1560"/>
      <c r="I115" s="1560"/>
      <c r="J115" s="1560"/>
      <c r="K115" s="1560"/>
      <c r="L115" s="1560"/>
      <c r="M115" s="1560"/>
      <c r="N115" s="1560"/>
      <c r="O115" s="1560"/>
      <c r="P115" s="1560"/>
      <c r="Q115" s="842"/>
    </row>
    <row r="116" spans="1:17" ht="12.65" customHeight="1">
      <c r="A116" s="1030"/>
      <c r="B116" s="1603" t="s">
        <v>862</v>
      </c>
      <c r="C116" s="1603"/>
      <c r="D116" s="1603"/>
      <c r="E116" s="1602"/>
      <c r="F116" s="1604" t="s">
        <v>863</v>
      </c>
      <c r="G116" s="1604"/>
      <c r="H116" s="1604"/>
      <c r="I116" s="1602"/>
      <c r="J116" s="1604" t="s">
        <v>864</v>
      </c>
      <c r="K116" s="1604"/>
      <c r="L116" s="1604"/>
      <c r="M116" s="1602"/>
      <c r="N116" s="1604" t="s">
        <v>865</v>
      </c>
      <c r="O116" s="1604"/>
      <c r="P116" s="1604"/>
      <c r="Q116" s="748"/>
    </row>
    <row r="117" spans="1:17" ht="12.65" customHeight="1">
      <c r="A117" s="1404" t="s">
        <v>23</v>
      </c>
      <c r="B117" s="1485" t="s">
        <v>866</v>
      </c>
      <c r="C117" s="1484"/>
      <c r="D117" s="1485" t="s">
        <v>867</v>
      </c>
      <c r="E117" s="1481"/>
      <c r="F117" s="1485" t="s">
        <v>866</v>
      </c>
      <c r="G117" s="1484"/>
      <c r="H117" s="1485" t="s">
        <v>867</v>
      </c>
      <c r="I117" s="1481"/>
      <c r="J117" s="1483" t="s">
        <v>866</v>
      </c>
      <c r="K117" s="1484"/>
      <c r="L117" s="1483" t="s">
        <v>867</v>
      </c>
      <c r="M117" s="1481"/>
      <c r="N117" s="1486" t="s">
        <v>866</v>
      </c>
      <c r="O117" s="1484"/>
      <c r="P117" s="1485" t="s">
        <v>867</v>
      </c>
      <c r="Q117" s="750"/>
    </row>
    <row r="118" spans="1:17" ht="18" customHeight="1">
      <c r="A118" s="723" t="s">
        <v>172</v>
      </c>
      <c r="B118" s="1876">
        <v>1896932268.97</v>
      </c>
      <c r="C118" s="1871"/>
      <c r="D118" s="1865">
        <v>82798578.823575005</v>
      </c>
      <c r="E118" s="1868"/>
      <c r="F118" s="1876">
        <v>16040589.310000001</v>
      </c>
      <c r="G118" s="1865"/>
      <c r="H118" s="1876">
        <v>721826.51894999994</v>
      </c>
      <c r="I118" s="1865"/>
      <c r="J118" s="1876">
        <v>0</v>
      </c>
      <c r="K118" s="1865"/>
      <c r="L118" s="1876">
        <v>0</v>
      </c>
      <c r="M118" s="1865"/>
      <c r="N118" s="1876">
        <v>657538654</v>
      </c>
      <c r="O118" s="1865"/>
      <c r="P118" s="1867">
        <v>7331085.9164000005</v>
      </c>
      <c r="Q118" s="835"/>
    </row>
    <row r="119" spans="1:17" ht="11.25" customHeight="1">
      <c r="A119" s="723" t="s">
        <v>174</v>
      </c>
      <c r="B119" s="1868">
        <v>124798973</v>
      </c>
      <c r="C119" s="1871"/>
      <c r="D119" s="1868">
        <v>3968148.5744000003</v>
      </c>
      <c r="E119" s="1871"/>
      <c r="F119" s="1868">
        <v>29552027</v>
      </c>
      <c r="G119" s="1871"/>
      <c r="H119" s="1868">
        <v>768352.70200000005</v>
      </c>
      <c r="I119" s="1871"/>
      <c r="J119" s="1875">
        <v>0</v>
      </c>
      <c r="K119" s="1872"/>
      <c r="L119" s="1872">
        <v>0</v>
      </c>
      <c r="M119" s="1872"/>
      <c r="N119" s="1868">
        <v>23247571</v>
      </c>
      <c r="O119" s="1871"/>
      <c r="P119" s="1870">
        <v>260372.79520000002</v>
      </c>
      <c r="Q119" s="835"/>
    </row>
    <row r="120" spans="1:17" ht="11.25" customHeight="1">
      <c r="A120" s="723" t="s">
        <v>176</v>
      </c>
      <c r="B120" s="1868">
        <v>38589400</v>
      </c>
      <c r="C120" s="1869"/>
      <c r="D120" s="1868">
        <v>2224442.58</v>
      </c>
      <c r="E120" s="1869"/>
      <c r="F120" s="1868">
        <v>9089880</v>
      </c>
      <c r="G120" s="1869"/>
      <c r="H120" s="1868">
        <v>386319.92</v>
      </c>
      <c r="I120" s="1869"/>
      <c r="J120" s="1875">
        <v>0</v>
      </c>
      <c r="K120" s="1872"/>
      <c r="L120" s="1872">
        <v>0</v>
      </c>
      <c r="M120" s="1872"/>
      <c r="N120" s="1868">
        <v>23665916</v>
      </c>
      <c r="O120" s="1871"/>
      <c r="P120" s="1870">
        <v>301248.5</v>
      </c>
      <c r="Q120" s="835"/>
    </row>
    <row r="121" spans="1:17" ht="11.25" customHeight="1">
      <c r="A121" s="723" t="s">
        <v>178</v>
      </c>
      <c r="B121" s="1868">
        <v>324288469.0350877</v>
      </c>
      <c r="C121" s="1871"/>
      <c r="D121" s="1868">
        <v>13591752.709999999</v>
      </c>
      <c r="E121" s="1871"/>
      <c r="F121" s="1868">
        <v>2282801.9047619044</v>
      </c>
      <c r="G121" s="1869"/>
      <c r="H121" s="1868">
        <v>95877.679999999978</v>
      </c>
      <c r="I121" s="1869"/>
      <c r="J121" s="1875">
        <v>0</v>
      </c>
      <c r="K121" s="1872"/>
      <c r="L121" s="1872">
        <v>0</v>
      </c>
      <c r="M121" s="1872"/>
      <c r="N121" s="1868">
        <v>166520909</v>
      </c>
      <c r="O121" s="1871"/>
      <c r="P121" s="1870">
        <v>1589086.0904999999</v>
      </c>
      <c r="Q121" s="835"/>
    </row>
    <row r="122" spans="1:17" ht="11.25" customHeight="1">
      <c r="A122" s="723" t="s">
        <v>123</v>
      </c>
      <c r="B122" s="1868">
        <v>2675940589</v>
      </c>
      <c r="C122" s="1871"/>
      <c r="D122" s="1868">
        <v>105563947.1584</v>
      </c>
      <c r="E122" s="1871"/>
      <c r="F122" s="1868">
        <v>101440840</v>
      </c>
      <c r="G122" s="1869"/>
      <c r="H122" s="1868">
        <v>3246106.88</v>
      </c>
      <c r="I122" s="1869"/>
      <c r="J122" s="1875">
        <v>0</v>
      </c>
      <c r="K122" s="1872"/>
      <c r="L122" s="1872">
        <v>0</v>
      </c>
      <c r="M122" s="1872"/>
      <c r="N122" s="1868">
        <v>1069868420</v>
      </c>
      <c r="O122" s="1871"/>
      <c r="P122" s="1870">
        <v>11239524.6678</v>
      </c>
      <c r="Q122" s="835"/>
    </row>
    <row r="123" spans="1:17" ht="17.149999999999999" customHeight="1">
      <c r="A123" s="723" t="s">
        <v>125</v>
      </c>
      <c r="B123" s="1868">
        <v>153738145</v>
      </c>
      <c r="C123" s="1872"/>
      <c r="D123" s="1868">
        <v>5380835.0750000002</v>
      </c>
      <c r="E123" s="1875"/>
      <c r="F123" s="1868">
        <v>2892946</v>
      </c>
      <c r="G123" s="1869"/>
      <c r="H123" s="1868">
        <v>57858.92</v>
      </c>
      <c r="I123" s="1869"/>
      <c r="J123" s="1875">
        <v>0</v>
      </c>
      <c r="K123" s="1872"/>
      <c r="L123" s="1872">
        <v>0</v>
      </c>
      <c r="M123" s="1872"/>
      <c r="N123" s="1868">
        <v>38477154</v>
      </c>
      <c r="O123" s="1875"/>
      <c r="P123" s="1870">
        <v>461725.848</v>
      </c>
      <c r="Q123" s="835"/>
    </row>
    <row r="124" spans="1:17" ht="11.25" customHeight="1">
      <c r="A124" s="723" t="s">
        <v>127</v>
      </c>
      <c r="B124" s="1868">
        <v>59638770</v>
      </c>
      <c r="C124" s="1871"/>
      <c r="D124" s="1868">
        <v>1815143.2080000001</v>
      </c>
      <c r="E124" s="1868"/>
      <c r="F124" s="1868">
        <v>148142930</v>
      </c>
      <c r="G124" s="1869"/>
      <c r="H124" s="1868">
        <v>4088744.8679999993</v>
      </c>
      <c r="I124" s="1869"/>
      <c r="J124" s="1875">
        <v>0</v>
      </c>
      <c r="K124" s="1872"/>
      <c r="L124" s="1872">
        <v>0</v>
      </c>
      <c r="M124" s="1872"/>
      <c r="N124" s="1868">
        <v>270327709</v>
      </c>
      <c r="O124" s="1868"/>
      <c r="P124" s="1870">
        <v>2162621.6720000003</v>
      </c>
      <c r="Q124" s="835"/>
    </row>
    <row r="125" spans="1:17" ht="11.25" customHeight="1">
      <c r="A125" s="723" t="s">
        <v>129</v>
      </c>
      <c r="B125" s="1868">
        <v>87179552</v>
      </c>
      <c r="C125" s="1871"/>
      <c r="D125" s="1868">
        <v>2806218.9504000004</v>
      </c>
      <c r="E125" s="1868"/>
      <c r="F125" s="1868">
        <v>109652377</v>
      </c>
      <c r="G125" s="1869"/>
      <c r="H125" s="1868">
        <v>1644785.655</v>
      </c>
      <c r="I125" s="1869"/>
      <c r="J125" s="1875">
        <v>0</v>
      </c>
      <c r="K125" s="1872"/>
      <c r="L125" s="1872">
        <v>0</v>
      </c>
      <c r="M125" s="1872"/>
      <c r="N125" s="1868">
        <v>443263775</v>
      </c>
      <c r="O125" s="1868"/>
      <c r="P125" s="1870">
        <v>15957495.9</v>
      </c>
      <c r="Q125" s="835"/>
    </row>
    <row r="126" spans="1:17" ht="11.25" customHeight="1">
      <c r="A126" s="723" t="s">
        <v>131</v>
      </c>
      <c r="B126" s="1868">
        <v>46763997</v>
      </c>
      <c r="C126" s="1871"/>
      <c r="D126" s="1868">
        <v>2331704.0550000002</v>
      </c>
      <c r="E126" s="1868"/>
      <c r="F126" s="1868">
        <v>9359597</v>
      </c>
      <c r="G126" s="1869"/>
      <c r="H126" s="1868">
        <v>467979.85</v>
      </c>
      <c r="I126" s="1869"/>
      <c r="J126" s="1875">
        <v>0</v>
      </c>
      <c r="K126" s="1872"/>
      <c r="L126" s="1872">
        <v>0</v>
      </c>
      <c r="M126" s="1872"/>
      <c r="N126" s="1868">
        <v>21792646</v>
      </c>
      <c r="O126" s="1868"/>
      <c r="P126" s="1870">
        <v>207332.50999999998</v>
      </c>
      <c r="Q126" s="835"/>
    </row>
    <row r="127" spans="1:17" ht="11.25" customHeight="1">
      <c r="A127" s="723" t="s">
        <v>109</v>
      </c>
      <c r="B127" s="1868">
        <v>375738155</v>
      </c>
      <c r="C127" s="1869"/>
      <c r="D127" s="1868">
        <v>15517985.8015</v>
      </c>
      <c r="E127" s="1869"/>
      <c r="F127" s="1868">
        <v>931936</v>
      </c>
      <c r="G127" s="1869"/>
      <c r="H127" s="1868">
        <v>38488.9568</v>
      </c>
      <c r="I127" s="1869"/>
      <c r="J127" s="1868">
        <v>0</v>
      </c>
      <c r="K127" s="1869"/>
      <c r="L127" s="1868">
        <v>0</v>
      </c>
      <c r="M127" s="1869"/>
      <c r="N127" s="1868">
        <v>128118347</v>
      </c>
      <c r="O127" s="1869"/>
      <c r="P127" s="1870">
        <v>1554172.1459999997</v>
      </c>
      <c r="Q127" s="835"/>
    </row>
    <row r="128" spans="1:17" ht="17.149999999999999" customHeight="1">
      <c r="A128" s="723" t="s">
        <v>133</v>
      </c>
      <c r="B128" s="1868">
        <v>197888111</v>
      </c>
      <c r="C128" s="1869"/>
      <c r="D128" s="1868">
        <v>8002966.8499999996</v>
      </c>
      <c r="E128" s="1869"/>
      <c r="F128" s="1868">
        <v>0</v>
      </c>
      <c r="G128" s="1869"/>
      <c r="H128" s="1868">
        <v>0</v>
      </c>
      <c r="I128" s="1869"/>
      <c r="J128" s="1868">
        <v>0</v>
      </c>
      <c r="K128" s="1869"/>
      <c r="L128" s="1868">
        <v>0</v>
      </c>
      <c r="M128" s="1869"/>
      <c r="N128" s="1868">
        <v>33914831</v>
      </c>
      <c r="O128" s="1869"/>
      <c r="P128" s="1870">
        <v>1695741.55</v>
      </c>
      <c r="Q128" s="835"/>
    </row>
    <row r="129" spans="1:17" ht="11.25" customHeight="1">
      <c r="A129" s="723" t="s">
        <v>716</v>
      </c>
      <c r="B129" s="1868">
        <v>69480561</v>
      </c>
      <c r="C129" s="1869"/>
      <c r="D129" s="1868">
        <v>2773993.86</v>
      </c>
      <c r="E129" s="1869"/>
      <c r="F129" s="1868">
        <v>1219334</v>
      </c>
      <c r="G129" s="1869"/>
      <c r="H129" s="1868">
        <v>24386.68</v>
      </c>
      <c r="I129" s="1869"/>
      <c r="J129" s="1868">
        <v>0</v>
      </c>
      <c r="K129" s="1869"/>
      <c r="L129" s="1868">
        <v>0</v>
      </c>
      <c r="M129" s="1869"/>
      <c r="N129" s="1868">
        <v>8484543</v>
      </c>
      <c r="O129" s="1869"/>
      <c r="P129" s="1870">
        <v>87498.779299999995</v>
      </c>
      <c r="Q129" s="835"/>
    </row>
    <row r="130" spans="1:17" ht="11.25" customHeight="1">
      <c r="A130" s="723" t="s">
        <v>136</v>
      </c>
      <c r="B130" s="1868">
        <v>435066487</v>
      </c>
      <c r="C130" s="1869"/>
      <c r="D130" s="1868">
        <v>13635275.949999999</v>
      </c>
      <c r="E130" s="1869"/>
      <c r="F130" s="1868">
        <v>13009382</v>
      </c>
      <c r="G130" s="1869"/>
      <c r="H130" s="1868">
        <v>101236</v>
      </c>
      <c r="I130" s="1869"/>
      <c r="J130" s="1868">
        <v>0</v>
      </c>
      <c r="K130" s="1869"/>
      <c r="L130" s="1868">
        <v>0</v>
      </c>
      <c r="M130" s="1869"/>
      <c r="N130" s="1868">
        <v>111977271</v>
      </c>
      <c r="O130" s="1869"/>
      <c r="P130" s="1870">
        <v>951858.39199999999</v>
      </c>
      <c r="Q130" s="835"/>
    </row>
    <row r="131" spans="1:17" ht="11.25" customHeight="1">
      <c r="A131" s="723" t="s">
        <v>138</v>
      </c>
      <c r="B131" s="1868">
        <v>55708251</v>
      </c>
      <c r="C131" s="1871"/>
      <c r="D131" s="1868">
        <v>1241700.0068000001</v>
      </c>
      <c r="E131" s="1868"/>
      <c r="F131" s="1868">
        <v>79105597</v>
      </c>
      <c r="G131" s="1868"/>
      <c r="H131" s="1868">
        <v>1265689.5520000001</v>
      </c>
      <c r="I131" s="1868"/>
      <c r="J131" s="1868">
        <v>0</v>
      </c>
      <c r="K131" s="1868"/>
      <c r="L131" s="1868">
        <v>0</v>
      </c>
      <c r="M131" s="1868"/>
      <c r="N131" s="1868">
        <v>22409348</v>
      </c>
      <c r="O131" s="1868"/>
      <c r="P131" s="1870">
        <v>207745.25690000001</v>
      </c>
      <c r="Q131" s="835"/>
    </row>
    <row r="132" spans="1:17" ht="11.25" customHeight="1">
      <c r="A132" s="723" t="s">
        <v>140</v>
      </c>
      <c r="B132" s="1868">
        <v>1284072206</v>
      </c>
      <c r="C132" s="1869"/>
      <c r="D132" s="1868">
        <v>54610793.348176636</v>
      </c>
      <c r="E132" s="1869"/>
      <c r="F132" s="1868">
        <v>88974962</v>
      </c>
      <c r="G132" s="1869"/>
      <c r="H132" s="1868">
        <v>2956980.6950000003</v>
      </c>
      <c r="I132" s="1869"/>
      <c r="J132" s="1868">
        <v>0</v>
      </c>
      <c r="K132" s="1869"/>
      <c r="L132" s="1868">
        <v>0</v>
      </c>
      <c r="M132" s="1869"/>
      <c r="N132" s="1868">
        <v>399961483</v>
      </c>
      <c r="O132" s="1869"/>
      <c r="P132" s="1870">
        <v>4972629.0888</v>
      </c>
      <c r="Q132" s="835"/>
    </row>
    <row r="133" spans="1:17" ht="17.149999999999999" customHeight="1">
      <c r="A133" s="723" t="s">
        <v>834</v>
      </c>
      <c r="B133" s="1868">
        <v>516092680</v>
      </c>
      <c r="C133" s="1871"/>
      <c r="D133" s="1868">
        <v>14711656.1196</v>
      </c>
      <c r="E133" s="1868"/>
      <c r="F133" s="1868">
        <v>139695850</v>
      </c>
      <c r="G133" s="1868"/>
      <c r="H133" s="1868">
        <v>2961552.02</v>
      </c>
      <c r="I133" s="1868"/>
      <c r="J133" s="1868">
        <v>0</v>
      </c>
      <c r="K133" s="1875"/>
      <c r="L133" s="1868">
        <v>0</v>
      </c>
      <c r="M133" s="1875"/>
      <c r="N133" s="1868">
        <v>62386292</v>
      </c>
      <c r="O133" s="1868"/>
      <c r="P133" s="1870">
        <v>562138.06800000009</v>
      </c>
      <c r="Q133" s="835"/>
    </row>
    <row r="134" spans="1:17" ht="11.25" customHeight="1">
      <c r="A134" s="723" t="s">
        <v>144</v>
      </c>
      <c r="B134" s="1868">
        <v>180885640</v>
      </c>
      <c r="C134" s="1871"/>
      <c r="D134" s="1868">
        <v>6325121.6722999997</v>
      </c>
      <c r="E134" s="1868"/>
      <c r="F134" s="1868">
        <v>290489156</v>
      </c>
      <c r="G134" s="1868"/>
      <c r="H134" s="1868">
        <v>8859919.2599999998</v>
      </c>
      <c r="I134" s="1868"/>
      <c r="J134" s="1868">
        <v>0</v>
      </c>
      <c r="K134" s="1868"/>
      <c r="L134" s="1868">
        <v>0</v>
      </c>
      <c r="M134" s="1868"/>
      <c r="N134" s="1868">
        <v>371426588</v>
      </c>
      <c r="O134" s="1868"/>
      <c r="P134" s="1870">
        <v>4201137.4284999995</v>
      </c>
      <c r="Q134" s="835"/>
    </row>
    <row r="135" spans="1:17" ht="11.25" customHeight="1">
      <c r="A135" s="723" t="s">
        <v>835</v>
      </c>
      <c r="B135" s="1868">
        <v>53633130.390000001</v>
      </c>
      <c r="C135" s="1871"/>
      <c r="D135" s="1868">
        <v>1927341.67</v>
      </c>
      <c r="E135" s="1868"/>
      <c r="F135" s="1868">
        <v>93512.25</v>
      </c>
      <c r="G135" s="1868"/>
      <c r="H135" s="1868">
        <v>3974.2706250000001</v>
      </c>
      <c r="I135" s="1868"/>
      <c r="J135" s="1868">
        <v>0</v>
      </c>
      <c r="K135" s="1868"/>
      <c r="L135" s="1868">
        <v>0</v>
      </c>
      <c r="M135" s="1868"/>
      <c r="N135" s="1868">
        <v>202679</v>
      </c>
      <c r="O135" s="1868"/>
      <c r="P135" s="1870">
        <v>8613.8575000000001</v>
      </c>
      <c r="Q135" s="835"/>
    </row>
    <row r="136" spans="1:17" ht="11.25" customHeight="1">
      <c r="A136" s="725" t="s">
        <v>148</v>
      </c>
      <c r="B136" s="1870">
        <v>790371099</v>
      </c>
      <c r="C136" s="1873"/>
      <c r="D136" s="1870">
        <v>25164002.936000001</v>
      </c>
      <c r="E136" s="1870"/>
      <c r="F136" s="1870">
        <v>158463701</v>
      </c>
      <c r="G136" s="1870"/>
      <c r="H136" s="1870">
        <v>4829050</v>
      </c>
      <c r="I136" s="1870"/>
      <c r="J136" s="1870">
        <v>0</v>
      </c>
      <c r="K136" s="1874"/>
      <c r="L136" s="1870">
        <v>0</v>
      </c>
      <c r="M136" s="1874"/>
      <c r="N136" s="1870">
        <v>29459641</v>
      </c>
      <c r="O136" s="1870"/>
      <c r="P136" s="1870">
        <v>332785.64960000006</v>
      </c>
      <c r="Q136" s="835"/>
    </row>
    <row r="137" spans="1:17" s="725" customFormat="1" ht="11.25" customHeight="1">
      <c r="A137" s="725" t="s">
        <v>836</v>
      </c>
      <c r="B137" s="1870">
        <v>409536970</v>
      </c>
      <c r="C137" s="1873"/>
      <c r="D137" s="1870">
        <v>14480948.2311</v>
      </c>
      <c r="E137" s="1870"/>
      <c r="F137" s="1870">
        <v>552920000</v>
      </c>
      <c r="G137" s="1870"/>
      <c r="H137" s="1870">
        <v>5174788.3209999995</v>
      </c>
      <c r="I137" s="1870"/>
      <c r="J137" s="1870">
        <v>0</v>
      </c>
      <c r="K137" s="1874"/>
      <c r="L137" s="1870">
        <v>0</v>
      </c>
      <c r="M137" s="1874"/>
      <c r="N137" s="1870">
        <v>132107170</v>
      </c>
      <c r="O137" s="1870"/>
      <c r="P137" s="1870">
        <v>1928856.06</v>
      </c>
      <c r="Q137" s="835"/>
    </row>
    <row r="138" spans="1:17" ht="17.149999999999999" customHeight="1">
      <c r="A138" s="723" t="s">
        <v>152</v>
      </c>
      <c r="B138" s="1865">
        <v>180522242</v>
      </c>
      <c r="C138" s="1866"/>
      <c r="D138" s="1865">
        <v>6314119.7637499999</v>
      </c>
      <c r="E138" s="1866"/>
      <c r="F138" s="1865">
        <v>701010</v>
      </c>
      <c r="G138" s="1866"/>
      <c r="H138" s="1865">
        <v>24535.35</v>
      </c>
      <c r="I138" s="1866"/>
      <c r="J138" s="1865">
        <v>0</v>
      </c>
      <c r="K138" s="1866"/>
      <c r="L138" s="1865">
        <v>0</v>
      </c>
      <c r="M138" s="1866"/>
      <c r="N138" s="1865">
        <v>39036747</v>
      </c>
      <c r="O138" s="1866"/>
      <c r="P138" s="1867">
        <v>605069.57850000006</v>
      </c>
      <c r="Q138" s="835"/>
    </row>
    <row r="139" spans="1:17" ht="11.25" customHeight="1">
      <c r="A139" s="723" t="s">
        <v>154</v>
      </c>
      <c r="B139" s="1868">
        <v>120715706</v>
      </c>
      <c r="C139" s="1871"/>
      <c r="D139" s="1868">
        <v>2744196.9199999995</v>
      </c>
      <c r="E139" s="1871"/>
      <c r="F139" s="1868">
        <v>6955674</v>
      </c>
      <c r="G139" s="1871"/>
      <c r="H139" s="1868">
        <v>128679.96900000001</v>
      </c>
      <c r="I139" s="1871"/>
      <c r="J139" s="1868">
        <v>0</v>
      </c>
      <c r="K139" s="1871"/>
      <c r="L139" s="1868">
        <v>0</v>
      </c>
      <c r="M139" s="1871"/>
      <c r="N139" s="1868">
        <v>26178614</v>
      </c>
      <c r="O139" s="1871"/>
      <c r="P139" s="1870">
        <v>282851.83039200003</v>
      </c>
      <c r="Q139" s="835"/>
    </row>
    <row r="140" spans="1:17" ht="11.25" customHeight="1">
      <c r="A140" s="723" t="s">
        <v>156</v>
      </c>
      <c r="B140" s="1868">
        <v>1680958320</v>
      </c>
      <c r="C140" s="1871"/>
      <c r="D140" s="1868">
        <v>71642947.62999998</v>
      </c>
      <c r="E140" s="1871"/>
      <c r="F140" s="1868">
        <v>754038308</v>
      </c>
      <c r="G140" s="1871"/>
      <c r="H140" s="1868">
        <v>28276436.550000001</v>
      </c>
      <c r="I140" s="1871"/>
      <c r="J140" s="1868">
        <v>0</v>
      </c>
      <c r="K140" s="1871"/>
      <c r="L140" s="1868">
        <v>0</v>
      </c>
      <c r="M140" s="1871"/>
      <c r="N140" s="1868">
        <v>158346618</v>
      </c>
      <c r="O140" s="1871"/>
      <c r="P140" s="1870">
        <v>2077613.1612</v>
      </c>
      <c r="Q140" s="835"/>
    </row>
    <row r="141" spans="1:17" ht="11.25" customHeight="1">
      <c r="A141" s="723" t="s">
        <v>346</v>
      </c>
      <c r="B141" s="1868">
        <v>2312475944.1300001</v>
      </c>
      <c r="C141" s="1869"/>
      <c r="D141" s="1868">
        <v>95693583.489468724</v>
      </c>
      <c r="E141" s="1869"/>
      <c r="F141" s="1868">
        <v>136141506</v>
      </c>
      <c r="G141" s="1869"/>
      <c r="H141" s="1868">
        <v>5786014.0049999999</v>
      </c>
      <c r="I141" s="1869"/>
      <c r="J141" s="1868">
        <v>0</v>
      </c>
      <c r="K141" s="1869"/>
      <c r="L141" s="1868">
        <v>0</v>
      </c>
      <c r="M141" s="1869"/>
      <c r="N141" s="1868">
        <v>910008813</v>
      </c>
      <c r="O141" s="1869"/>
      <c r="P141" s="1870">
        <v>11404747.585700002</v>
      </c>
      <c r="Q141" s="835"/>
    </row>
    <row r="142" spans="1:17" ht="11.25" customHeight="1">
      <c r="A142" s="723" t="s">
        <v>837</v>
      </c>
      <c r="B142" s="1868">
        <v>32664597</v>
      </c>
      <c r="C142" s="1869"/>
      <c r="D142" s="1868">
        <v>653415.52799999982</v>
      </c>
      <c r="E142" s="1869"/>
      <c r="F142" s="1868">
        <v>4691580</v>
      </c>
      <c r="G142" s="1869"/>
      <c r="H142" s="1868">
        <v>96177.39</v>
      </c>
      <c r="I142" s="1869"/>
      <c r="J142" s="1868">
        <v>0</v>
      </c>
      <c r="K142" s="1869"/>
      <c r="L142" s="1868">
        <v>0</v>
      </c>
      <c r="M142" s="1869"/>
      <c r="N142" s="1868">
        <v>38025050</v>
      </c>
      <c r="O142" s="1869"/>
      <c r="P142" s="1870">
        <v>342225.45</v>
      </c>
      <c r="Q142" s="835"/>
    </row>
    <row r="143" spans="1:17" ht="17.149999999999999" customHeight="1">
      <c r="A143" s="723" t="s">
        <v>1313</v>
      </c>
      <c r="B143" s="1868">
        <v>211633555</v>
      </c>
      <c r="C143" s="1869"/>
      <c r="D143" s="1868">
        <v>10309741.5165</v>
      </c>
      <c r="E143" s="1869"/>
      <c r="F143" s="1868">
        <v>38823776</v>
      </c>
      <c r="G143" s="1869"/>
      <c r="H143" s="1868">
        <v>1475303</v>
      </c>
      <c r="I143" s="1869"/>
      <c r="J143" s="1868">
        <v>0</v>
      </c>
      <c r="K143" s="1869"/>
      <c r="L143" s="1868">
        <v>0</v>
      </c>
      <c r="M143" s="1869"/>
      <c r="N143" s="1868">
        <v>327792800</v>
      </c>
      <c r="O143" s="1869"/>
      <c r="P143" s="1870">
        <v>2616636.9465000001</v>
      </c>
      <c r="Q143" s="835"/>
    </row>
    <row r="144" spans="1:17" ht="11.25" customHeight="1">
      <c r="A144" s="723" t="s">
        <v>1314</v>
      </c>
      <c r="B144" s="1868">
        <v>170369553</v>
      </c>
      <c r="C144" s="1869"/>
      <c r="D144" s="1868">
        <v>5936636.0575000001</v>
      </c>
      <c r="E144" s="1869"/>
      <c r="F144" s="1868">
        <v>0</v>
      </c>
      <c r="G144" s="1869"/>
      <c r="H144" s="1868">
        <v>0</v>
      </c>
      <c r="I144" s="1869"/>
      <c r="J144" s="1868">
        <v>0</v>
      </c>
      <c r="K144" s="1869"/>
      <c r="L144" s="1868">
        <v>0</v>
      </c>
      <c r="M144" s="1869"/>
      <c r="N144" s="1868">
        <v>21361594</v>
      </c>
      <c r="O144" s="1869"/>
      <c r="P144" s="1870">
        <v>243522.17159999997</v>
      </c>
      <c r="Q144" s="835"/>
    </row>
    <row r="145" spans="1:17" ht="11.25" customHeight="1">
      <c r="A145" s="723" t="s">
        <v>166</v>
      </c>
      <c r="B145" s="1868">
        <v>955422914</v>
      </c>
      <c r="C145" s="1869"/>
      <c r="D145" s="1868">
        <v>46841767.740000002</v>
      </c>
      <c r="E145" s="1869"/>
      <c r="F145" s="1868">
        <v>35873431</v>
      </c>
      <c r="G145" s="1869"/>
      <c r="H145" s="1868">
        <v>1076202.93</v>
      </c>
      <c r="I145" s="1869"/>
      <c r="J145" s="1868">
        <v>0</v>
      </c>
      <c r="K145" s="1869"/>
      <c r="L145" s="1868">
        <v>0</v>
      </c>
      <c r="M145" s="1869"/>
      <c r="N145" s="1868">
        <v>242820119</v>
      </c>
      <c r="O145" s="1869"/>
      <c r="P145" s="1870">
        <v>3203993.4640000002</v>
      </c>
      <c r="Q145" s="835"/>
    </row>
    <row r="146" spans="1:17" ht="11.25" customHeight="1">
      <c r="A146" s="723" t="s">
        <v>168</v>
      </c>
      <c r="B146" s="1868">
        <v>72064297</v>
      </c>
      <c r="C146" s="1871"/>
      <c r="D146" s="1868">
        <v>1752087.9827999996</v>
      </c>
      <c r="E146" s="1871"/>
      <c r="F146" s="1868">
        <v>19586400</v>
      </c>
      <c r="G146" s="1871"/>
      <c r="H146" s="1868">
        <v>344720.64000000001</v>
      </c>
      <c r="I146" s="1871"/>
      <c r="J146" s="1868">
        <v>0</v>
      </c>
      <c r="K146" s="1871"/>
      <c r="L146" s="1868">
        <v>0</v>
      </c>
      <c r="M146" s="1871"/>
      <c r="N146" s="1868">
        <v>25953393</v>
      </c>
      <c r="O146" s="1871"/>
      <c r="P146" s="1870">
        <v>218027.74919999999</v>
      </c>
      <c r="Q146" s="835"/>
    </row>
    <row r="147" spans="1:17" ht="10.5" customHeight="1">
      <c r="A147" s="723" t="s">
        <v>132</v>
      </c>
      <c r="B147" s="1868">
        <v>2397296444</v>
      </c>
      <c r="C147" s="1871"/>
      <c r="D147" s="1868">
        <v>88307973.964999989</v>
      </c>
      <c r="E147" s="1871"/>
      <c r="F147" s="1868">
        <v>641873723</v>
      </c>
      <c r="G147" s="1871"/>
      <c r="H147" s="1868">
        <v>14763095.628999999</v>
      </c>
      <c r="I147" s="1871"/>
      <c r="J147" s="1868">
        <v>0</v>
      </c>
      <c r="K147" s="1871"/>
      <c r="L147" s="1868">
        <v>0</v>
      </c>
      <c r="M147" s="1871"/>
      <c r="N147" s="1868">
        <v>924657580</v>
      </c>
      <c r="O147" s="1871"/>
      <c r="P147" s="1870">
        <v>11118997.609999999</v>
      </c>
      <c r="Q147" s="835"/>
    </row>
    <row r="148" spans="1:17" ht="17.149999999999999" customHeight="1">
      <c r="A148" s="723" t="s">
        <v>25</v>
      </c>
      <c r="B148" s="1868">
        <v>1002818523</v>
      </c>
      <c r="C148" s="1869"/>
      <c r="D148" s="1868">
        <v>34046954.797700003</v>
      </c>
      <c r="E148" s="1869"/>
      <c r="F148" s="1868">
        <v>121117895</v>
      </c>
      <c r="G148" s="1869"/>
      <c r="H148" s="1868">
        <v>4178567.3774999999</v>
      </c>
      <c r="I148" s="1869"/>
      <c r="J148" s="1868">
        <v>0</v>
      </c>
      <c r="K148" s="1869"/>
      <c r="L148" s="1868">
        <v>0</v>
      </c>
      <c r="M148" s="1869"/>
      <c r="N148" s="1868">
        <v>482742780</v>
      </c>
      <c r="O148" s="1869"/>
      <c r="P148" s="1870">
        <v>5938472.3653999995</v>
      </c>
      <c r="Q148" s="835"/>
    </row>
    <row r="149" spans="1:17" ht="11.25" customHeight="1">
      <c r="A149" s="723" t="s">
        <v>169</v>
      </c>
      <c r="B149" s="1868">
        <v>432845714</v>
      </c>
      <c r="C149" s="1869"/>
      <c r="D149" s="1868">
        <v>14689442.952</v>
      </c>
      <c r="E149" s="1869"/>
      <c r="F149" s="1868">
        <v>100446767</v>
      </c>
      <c r="G149" s="1869"/>
      <c r="H149" s="1868">
        <v>3214296.5440000002</v>
      </c>
      <c r="I149" s="1869"/>
      <c r="J149" s="1868">
        <v>0</v>
      </c>
      <c r="K149" s="1869"/>
      <c r="L149" s="1868">
        <v>0</v>
      </c>
      <c r="M149" s="1869"/>
      <c r="N149" s="1868">
        <v>65235010</v>
      </c>
      <c r="O149" s="1869"/>
      <c r="P149" s="1870">
        <v>782820.12</v>
      </c>
      <c r="Q149" s="835"/>
    </row>
    <row r="150" spans="1:17" ht="11.25" customHeight="1">
      <c r="A150" s="723" t="s">
        <v>170</v>
      </c>
      <c r="B150" s="1868">
        <v>300009722</v>
      </c>
      <c r="C150" s="1869"/>
      <c r="D150" s="1868">
        <v>8657865.4267999995</v>
      </c>
      <c r="E150" s="1869"/>
      <c r="F150" s="1868">
        <v>29873518</v>
      </c>
      <c r="G150" s="1869"/>
      <c r="H150" s="1868">
        <v>370431.62320000003</v>
      </c>
      <c r="I150" s="1869"/>
      <c r="J150" s="1868">
        <v>0</v>
      </c>
      <c r="K150" s="1869"/>
      <c r="L150" s="1868">
        <v>0</v>
      </c>
      <c r="M150" s="1869"/>
      <c r="N150" s="1868">
        <v>104229502</v>
      </c>
      <c r="O150" s="1869"/>
      <c r="P150" s="1870">
        <v>960862.58959999995</v>
      </c>
      <c r="Q150" s="835"/>
    </row>
    <row r="151" spans="1:17" ht="11.25" customHeight="1">
      <c r="A151" s="723" t="s">
        <v>171</v>
      </c>
      <c r="B151" s="1868">
        <v>1165735370</v>
      </c>
      <c r="C151" s="1871"/>
      <c r="D151" s="1868">
        <v>37156797.710000001</v>
      </c>
      <c r="E151" s="1871"/>
      <c r="F151" s="1868">
        <v>71732160</v>
      </c>
      <c r="G151" s="1871"/>
      <c r="H151" s="1868">
        <v>2210611.61</v>
      </c>
      <c r="I151" s="1871"/>
      <c r="J151" s="1868">
        <v>0</v>
      </c>
      <c r="K151" s="1871"/>
      <c r="L151" s="1868">
        <v>0</v>
      </c>
      <c r="M151" s="1871"/>
      <c r="N151" s="1868">
        <v>434003975</v>
      </c>
      <c r="O151" s="1871"/>
      <c r="P151" s="1870">
        <v>4822306.7579000005</v>
      </c>
      <c r="Q151" s="835"/>
    </row>
    <row r="152" spans="1:17" ht="11.25" customHeight="1">
      <c r="A152" s="723" t="s">
        <v>602</v>
      </c>
      <c r="B152" s="1868">
        <v>6225107788</v>
      </c>
      <c r="C152" s="1871"/>
      <c r="D152" s="1868">
        <v>233567158.4530246</v>
      </c>
      <c r="E152" s="1871"/>
      <c r="F152" s="1868">
        <v>235485352.74000001</v>
      </c>
      <c r="G152" s="1871"/>
      <c r="H152" s="1868">
        <v>2.3548535274</v>
      </c>
      <c r="I152" s="1871"/>
      <c r="J152" s="1868">
        <v>0</v>
      </c>
      <c r="K152" s="1871"/>
      <c r="L152" s="1868">
        <v>0</v>
      </c>
      <c r="M152" s="1871"/>
      <c r="N152" s="1868">
        <v>2001022594</v>
      </c>
      <c r="O152" s="1871"/>
      <c r="P152" s="1870">
        <v>20197144</v>
      </c>
      <c r="Q152" s="835"/>
    </row>
    <row r="153" spans="1:17" ht="17.149999999999999" customHeight="1">
      <c r="A153" s="723" t="s">
        <v>173</v>
      </c>
      <c r="B153" s="1868">
        <v>222726916</v>
      </c>
      <c r="C153" s="1871"/>
      <c r="D153" s="1868">
        <v>7221083.9939999999</v>
      </c>
      <c r="E153" s="1871"/>
      <c r="F153" s="1868">
        <v>34483285</v>
      </c>
      <c r="G153" s="1871"/>
      <c r="H153" s="1868">
        <v>1120706.7625</v>
      </c>
      <c r="I153" s="1871"/>
      <c r="J153" s="1868">
        <v>0</v>
      </c>
      <c r="K153" s="1872"/>
      <c r="L153" s="1868">
        <v>0</v>
      </c>
      <c r="M153" s="1872"/>
      <c r="N153" s="1868">
        <v>112777602</v>
      </c>
      <c r="O153" s="1871"/>
      <c r="P153" s="1870">
        <v>1016099.205</v>
      </c>
      <c r="Q153" s="835"/>
    </row>
    <row r="154" spans="1:17" ht="11.25" customHeight="1">
      <c r="A154" s="723" t="s">
        <v>175</v>
      </c>
      <c r="B154" s="1868">
        <v>104667050</v>
      </c>
      <c r="C154" s="1869"/>
      <c r="D154" s="1868">
        <v>3648591.55</v>
      </c>
      <c r="E154" s="1869"/>
      <c r="F154" s="1868">
        <v>32260</v>
      </c>
      <c r="G154" s="1869"/>
      <c r="H154" s="1868">
        <v>1129.0999999999999</v>
      </c>
      <c r="I154" s="1869"/>
      <c r="J154" s="1868">
        <v>0</v>
      </c>
      <c r="K154" s="1869"/>
      <c r="L154" s="1868">
        <v>0</v>
      </c>
      <c r="M154" s="1869"/>
      <c r="N154" s="1868">
        <v>58545906</v>
      </c>
      <c r="O154" s="1869"/>
      <c r="P154" s="1870">
        <v>374693.79840000003</v>
      </c>
      <c r="Q154" s="835"/>
    </row>
    <row r="155" spans="1:17" ht="11.25" customHeight="1">
      <c r="A155" s="723" t="s">
        <v>177</v>
      </c>
      <c r="B155" s="1868">
        <v>555331323</v>
      </c>
      <c r="C155" s="1871"/>
      <c r="D155" s="1868">
        <v>17501560.7075</v>
      </c>
      <c r="E155" s="1871"/>
      <c r="F155" s="1868">
        <v>122331453</v>
      </c>
      <c r="G155" s="1871"/>
      <c r="H155" s="1868">
        <v>1590308.889</v>
      </c>
      <c r="I155" s="1871"/>
      <c r="J155" s="1868">
        <v>0</v>
      </c>
      <c r="K155" s="1872"/>
      <c r="L155" s="1868">
        <v>0</v>
      </c>
      <c r="M155" s="1872"/>
      <c r="N155" s="1868">
        <v>87284473</v>
      </c>
      <c r="O155" s="1871"/>
      <c r="P155" s="1870">
        <v>812857.48860000004</v>
      </c>
      <c r="Q155" s="835"/>
    </row>
    <row r="156" spans="1:17" ht="5.15" customHeight="1">
      <c r="A156" s="741"/>
      <c r="Q156" s="839"/>
    </row>
    <row r="157" spans="1:17" s="746" customFormat="1" ht="12" customHeight="1">
      <c r="A157" s="856" t="s">
        <v>27</v>
      </c>
      <c r="B157" s="1551">
        <f t="shared" ref="B157:P157" si="1">SUM(B118:B137,B138:B155)</f>
        <v>27919709432.525089</v>
      </c>
      <c r="C157" s="1551">
        <f t="shared" si="1"/>
        <v>0</v>
      </c>
      <c r="D157" s="1551">
        <f t="shared" si="1"/>
        <v>1065558483.7642951</v>
      </c>
      <c r="E157" s="1551">
        <f t="shared" si="1"/>
        <v>0</v>
      </c>
      <c r="F157" s="1551">
        <f t="shared" si="1"/>
        <v>4107545517.2047615</v>
      </c>
      <c r="G157" s="1551">
        <f t="shared" si="1"/>
        <v>0</v>
      </c>
      <c r="H157" s="1551">
        <f t="shared" si="1"/>
        <v>102351138.4734285</v>
      </c>
      <c r="I157" s="1551">
        <f t="shared" si="1"/>
        <v>0</v>
      </c>
      <c r="J157" s="1551">
        <f t="shared" si="1"/>
        <v>0</v>
      </c>
      <c r="K157" s="1551">
        <f t="shared" si="1"/>
        <v>0</v>
      </c>
      <c r="L157" s="1551">
        <f t="shared" si="1"/>
        <v>0</v>
      </c>
      <c r="M157" s="1551">
        <f t="shared" si="1"/>
        <v>0</v>
      </c>
      <c r="N157" s="1551">
        <f t="shared" si="1"/>
        <v>10075174117</v>
      </c>
      <c r="O157" s="1551">
        <f t="shared" si="1"/>
        <v>0</v>
      </c>
      <c r="P157" s="1551">
        <f t="shared" si="1"/>
        <v>123032612.048492</v>
      </c>
      <c r="Q157" s="840"/>
    </row>
    <row r="158" spans="1:17" s="746" customFormat="1" ht="12" customHeight="1">
      <c r="A158" s="856" t="s">
        <v>22</v>
      </c>
      <c r="B158" s="1551">
        <f>B112</f>
        <v>89098050988.400009</v>
      </c>
      <c r="C158" s="1551"/>
      <c r="D158" s="1551">
        <f>D112</f>
        <v>3381030406.5527258</v>
      </c>
      <c r="E158" s="1551"/>
      <c r="F158" s="1551">
        <f>F112</f>
        <v>7973397398.5199995</v>
      </c>
      <c r="G158" s="1551"/>
      <c r="H158" s="1551">
        <f>H112</f>
        <v>149987903.58327436</v>
      </c>
      <c r="I158" s="1551"/>
      <c r="J158" s="1551">
        <f>J112</f>
        <v>1314173629.97</v>
      </c>
      <c r="K158" s="1551"/>
      <c r="L158" s="1551">
        <f>L112</f>
        <v>13718743.484640002</v>
      </c>
      <c r="M158" s="1551"/>
      <c r="N158" s="1551">
        <f>N112</f>
        <v>40805969877.349998</v>
      </c>
      <c r="O158" s="1551"/>
      <c r="P158" s="1551">
        <f>P112</f>
        <v>322729351.64532351</v>
      </c>
      <c r="Q158" s="840"/>
    </row>
    <row r="159" spans="1:17" ht="5.15" customHeight="1">
      <c r="A159" s="741"/>
      <c r="Q159" s="839"/>
    </row>
    <row r="160" spans="1:17" ht="12" customHeight="1">
      <c r="A160" s="857" t="s">
        <v>28</v>
      </c>
      <c r="B160" s="1551">
        <f>SUM(B157:B159)</f>
        <v>117017760420.92509</v>
      </c>
      <c r="C160" s="1551"/>
      <c r="D160" s="1551">
        <f>SUM(D157:D159)</f>
        <v>4446588890.3170204</v>
      </c>
      <c r="E160" s="1551"/>
      <c r="F160" s="1551">
        <f>SUM(F157:F159)</f>
        <v>12080942915.724762</v>
      </c>
      <c r="G160" s="1551"/>
      <c r="H160" s="1551">
        <f>SUM(H157:H159)</f>
        <v>252339042.05670285</v>
      </c>
      <c r="I160" s="1551"/>
      <c r="J160" s="1551">
        <f>SUM(J157:J159)</f>
        <v>1314173629.97</v>
      </c>
      <c r="K160" s="1551"/>
      <c r="L160" s="1551">
        <f>SUM(L157:L159)</f>
        <v>13718743.484640002</v>
      </c>
      <c r="M160" s="1551"/>
      <c r="N160" s="1551">
        <f>SUM(N157:N159)</f>
        <v>50881143994.349998</v>
      </c>
      <c r="O160" s="1551"/>
      <c r="P160" s="1551">
        <f>SUM(P157:P159)</f>
        <v>445761963.69381553</v>
      </c>
      <c r="Q160" s="840"/>
    </row>
    <row r="161" spans="1:17" ht="5.15" customHeight="1">
      <c r="A161" s="755"/>
      <c r="B161" s="1530"/>
      <c r="C161" s="1530"/>
      <c r="D161" s="1530"/>
      <c r="E161" s="1530"/>
      <c r="F161" s="1530"/>
      <c r="G161" s="1530"/>
      <c r="H161" s="1530"/>
      <c r="I161" s="1530"/>
      <c r="J161" s="1530"/>
      <c r="K161" s="1530"/>
      <c r="L161" s="1530"/>
      <c r="M161" s="1530"/>
      <c r="N161" s="1530"/>
      <c r="O161" s="1530"/>
      <c r="P161" s="1530"/>
      <c r="Q161" s="841"/>
    </row>
    <row r="162" spans="1:17" s="1186" customFormat="1" ht="10" customHeight="1">
      <c r="A162" s="1405" t="s">
        <v>1</v>
      </c>
      <c r="B162" s="1877"/>
      <c r="C162" s="1877"/>
      <c r="D162" s="1877"/>
      <c r="E162" s="1877"/>
      <c r="F162" s="1877"/>
      <c r="G162" s="1877"/>
      <c r="H162" s="1877"/>
      <c r="I162" s="1877"/>
      <c r="J162" s="1877"/>
      <c r="K162" s="1877"/>
      <c r="L162" s="1877"/>
      <c r="M162" s="1877"/>
      <c r="N162" s="1877"/>
      <c r="O162" s="1877"/>
      <c r="P162" s="1877"/>
      <c r="Q162" s="1190"/>
    </row>
    <row r="163" spans="1:17" s="1181" customFormat="1" ht="10" customHeight="1">
      <c r="A163" s="1406" t="s">
        <v>1016</v>
      </c>
      <c r="B163" s="1878"/>
      <c r="C163" s="1878"/>
      <c r="D163" s="1878"/>
      <c r="E163" s="1878"/>
      <c r="F163" s="1878"/>
      <c r="G163" s="1878"/>
      <c r="H163" s="1878"/>
      <c r="I163" s="1878"/>
      <c r="J163" s="1878"/>
      <c r="K163" s="1878"/>
      <c r="L163" s="1878"/>
      <c r="M163" s="1878"/>
      <c r="N163" s="1878"/>
      <c r="O163" s="1878"/>
      <c r="P163" s="1878"/>
      <c r="Q163" s="1191"/>
    </row>
    <row r="164" spans="1:17" s="1181" customFormat="1" ht="10" customHeight="1">
      <c r="A164" s="1406" t="s">
        <v>1326</v>
      </c>
      <c r="B164" s="1878"/>
      <c r="C164" s="1878"/>
      <c r="D164" s="1878"/>
      <c r="E164" s="1878"/>
      <c r="F164" s="1878"/>
      <c r="G164" s="1878"/>
      <c r="H164" s="1878"/>
      <c r="I164" s="1878"/>
      <c r="J164" s="1878"/>
      <c r="K164" s="1878"/>
      <c r="L164" s="1878"/>
      <c r="M164" s="1878"/>
      <c r="N164" s="1878"/>
      <c r="O164" s="1878"/>
      <c r="P164" s="1878"/>
      <c r="Q164" s="1191"/>
    </row>
    <row r="165" spans="1:17" s="1181" customFormat="1" ht="10" customHeight="1">
      <c r="A165" s="1401" t="s">
        <v>870</v>
      </c>
      <c r="B165" s="1640"/>
      <c r="C165" s="1640"/>
      <c r="D165" s="1640"/>
      <c r="E165" s="1640"/>
      <c r="F165" s="1640"/>
      <c r="G165" s="1640"/>
      <c r="H165" s="1640"/>
      <c r="I165" s="1640"/>
      <c r="J165" s="1640"/>
      <c r="K165" s="1640"/>
      <c r="L165" s="1640"/>
      <c r="M165" s="1640"/>
      <c r="N165" s="1640"/>
      <c r="O165" s="1640"/>
      <c r="P165" s="1640"/>
      <c r="Q165" s="1192"/>
    </row>
    <row r="166" spans="1:17" s="1181" customFormat="1" ht="10" customHeight="1">
      <c r="A166" s="1401" t="s">
        <v>981</v>
      </c>
      <c r="B166" s="1640"/>
      <c r="C166" s="1640"/>
      <c r="D166" s="1640"/>
      <c r="E166" s="1640"/>
      <c r="F166" s="1640"/>
      <c r="G166" s="1640"/>
      <c r="H166" s="1640"/>
      <c r="I166" s="1640"/>
      <c r="J166" s="1640"/>
      <c r="K166" s="1640"/>
      <c r="L166" s="1640"/>
      <c r="M166" s="1640"/>
      <c r="N166" s="1640"/>
      <c r="O166" s="1640"/>
      <c r="P166" s="1640"/>
      <c r="Q166" s="1192"/>
    </row>
    <row r="167" spans="1:17" s="1181" customFormat="1" ht="10" customHeight="1">
      <c r="A167" s="1401" t="s">
        <v>871</v>
      </c>
      <c r="B167" s="1640"/>
      <c r="C167" s="1640"/>
      <c r="D167" s="1640"/>
      <c r="E167" s="1640"/>
      <c r="F167" s="1640"/>
      <c r="G167" s="1640"/>
      <c r="H167" s="1640"/>
      <c r="I167" s="1640"/>
      <c r="J167" s="1640"/>
      <c r="K167" s="1640"/>
      <c r="L167" s="1640"/>
      <c r="M167" s="1640"/>
      <c r="N167" s="1640"/>
      <c r="O167" s="1640"/>
      <c r="P167" s="1640"/>
      <c r="Q167" s="1192"/>
    </row>
    <row r="168" spans="1:17" s="1181" customFormat="1" ht="10" customHeight="1">
      <c r="A168" s="1401" t="s">
        <v>872</v>
      </c>
      <c r="B168" s="1640"/>
      <c r="C168" s="1640"/>
      <c r="D168" s="1640"/>
      <c r="E168" s="1640"/>
      <c r="F168" s="1640"/>
      <c r="G168" s="1640"/>
      <c r="H168" s="1640"/>
      <c r="I168" s="1640"/>
      <c r="J168" s="1640"/>
      <c r="K168" s="1640"/>
      <c r="L168" s="1640"/>
      <c r="M168" s="1640"/>
      <c r="N168" s="1640"/>
      <c r="O168" s="1640"/>
      <c r="P168" s="1640"/>
      <c r="Q168" s="1192"/>
    </row>
    <row r="169" spans="1:17" s="1181" customFormat="1" ht="10" customHeight="1">
      <c r="A169" s="1401" t="s">
        <v>873</v>
      </c>
      <c r="B169" s="1640"/>
      <c r="C169" s="1640"/>
      <c r="D169" s="1640"/>
      <c r="E169" s="1640"/>
      <c r="F169" s="1640"/>
      <c r="G169" s="1640"/>
      <c r="H169" s="1640"/>
      <c r="I169" s="1640"/>
      <c r="J169" s="1640"/>
      <c r="K169" s="1640"/>
      <c r="L169" s="1640"/>
      <c r="M169" s="1640"/>
      <c r="N169" s="1640"/>
      <c r="O169" s="1640"/>
      <c r="P169" s="1640"/>
      <c r="Q169" s="1192"/>
    </row>
    <row r="170" spans="1:17" s="1181" customFormat="1" ht="10" customHeight="1">
      <c r="A170" s="1407" t="s">
        <v>1328</v>
      </c>
      <c r="B170" s="1640"/>
      <c r="C170" s="1640"/>
      <c r="D170" s="1640"/>
      <c r="E170" s="1640"/>
      <c r="F170" s="1640"/>
      <c r="G170" s="1640"/>
      <c r="H170" s="1640"/>
      <c r="I170" s="1640"/>
      <c r="J170" s="1640"/>
      <c r="K170" s="1640"/>
      <c r="L170" s="1640"/>
      <c r="M170" s="1640"/>
      <c r="N170" s="1640"/>
      <c r="O170" s="1640"/>
      <c r="P170" s="1640"/>
      <c r="Q170" s="1192"/>
    </row>
    <row r="171" spans="1:17" s="1181" customFormat="1" ht="10" customHeight="1">
      <c r="A171" s="1407" t="s">
        <v>1327</v>
      </c>
      <c r="B171" s="1879"/>
      <c r="C171" s="1879"/>
      <c r="D171" s="1879"/>
      <c r="E171" s="1879"/>
      <c r="F171" s="1879"/>
      <c r="G171" s="1879"/>
      <c r="H171" s="1879"/>
      <c r="I171" s="1879"/>
      <c r="J171" s="1879"/>
      <c r="K171" s="1879"/>
      <c r="L171" s="1879"/>
      <c r="M171" s="1879"/>
      <c r="N171" s="1879"/>
      <c r="O171" s="1879"/>
      <c r="P171" s="1879"/>
      <c r="Q171" s="1193"/>
    </row>
    <row r="172" spans="1:17" s="1186" customFormat="1" ht="10" customHeight="1">
      <c r="A172" s="1184" t="s">
        <v>987</v>
      </c>
      <c r="B172" s="1880"/>
      <c r="C172" s="1880"/>
      <c r="D172" s="1880"/>
      <c r="E172" s="1880"/>
      <c r="F172" s="1880"/>
      <c r="G172" s="1880"/>
      <c r="H172" s="1880"/>
      <c r="I172" s="1880"/>
      <c r="J172" s="1880"/>
      <c r="K172" s="1880"/>
      <c r="L172" s="1880"/>
      <c r="M172" s="1880"/>
      <c r="N172" s="1880"/>
      <c r="O172" s="1880"/>
      <c r="P172" s="1880"/>
      <c r="Q172" s="1194"/>
    </row>
    <row r="173" spans="1:17">
      <c r="A173" s="837"/>
      <c r="C173" s="1545"/>
      <c r="E173" s="1545"/>
      <c r="G173" s="1545"/>
      <c r="I173" s="1545"/>
      <c r="K173" s="1545"/>
      <c r="M173" s="1545"/>
      <c r="O173" s="1545"/>
    </row>
    <row r="174" spans="1:17">
      <c r="A174" s="758"/>
      <c r="C174" s="1545"/>
      <c r="E174" s="1545"/>
      <c r="G174" s="1545"/>
      <c r="I174" s="1545"/>
      <c r="K174" s="1545"/>
      <c r="M174" s="1545"/>
      <c r="O174" s="1545"/>
    </row>
    <row r="175" spans="1:17">
      <c r="C175" s="1545"/>
      <c r="E175" s="1545"/>
      <c r="G175" s="1545"/>
      <c r="I175" s="1545"/>
      <c r="K175" s="1545"/>
      <c r="M175" s="1545"/>
      <c r="O175" s="1545"/>
    </row>
    <row r="176" spans="1:17">
      <c r="C176" s="1545"/>
      <c r="E176" s="1545"/>
      <c r="G176" s="1545"/>
      <c r="I176" s="1545"/>
      <c r="K176" s="1545"/>
      <c r="M176" s="1545"/>
      <c r="O176" s="1545"/>
    </row>
    <row r="178" spans="2:16">
      <c r="C178" s="1545"/>
      <c r="E178" s="1545"/>
      <c r="G178" s="1545"/>
      <c r="I178" s="1545"/>
      <c r="K178" s="1545"/>
      <c r="M178" s="1545"/>
      <c r="O178" s="1545"/>
    </row>
    <row r="179" spans="2:16">
      <c r="B179" s="1569"/>
      <c r="C179" s="1569"/>
      <c r="D179" s="1569"/>
      <c r="E179" s="1569"/>
      <c r="F179" s="1569"/>
      <c r="G179" s="1569"/>
      <c r="H179" s="1569"/>
      <c r="I179" s="1569"/>
      <c r="J179" s="1569"/>
      <c r="K179" s="1569"/>
      <c r="L179" s="1569"/>
      <c r="M179" s="1569"/>
      <c r="N179" s="1569"/>
      <c r="O179" s="1569"/>
      <c r="P179" s="1569"/>
    </row>
    <row r="180" spans="2:16">
      <c r="B180" s="1569"/>
      <c r="C180" s="1569"/>
      <c r="D180" s="1569"/>
      <c r="E180" s="1569"/>
      <c r="F180" s="1569"/>
      <c r="G180" s="1569"/>
      <c r="H180" s="1569"/>
      <c r="I180" s="1569"/>
      <c r="J180" s="1569"/>
      <c r="K180" s="1569"/>
      <c r="L180" s="1569"/>
      <c r="M180" s="1569"/>
      <c r="N180" s="1569"/>
      <c r="O180" s="1569"/>
      <c r="P180" s="1569"/>
    </row>
    <row r="181" spans="2:16">
      <c r="B181" s="1569"/>
      <c r="C181" s="1569"/>
      <c r="D181" s="1569"/>
      <c r="E181" s="1569"/>
      <c r="F181" s="1569"/>
      <c r="G181" s="1569"/>
      <c r="H181" s="1569"/>
      <c r="I181" s="1569"/>
      <c r="J181" s="1569"/>
      <c r="K181" s="1569"/>
      <c r="L181" s="1569"/>
      <c r="M181" s="1569"/>
      <c r="N181" s="1569"/>
      <c r="O181" s="1569"/>
      <c r="P181" s="1569"/>
    </row>
    <row r="182" spans="2:16">
      <c r="B182" s="1569"/>
      <c r="C182" s="1569"/>
      <c r="D182" s="1569"/>
      <c r="E182" s="1569"/>
      <c r="F182" s="1569"/>
      <c r="G182" s="1569"/>
      <c r="H182" s="1569"/>
      <c r="I182" s="1569"/>
      <c r="J182" s="1569"/>
      <c r="K182" s="1569"/>
      <c r="L182" s="1569"/>
      <c r="M182" s="1569"/>
      <c r="N182" s="1569"/>
      <c r="O182" s="1569"/>
      <c r="P182" s="1569"/>
    </row>
    <row r="183" spans="2:16">
      <c r="C183" s="1545"/>
      <c r="E183" s="1545"/>
      <c r="G183" s="1545"/>
      <c r="I183" s="1545"/>
      <c r="K183" s="1545"/>
      <c r="M183" s="1545"/>
      <c r="O183" s="1545"/>
    </row>
    <row r="184" spans="2:16">
      <c r="C184" s="1545"/>
      <c r="E184" s="1545"/>
      <c r="G184" s="1545"/>
      <c r="I184" s="1545"/>
      <c r="K184" s="1545"/>
      <c r="M184" s="1545"/>
      <c r="O184" s="1545"/>
    </row>
  </sheetData>
  <hyperlinks>
    <hyperlink ref="Q1" location="TOC!A1" display="Back"/>
  </hyperlinks>
  <pageMargins left="0.75" right="0.25" top="0.4" bottom="0.2" header="0.25" footer="0"/>
  <pageSetup scale="82" fitToHeight="5" orientation="landscape" r:id="rId1"/>
  <headerFooter scaleWithDoc="0">
    <oddHeader>&amp;R&amp;P</oddHeader>
  </headerFooter>
  <rowBreaks count="3" manualBreakCount="3">
    <brk id="35" max="15" man="1"/>
    <brk id="70" max="15" man="1"/>
    <brk id="112"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226"/>
  <sheetViews>
    <sheetView zoomScale="80" zoomScaleNormal="80" workbookViewId="0">
      <selection activeCell="N59" sqref="N59"/>
    </sheetView>
  </sheetViews>
  <sheetFormatPr defaultColWidth="10.81640625" defaultRowHeight="11.5"/>
  <cols>
    <col min="1" max="1" width="13.7265625" style="777" customWidth="1"/>
    <col min="2" max="2" width="19.1796875" style="781" bestFit="1" customWidth="1"/>
    <col min="3" max="3" width="0.81640625" style="777" customWidth="1"/>
    <col min="4" max="4" width="17.26953125" style="781" bestFit="1" customWidth="1"/>
    <col min="5" max="5" width="1.54296875" style="777" customWidth="1"/>
    <col min="6" max="6" width="14.453125" style="781" customWidth="1"/>
    <col min="7" max="7" width="0.81640625" style="777" customWidth="1"/>
    <col min="8" max="8" width="12" style="781" customWidth="1"/>
    <col min="9" max="9" width="0.7265625" style="777" customWidth="1"/>
    <col min="10" max="10" width="13.453125" style="781" customWidth="1"/>
    <col min="11" max="11" width="0.81640625" style="777" customWidth="1"/>
    <col min="12" max="12" width="11" style="781" customWidth="1"/>
    <col min="13" max="13" width="1.54296875" style="777" customWidth="1"/>
    <col min="14" max="14" width="14.453125" style="781" customWidth="1"/>
    <col min="15" max="15" width="0.81640625" style="777" customWidth="1"/>
    <col min="16" max="16" width="15.26953125" style="781" bestFit="1" customWidth="1"/>
    <col min="17" max="16384" width="10.81640625" style="723"/>
  </cols>
  <sheetData>
    <row r="1" spans="1:16" s="738" customFormat="1" ht="14">
      <c r="A1" s="809" t="s">
        <v>860</v>
      </c>
      <c r="B1" s="810"/>
      <c r="C1" s="791"/>
      <c r="D1" s="810"/>
      <c r="E1" s="791"/>
      <c r="F1" s="810"/>
      <c r="G1" s="791"/>
      <c r="H1" s="810"/>
      <c r="I1" s="791"/>
      <c r="J1" s="810"/>
      <c r="K1" s="791"/>
      <c r="L1" s="810"/>
      <c r="M1" s="791"/>
      <c r="N1" s="810"/>
      <c r="O1" s="791"/>
      <c r="P1" s="810"/>
    </row>
    <row r="2" spans="1:16" s="738" customFormat="1" ht="13">
      <c r="A2" s="811" t="s">
        <v>861</v>
      </c>
      <c r="B2" s="812"/>
      <c r="C2" s="812"/>
      <c r="D2" s="812"/>
      <c r="E2" s="812"/>
      <c r="F2" s="812"/>
      <c r="G2" s="812"/>
      <c r="H2" s="812"/>
      <c r="I2" s="812"/>
      <c r="J2" s="812"/>
      <c r="K2" s="812"/>
      <c r="L2" s="812"/>
      <c r="M2" s="812"/>
      <c r="N2" s="812"/>
      <c r="O2" s="812"/>
      <c r="P2" s="812"/>
    </row>
    <row r="3" spans="1:16" ht="13">
      <c r="A3" s="813" t="s">
        <v>903</v>
      </c>
      <c r="B3" s="814"/>
      <c r="C3" s="814"/>
      <c r="D3" s="814"/>
      <c r="E3" s="814"/>
      <c r="F3" s="814"/>
      <c r="G3" s="814"/>
      <c r="H3" s="814"/>
      <c r="I3" s="814"/>
      <c r="J3" s="814"/>
      <c r="K3" s="814"/>
      <c r="L3" s="814"/>
      <c r="M3" s="814"/>
      <c r="N3" s="814"/>
      <c r="O3" s="814"/>
      <c r="P3" s="814"/>
    </row>
    <row r="4" spans="1:16" ht="11.25" customHeight="1" thickBot="1">
      <c r="A4" s="778"/>
      <c r="B4" s="778"/>
      <c r="C4" s="778"/>
      <c r="D4" s="778"/>
      <c r="E4" s="778"/>
      <c r="F4" s="778"/>
      <c r="G4" s="778"/>
      <c r="H4" s="778"/>
      <c r="I4" s="778"/>
      <c r="J4" s="778"/>
      <c r="K4" s="778"/>
      <c r="L4" s="778"/>
      <c r="M4" s="778"/>
      <c r="N4" s="778"/>
      <c r="O4" s="778"/>
      <c r="P4" s="778"/>
    </row>
    <row r="5" spans="1:16" ht="14.25" customHeight="1">
      <c r="A5" s="791"/>
      <c r="B5" s="1967" t="s">
        <v>862</v>
      </c>
      <c r="C5" s="1967"/>
      <c r="D5" s="1967"/>
      <c r="E5" s="791"/>
      <c r="F5" s="1967" t="s">
        <v>863</v>
      </c>
      <c r="G5" s="1967"/>
      <c r="H5" s="1967"/>
      <c r="I5" s="791"/>
      <c r="J5" s="1967" t="s">
        <v>864</v>
      </c>
      <c r="K5" s="1967"/>
      <c r="L5" s="1967"/>
      <c r="M5" s="791"/>
      <c r="N5" s="1967" t="s">
        <v>865</v>
      </c>
      <c r="O5" s="1967"/>
      <c r="P5" s="1967"/>
    </row>
    <row r="6" spans="1:16" ht="12" customHeight="1">
      <c r="A6" s="815" t="s">
        <v>21</v>
      </c>
      <c r="B6" s="816" t="s">
        <v>866</v>
      </c>
      <c r="C6" s="815"/>
      <c r="D6" s="816" t="s">
        <v>867</v>
      </c>
      <c r="E6" s="779"/>
      <c r="F6" s="816" t="s">
        <v>866</v>
      </c>
      <c r="G6" s="779"/>
      <c r="H6" s="816" t="s">
        <v>867</v>
      </c>
      <c r="I6" s="779"/>
      <c r="J6" s="816" t="s">
        <v>866</v>
      </c>
      <c r="K6" s="779"/>
      <c r="L6" s="816" t="s">
        <v>867</v>
      </c>
      <c r="M6" s="779"/>
      <c r="N6" s="816" t="s">
        <v>866</v>
      </c>
      <c r="O6" s="779"/>
      <c r="P6" s="816" t="s">
        <v>867</v>
      </c>
    </row>
    <row r="7" spans="1:16" ht="8.25" customHeight="1"/>
    <row r="8" spans="1:16" ht="12" customHeight="1">
      <c r="A8" s="777" t="s">
        <v>54</v>
      </c>
      <c r="B8" s="817">
        <v>375448134</v>
      </c>
      <c r="C8" s="818"/>
      <c r="D8" s="817">
        <v>11880295</v>
      </c>
      <c r="E8" s="818"/>
      <c r="F8" s="817">
        <v>23821929</v>
      </c>
      <c r="G8" s="818"/>
      <c r="H8" s="817">
        <v>886703</v>
      </c>
      <c r="I8" s="818"/>
      <c r="J8" s="817">
        <v>0</v>
      </c>
      <c r="K8" s="818"/>
      <c r="L8" s="817">
        <v>0</v>
      </c>
      <c r="M8" s="818"/>
      <c r="N8" s="817">
        <v>462414985</v>
      </c>
      <c r="O8" s="818"/>
      <c r="P8" s="819">
        <v>2867116</v>
      </c>
    </row>
    <row r="9" spans="1:16" ht="12" customHeight="1">
      <c r="A9" s="777" t="s">
        <v>56</v>
      </c>
      <c r="B9" s="820">
        <v>1212930334.5</v>
      </c>
      <c r="C9" s="821"/>
      <c r="D9" s="820">
        <v>47404517.059999995</v>
      </c>
      <c r="E9" s="821"/>
      <c r="F9" s="820">
        <v>18476311</v>
      </c>
      <c r="G9" s="821"/>
      <c r="H9" s="820">
        <v>790786.12</v>
      </c>
      <c r="I9" s="821"/>
      <c r="J9" s="820">
        <v>0</v>
      </c>
      <c r="K9" s="821"/>
      <c r="L9" s="820">
        <v>0</v>
      </c>
      <c r="M9" s="821"/>
      <c r="N9" s="820">
        <v>460969187.5</v>
      </c>
      <c r="O9" s="821"/>
      <c r="P9" s="822">
        <v>3960449.14</v>
      </c>
    </row>
    <row r="10" spans="1:16" ht="12" customHeight="1">
      <c r="A10" s="777" t="s">
        <v>58</v>
      </c>
      <c r="B10" s="820">
        <v>144692925</v>
      </c>
      <c r="C10" s="821"/>
      <c r="D10" s="820">
        <v>4244428.41</v>
      </c>
      <c r="E10" s="821"/>
      <c r="F10" s="820">
        <v>185257582</v>
      </c>
      <c r="G10" s="821"/>
      <c r="H10" s="820">
        <v>5520675.9500000002</v>
      </c>
      <c r="I10" s="821"/>
      <c r="J10" s="820">
        <v>0</v>
      </c>
      <c r="K10" s="821"/>
      <c r="L10" s="820">
        <v>0</v>
      </c>
      <c r="M10" s="821"/>
      <c r="N10" s="820">
        <v>190132613</v>
      </c>
      <c r="O10" s="821"/>
      <c r="P10" s="822">
        <v>1389172.49</v>
      </c>
    </row>
    <row r="11" spans="1:16" ht="12" customHeight="1">
      <c r="A11" s="777" t="s">
        <v>60</v>
      </c>
      <c r="B11" s="820">
        <v>103033872</v>
      </c>
      <c r="C11" s="821"/>
      <c r="D11" s="820">
        <v>4144563.0589999999</v>
      </c>
      <c r="E11" s="821"/>
      <c r="F11" s="820">
        <v>6391875</v>
      </c>
      <c r="G11" s="821"/>
      <c r="H11" s="820">
        <v>63918.75</v>
      </c>
      <c r="I11" s="821"/>
      <c r="J11" s="820">
        <v>0</v>
      </c>
      <c r="K11" s="821"/>
      <c r="L11" s="820">
        <v>0</v>
      </c>
      <c r="M11" s="821"/>
      <c r="N11" s="820">
        <v>59148370</v>
      </c>
      <c r="O11" s="821"/>
      <c r="P11" s="822">
        <v>288391.74</v>
      </c>
    </row>
    <row r="12" spans="1:16" ht="12" customHeight="1">
      <c r="A12" s="777" t="s">
        <v>62</v>
      </c>
      <c r="B12" s="820">
        <v>280615933</v>
      </c>
      <c r="C12" s="821"/>
      <c r="D12" s="820">
        <v>9338390.6799999997</v>
      </c>
      <c r="E12" s="821"/>
      <c r="F12" s="820">
        <v>106547800</v>
      </c>
      <c r="G12" s="821"/>
      <c r="H12" s="820">
        <v>2130956</v>
      </c>
      <c r="I12" s="821"/>
      <c r="J12" s="820">
        <v>8391240</v>
      </c>
      <c r="K12" s="821"/>
      <c r="L12" s="820">
        <v>331453.98</v>
      </c>
      <c r="M12" s="821"/>
      <c r="N12" s="820">
        <v>114637911</v>
      </c>
      <c r="O12" s="821"/>
      <c r="P12" s="822">
        <v>699404.97</v>
      </c>
    </row>
    <row r="13" spans="1:16" ht="8.25" customHeight="1">
      <c r="B13" s="820"/>
      <c r="C13" s="821"/>
      <c r="D13" s="820"/>
      <c r="E13" s="821"/>
      <c r="F13" s="820"/>
      <c r="G13" s="821"/>
      <c r="H13" s="820"/>
      <c r="I13" s="821"/>
      <c r="J13" s="820"/>
      <c r="K13" s="821"/>
      <c r="L13" s="820"/>
      <c r="M13" s="821"/>
      <c r="N13" s="820"/>
      <c r="O13" s="821"/>
      <c r="P13" s="822"/>
    </row>
    <row r="14" spans="1:16" ht="12" customHeight="1">
      <c r="A14" s="777" t="s">
        <v>64</v>
      </c>
      <c r="B14" s="820">
        <v>155789121</v>
      </c>
      <c r="C14" s="821"/>
      <c r="D14" s="820">
        <v>4978028.7300000004</v>
      </c>
      <c r="E14" s="821"/>
      <c r="F14" s="820">
        <v>2768153</v>
      </c>
      <c r="G14" s="821"/>
      <c r="H14" s="820">
        <v>92733.14</v>
      </c>
      <c r="I14" s="821"/>
      <c r="J14" s="820">
        <v>13954156</v>
      </c>
      <c r="K14" s="821"/>
      <c r="L14" s="820">
        <v>139541.56</v>
      </c>
      <c r="M14" s="821"/>
      <c r="N14" s="820">
        <v>122205825</v>
      </c>
      <c r="O14" s="821"/>
      <c r="P14" s="822">
        <v>816687.71</v>
      </c>
    </row>
    <row r="15" spans="1:16" ht="12" customHeight="1">
      <c r="A15" s="777" t="s">
        <v>915</v>
      </c>
      <c r="B15" s="820">
        <v>176265400</v>
      </c>
      <c r="C15" s="821"/>
      <c r="D15" s="820">
        <v>202881.4754</v>
      </c>
      <c r="E15" s="821"/>
      <c r="F15" s="820">
        <v>0</v>
      </c>
      <c r="G15" s="821"/>
      <c r="H15" s="820">
        <v>0</v>
      </c>
      <c r="I15" s="821"/>
      <c r="J15" s="820">
        <v>0</v>
      </c>
      <c r="K15" s="821"/>
      <c r="L15" s="820">
        <v>0</v>
      </c>
      <c r="M15" s="821"/>
      <c r="N15" s="820">
        <v>0</v>
      </c>
      <c r="O15" s="821"/>
      <c r="P15" s="822">
        <v>0</v>
      </c>
    </row>
    <row r="16" spans="1:16" ht="12" customHeight="1">
      <c r="A16" s="777" t="s">
        <v>68</v>
      </c>
      <c r="B16" s="820">
        <v>757708190</v>
      </c>
      <c r="C16" s="821"/>
      <c r="D16" s="820">
        <v>17719021.600000001</v>
      </c>
      <c r="E16" s="821"/>
      <c r="F16" s="820">
        <v>233718440</v>
      </c>
      <c r="G16" s="821"/>
      <c r="H16" s="820">
        <v>4674368.8</v>
      </c>
      <c r="I16" s="821"/>
      <c r="J16" s="820">
        <v>0</v>
      </c>
      <c r="K16" s="821"/>
      <c r="L16" s="820">
        <v>0</v>
      </c>
      <c r="M16" s="821"/>
      <c r="N16" s="820">
        <v>452604820</v>
      </c>
      <c r="O16" s="821"/>
      <c r="P16" s="822">
        <v>2866800.5349999997</v>
      </c>
    </row>
    <row r="17" spans="1:16" ht="12" customHeight="1">
      <c r="A17" s="777" t="s">
        <v>70</v>
      </c>
      <c r="B17" s="820">
        <v>62539400</v>
      </c>
      <c r="C17" s="821"/>
      <c r="D17" s="820">
        <v>219127.45</v>
      </c>
      <c r="E17" s="821"/>
      <c r="F17" s="820">
        <v>4911200</v>
      </c>
      <c r="G17" s="821"/>
      <c r="H17" s="820">
        <v>17189.2</v>
      </c>
      <c r="I17" s="821"/>
      <c r="J17" s="820">
        <v>0</v>
      </c>
      <c r="K17" s="821"/>
      <c r="L17" s="820">
        <v>0</v>
      </c>
      <c r="M17" s="821"/>
      <c r="N17" s="820">
        <v>1385637012</v>
      </c>
      <c r="O17" s="821"/>
      <c r="P17" s="822">
        <v>6926429.4000000004</v>
      </c>
    </row>
    <row r="18" spans="1:16" ht="12" customHeight="1">
      <c r="A18" s="777" t="s">
        <v>832</v>
      </c>
      <c r="B18" s="820">
        <v>1050347399</v>
      </c>
      <c r="C18" s="821"/>
      <c r="D18" s="820">
        <v>23365557</v>
      </c>
      <c r="E18" s="821"/>
      <c r="F18" s="820">
        <v>338140901</v>
      </c>
      <c r="G18" s="821"/>
      <c r="H18" s="820">
        <v>4057690</v>
      </c>
      <c r="I18" s="821"/>
      <c r="J18" s="820">
        <v>0</v>
      </c>
      <c r="K18" s="821"/>
      <c r="L18" s="820">
        <v>0</v>
      </c>
      <c r="M18" s="821"/>
      <c r="N18" s="820">
        <v>338030874</v>
      </c>
      <c r="O18" s="821"/>
      <c r="P18" s="822">
        <v>1691680</v>
      </c>
    </row>
    <row r="19" spans="1:16" ht="8.25" customHeight="1">
      <c r="B19" s="820"/>
      <c r="C19" s="823"/>
      <c r="D19" s="820"/>
      <c r="E19" s="823"/>
      <c r="F19" s="820"/>
      <c r="G19" s="823"/>
      <c r="H19" s="820"/>
      <c r="I19" s="823"/>
      <c r="J19" s="820"/>
      <c r="K19" s="823"/>
      <c r="L19" s="820"/>
      <c r="M19" s="823"/>
      <c r="N19" s="820"/>
      <c r="O19" s="823"/>
      <c r="P19" s="822"/>
    </row>
    <row r="20" spans="1:16" ht="12" customHeight="1">
      <c r="A20" s="777" t="s">
        <v>73</v>
      </c>
      <c r="B20" s="820">
        <v>73336876</v>
      </c>
      <c r="C20" s="821"/>
      <c r="D20" s="820">
        <v>1613173.94</v>
      </c>
      <c r="E20" s="821"/>
      <c r="F20" s="820">
        <v>28110787</v>
      </c>
      <c r="G20" s="821"/>
      <c r="H20" s="820">
        <v>250186.02</v>
      </c>
      <c r="I20" s="821"/>
      <c r="J20" s="820">
        <v>22753443</v>
      </c>
      <c r="K20" s="821"/>
      <c r="L20" s="820">
        <v>166100.17000000001</v>
      </c>
      <c r="M20" s="821"/>
      <c r="N20" s="820">
        <v>99214574</v>
      </c>
      <c r="O20" s="821"/>
      <c r="P20" s="822">
        <v>595287.44999999995</v>
      </c>
    </row>
    <row r="21" spans="1:16" ht="12" customHeight="1">
      <c r="A21" s="777" t="s">
        <v>75</v>
      </c>
      <c r="B21" s="820">
        <v>356839104</v>
      </c>
      <c r="C21" s="821"/>
      <c r="D21" s="820">
        <v>9545365.1711999997</v>
      </c>
      <c r="E21" s="821"/>
      <c r="F21" s="820">
        <v>246466871</v>
      </c>
      <c r="G21" s="821"/>
      <c r="H21" s="820">
        <v>4436403.6780000003</v>
      </c>
      <c r="I21" s="821"/>
      <c r="J21" s="820">
        <v>0</v>
      </c>
      <c r="K21" s="821"/>
      <c r="L21" s="820">
        <v>0</v>
      </c>
      <c r="M21" s="821"/>
      <c r="N21" s="820">
        <v>394237249</v>
      </c>
      <c r="O21" s="821"/>
      <c r="P21" s="822">
        <v>3119289.5887000002</v>
      </c>
    </row>
    <row r="22" spans="1:16" ht="12" customHeight="1">
      <c r="A22" s="777" t="s">
        <v>77</v>
      </c>
      <c r="B22" s="820">
        <v>128117385</v>
      </c>
      <c r="C22" s="821"/>
      <c r="D22" s="820">
        <v>4442601.3899999997</v>
      </c>
      <c r="E22" s="821"/>
      <c r="F22" s="820">
        <v>19495420</v>
      </c>
      <c r="G22" s="821"/>
      <c r="H22" s="820">
        <v>662844.28</v>
      </c>
      <c r="I22" s="821"/>
      <c r="J22" s="820">
        <v>0</v>
      </c>
      <c r="K22" s="821"/>
      <c r="L22" s="820">
        <v>0</v>
      </c>
      <c r="M22" s="821"/>
      <c r="N22" s="820">
        <v>1024761593</v>
      </c>
      <c r="O22" s="821"/>
      <c r="P22" s="822">
        <v>5431695.1799999997</v>
      </c>
    </row>
    <row r="23" spans="1:16" ht="12" customHeight="1">
      <c r="A23" s="777" t="s">
        <v>79</v>
      </c>
      <c r="B23" s="820">
        <v>238229628</v>
      </c>
      <c r="C23" s="821"/>
      <c r="D23" s="820">
        <v>4384867.6871999996</v>
      </c>
      <c r="E23" s="821"/>
      <c r="F23" s="820">
        <v>271126122</v>
      </c>
      <c r="G23" s="821"/>
      <c r="H23" s="820">
        <v>670696.37699999998</v>
      </c>
      <c r="I23" s="821"/>
      <c r="J23" s="820">
        <v>3602843</v>
      </c>
      <c r="K23" s="821"/>
      <c r="L23" s="820">
        <v>72056.86</v>
      </c>
      <c r="M23" s="821"/>
      <c r="N23" s="820">
        <v>158170042</v>
      </c>
      <c r="O23" s="821"/>
      <c r="P23" s="822">
        <v>620560.62589999998</v>
      </c>
    </row>
    <row r="24" spans="1:16" ht="12" customHeight="1">
      <c r="A24" s="777" t="s">
        <v>81</v>
      </c>
      <c r="B24" s="820">
        <v>118984597</v>
      </c>
      <c r="C24" s="821"/>
      <c r="D24" s="820">
        <v>4470429.82</v>
      </c>
      <c r="E24" s="821"/>
      <c r="F24" s="820">
        <v>9010020</v>
      </c>
      <c r="G24" s="821"/>
      <c r="H24" s="820">
        <v>261290.58</v>
      </c>
      <c r="I24" s="821"/>
      <c r="J24" s="820">
        <v>18530910</v>
      </c>
      <c r="K24" s="821"/>
      <c r="L24" s="820">
        <v>185309.1</v>
      </c>
      <c r="M24" s="821"/>
      <c r="N24" s="820">
        <v>610816192</v>
      </c>
      <c r="O24" s="821"/>
      <c r="P24" s="822">
        <v>3361203.29</v>
      </c>
    </row>
    <row r="25" spans="1:16" ht="8.25" customHeight="1">
      <c r="B25" s="820"/>
      <c r="C25" s="821"/>
      <c r="D25" s="820"/>
      <c r="E25" s="821"/>
      <c r="F25" s="820"/>
      <c r="G25" s="821"/>
      <c r="H25" s="820"/>
      <c r="I25" s="821"/>
      <c r="J25" s="820"/>
      <c r="K25" s="821"/>
      <c r="L25" s="820"/>
      <c r="M25" s="821"/>
      <c r="N25" s="820"/>
      <c r="O25" s="821"/>
      <c r="P25" s="822"/>
    </row>
    <row r="26" spans="1:16" ht="12" customHeight="1">
      <c r="A26" s="777" t="s">
        <v>83</v>
      </c>
      <c r="B26" s="820">
        <v>404157393</v>
      </c>
      <c r="C26" s="821"/>
      <c r="D26" s="820">
        <v>16408017.509999998</v>
      </c>
      <c r="E26" s="821"/>
      <c r="F26" s="820">
        <v>189522060</v>
      </c>
      <c r="G26" s="821"/>
      <c r="H26" s="820">
        <v>6159467</v>
      </c>
      <c r="I26" s="821"/>
      <c r="J26" s="820">
        <v>0</v>
      </c>
      <c r="K26" s="821"/>
      <c r="L26" s="820">
        <v>0</v>
      </c>
      <c r="M26" s="821"/>
      <c r="N26" s="820">
        <v>412378444</v>
      </c>
      <c r="O26" s="821"/>
      <c r="P26" s="822">
        <v>2184958.5300000003</v>
      </c>
    </row>
    <row r="27" spans="1:16" ht="12" customHeight="1">
      <c r="A27" s="777" t="s">
        <v>85</v>
      </c>
      <c r="B27" s="820">
        <v>337038736</v>
      </c>
      <c r="C27" s="821"/>
      <c r="D27" s="820">
        <v>12598383.004999999</v>
      </c>
      <c r="E27" s="821"/>
      <c r="F27" s="820">
        <v>7735500</v>
      </c>
      <c r="G27" s="821"/>
      <c r="H27" s="820">
        <v>270742.5</v>
      </c>
      <c r="I27" s="821"/>
      <c r="J27" s="820">
        <v>0</v>
      </c>
      <c r="K27" s="821"/>
      <c r="L27" s="820">
        <v>0</v>
      </c>
      <c r="M27" s="821"/>
      <c r="N27" s="820">
        <v>418038530</v>
      </c>
      <c r="O27" s="821"/>
      <c r="P27" s="822">
        <v>3550869.6732999999</v>
      </c>
    </row>
    <row r="28" spans="1:16" ht="12" customHeight="1">
      <c r="A28" s="777" t="s">
        <v>87</v>
      </c>
      <c r="B28" s="820">
        <v>297040170</v>
      </c>
      <c r="C28" s="821"/>
      <c r="D28" s="820">
        <v>5636949.0999999996</v>
      </c>
      <c r="E28" s="821"/>
      <c r="F28" s="820">
        <v>55356480</v>
      </c>
      <c r="G28" s="821"/>
      <c r="H28" s="820">
        <v>968738.61</v>
      </c>
      <c r="I28" s="821"/>
      <c r="J28" s="820">
        <v>33517105</v>
      </c>
      <c r="K28" s="821"/>
      <c r="L28" s="820">
        <v>231268.18</v>
      </c>
      <c r="M28" s="821"/>
      <c r="N28" s="820">
        <v>137102552</v>
      </c>
      <c r="O28" s="821"/>
      <c r="P28" s="822">
        <v>959536.69000000006</v>
      </c>
    </row>
    <row r="29" spans="1:16" ht="12" customHeight="1">
      <c r="A29" s="777" t="s">
        <v>89</v>
      </c>
      <c r="B29" s="820">
        <v>90537583</v>
      </c>
      <c r="C29" s="821"/>
      <c r="D29" s="820">
        <v>3343862.58</v>
      </c>
      <c r="E29" s="821"/>
      <c r="F29" s="820">
        <v>6846927</v>
      </c>
      <c r="G29" s="821"/>
      <c r="H29" s="820">
        <v>205407.81</v>
      </c>
      <c r="I29" s="821"/>
      <c r="J29" s="820">
        <v>630926</v>
      </c>
      <c r="K29" s="821"/>
      <c r="L29" s="820">
        <v>17665.928</v>
      </c>
      <c r="M29" s="821"/>
      <c r="N29" s="820">
        <v>159541859</v>
      </c>
      <c r="O29" s="821"/>
      <c r="P29" s="822">
        <v>1212518.1284</v>
      </c>
    </row>
    <row r="30" spans="1:16" ht="12" customHeight="1">
      <c r="A30" s="777" t="s">
        <v>91</v>
      </c>
      <c r="B30" s="820">
        <v>112073326.40000001</v>
      </c>
      <c r="C30" s="821"/>
      <c r="D30" s="820">
        <v>4289863.9290999994</v>
      </c>
      <c r="E30" s="821"/>
      <c r="F30" s="820">
        <v>18046727.809999999</v>
      </c>
      <c r="G30" s="821"/>
      <c r="H30" s="820">
        <v>541401.83429999987</v>
      </c>
      <c r="I30" s="821"/>
      <c r="J30" s="820">
        <v>0</v>
      </c>
      <c r="K30" s="821"/>
      <c r="L30" s="820">
        <v>0</v>
      </c>
      <c r="M30" s="821"/>
      <c r="N30" s="820">
        <v>94277236</v>
      </c>
      <c r="O30" s="821"/>
      <c r="P30" s="822">
        <v>584518.86320000002</v>
      </c>
    </row>
    <row r="31" spans="1:16" ht="8.25" customHeight="1">
      <c r="B31" s="820"/>
      <c r="C31" s="823"/>
      <c r="D31" s="820"/>
      <c r="E31" s="823"/>
      <c r="F31" s="820"/>
      <c r="G31" s="823"/>
      <c r="H31" s="820"/>
      <c r="I31" s="823"/>
      <c r="J31" s="820"/>
      <c r="K31" s="823"/>
      <c r="L31" s="820"/>
      <c r="M31" s="823"/>
      <c r="N31" s="820"/>
      <c r="O31" s="823"/>
      <c r="P31" s="822"/>
    </row>
    <row r="32" spans="1:16" ht="12" customHeight="1">
      <c r="A32" s="777" t="s">
        <v>93</v>
      </c>
      <c r="B32" s="820">
        <v>4468795582</v>
      </c>
      <c r="C32" s="821"/>
      <c r="D32" s="820">
        <v>90912879.810000002</v>
      </c>
      <c r="E32" s="821"/>
      <c r="F32" s="820">
        <v>530677724</v>
      </c>
      <c r="G32" s="821"/>
      <c r="H32" s="820">
        <v>5306778</v>
      </c>
      <c r="I32" s="821"/>
      <c r="J32" s="820">
        <v>0</v>
      </c>
      <c r="K32" s="821"/>
      <c r="L32" s="820">
        <v>0</v>
      </c>
      <c r="M32" s="821"/>
      <c r="N32" s="820">
        <v>1774760170</v>
      </c>
      <c r="O32" s="821"/>
      <c r="P32" s="822">
        <v>16853607</v>
      </c>
    </row>
    <row r="33" spans="1:16" ht="12" customHeight="1">
      <c r="A33" s="777" t="s">
        <v>95</v>
      </c>
      <c r="B33" s="820">
        <v>181519679</v>
      </c>
      <c r="C33" s="821"/>
      <c r="D33" s="820">
        <v>8154942.2298400002</v>
      </c>
      <c r="E33" s="821"/>
      <c r="F33" s="820">
        <v>13206507</v>
      </c>
      <c r="G33" s="821"/>
      <c r="H33" s="820">
        <v>165081.33749999999</v>
      </c>
      <c r="I33" s="821"/>
      <c r="J33" s="820">
        <v>0</v>
      </c>
      <c r="K33" s="821"/>
      <c r="L33" s="820">
        <v>0</v>
      </c>
      <c r="M33" s="821"/>
      <c r="N33" s="820">
        <v>67952264</v>
      </c>
      <c r="O33" s="821"/>
      <c r="P33" s="822">
        <v>482461.07439999998</v>
      </c>
    </row>
    <row r="34" spans="1:16" ht="12" customHeight="1">
      <c r="A34" s="777" t="s">
        <v>97</v>
      </c>
      <c r="B34" s="820">
        <v>40259838</v>
      </c>
      <c r="C34" s="821"/>
      <c r="D34" s="820">
        <v>1306496.1900000002</v>
      </c>
      <c r="E34" s="821"/>
      <c r="F34" s="820">
        <v>2182037</v>
      </c>
      <c r="G34" s="821"/>
      <c r="H34" s="820">
        <v>48004.82</v>
      </c>
      <c r="I34" s="821"/>
      <c r="J34" s="820">
        <v>367673</v>
      </c>
      <c r="K34" s="821"/>
      <c r="L34" s="820">
        <v>12868.6</v>
      </c>
      <c r="M34" s="821"/>
      <c r="N34" s="820">
        <v>400192</v>
      </c>
      <c r="O34" s="821"/>
      <c r="P34" s="822">
        <v>14006.73</v>
      </c>
    </row>
    <row r="35" spans="1:16" ht="12" customHeight="1">
      <c r="A35" s="777" t="s">
        <v>99</v>
      </c>
      <c r="B35" s="820">
        <v>950969299</v>
      </c>
      <c r="C35" s="821"/>
      <c r="D35" s="820">
        <v>29365620.900000006</v>
      </c>
      <c r="E35" s="821"/>
      <c r="F35" s="820">
        <v>95395875</v>
      </c>
      <c r="G35" s="821"/>
      <c r="H35" s="820">
        <v>1907917.5</v>
      </c>
      <c r="I35" s="821"/>
      <c r="J35" s="820">
        <v>0</v>
      </c>
      <c r="K35" s="821"/>
      <c r="L35" s="820">
        <v>0</v>
      </c>
      <c r="M35" s="821"/>
      <c r="N35" s="820">
        <v>268521330</v>
      </c>
      <c r="O35" s="821"/>
      <c r="P35" s="822">
        <v>1760618.97</v>
      </c>
    </row>
    <row r="36" spans="1:16" ht="12" customHeight="1">
      <c r="A36" s="777" t="s">
        <v>101</v>
      </c>
      <c r="B36" s="820">
        <v>73889768</v>
      </c>
      <c r="C36" s="821"/>
      <c r="D36" s="820">
        <v>3059270.39</v>
      </c>
      <c r="E36" s="821"/>
      <c r="F36" s="820">
        <v>6316950</v>
      </c>
      <c r="G36" s="821"/>
      <c r="H36" s="820">
        <v>236885.62</v>
      </c>
      <c r="I36" s="821"/>
      <c r="J36" s="820">
        <v>0</v>
      </c>
      <c r="K36" s="821"/>
      <c r="L36" s="820">
        <v>0</v>
      </c>
      <c r="M36" s="821"/>
      <c r="N36" s="820">
        <v>112585165</v>
      </c>
      <c r="O36" s="821"/>
      <c r="P36" s="822">
        <v>886991.03</v>
      </c>
    </row>
    <row r="37" spans="1:16" ht="8.25" customHeight="1">
      <c r="B37" s="820"/>
      <c r="C37" s="821"/>
      <c r="D37" s="820"/>
      <c r="E37" s="821"/>
      <c r="F37" s="820"/>
      <c r="G37" s="821"/>
      <c r="H37" s="820"/>
      <c r="I37" s="821"/>
      <c r="J37" s="824"/>
      <c r="K37" s="821"/>
      <c r="L37" s="824"/>
      <c r="M37" s="821"/>
      <c r="N37" s="820"/>
      <c r="O37" s="821"/>
      <c r="P37" s="822"/>
    </row>
    <row r="38" spans="1:16" ht="12" customHeight="1">
      <c r="A38" s="777" t="s">
        <v>103</v>
      </c>
      <c r="B38" s="820">
        <v>118008511</v>
      </c>
      <c r="C38" s="821"/>
      <c r="D38" s="820">
        <v>2043765</v>
      </c>
      <c r="E38" s="821"/>
      <c r="F38" s="820">
        <v>81006466</v>
      </c>
      <c r="G38" s="821"/>
      <c r="H38" s="820">
        <v>1498619.62</v>
      </c>
      <c r="I38" s="821"/>
      <c r="J38" s="820">
        <v>884919</v>
      </c>
      <c r="K38" s="821"/>
      <c r="L38" s="820">
        <v>92916.69</v>
      </c>
      <c r="M38" s="821"/>
      <c r="N38" s="820">
        <v>119034999</v>
      </c>
      <c r="O38" s="821"/>
      <c r="P38" s="822">
        <v>716216.05999999994</v>
      </c>
    </row>
    <row r="39" spans="1:16" ht="12" customHeight="1">
      <c r="A39" s="777" t="s">
        <v>105</v>
      </c>
      <c r="B39" s="820">
        <v>277683945</v>
      </c>
      <c r="C39" s="821"/>
      <c r="D39" s="820">
        <v>12044238.58</v>
      </c>
      <c r="E39" s="821"/>
      <c r="F39" s="820">
        <v>105351429</v>
      </c>
      <c r="G39" s="821"/>
      <c r="H39" s="820">
        <v>3468619.87</v>
      </c>
      <c r="I39" s="821"/>
      <c r="J39" s="820">
        <v>0</v>
      </c>
      <c r="K39" s="821"/>
      <c r="L39" s="820">
        <v>0</v>
      </c>
      <c r="M39" s="821"/>
      <c r="N39" s="820">
        <v>224625992</v>
      </c>
      <c r="O39" s="821"/>
      <c r="P39" s="822">
        <v>1782826.0099999998</v>
      </c>
    </row>
    <row r="40" spans="1:16" ht="12" customHeight="1">
      <c r="A40" s="777" t="s">
        <v>107</v>
      </c>
      <c r="B40" s="820">
        <v>141395174</v>
      </c>
      <c r="C40" s="821"/>
      <c r="D40" s="820">
        <v>4471127.2176000001</v>
      </c>
      <c r="E40" s="821"/>
      <c r="F40" s="820">
        <v>6805175</v>
      </c>
      <c r="G40" s="821"/>
      <c r="H40" s="820">
        <v>81662.100000000006</v>
      </c>
      <c r="I40" s="821"/>
      <c r="J40" s="820">
        <v>2481440</v>
      </c>
      <c r="K40" s="821"/>
      <c r="L40" s="820">
        <v>93054</v>
      </c>
      <c r="M40" s="821"/>
      <c r="N40" s="820">
        <v>45301553</v>
      </c>
      <c r="O40" s="821"/>
      <c r="P40" s="822">
        <v>398858.77520000003</v>
      </c>
    </row>
    <row r="41" spans="1:16" ht="12" customHeight="1">
      <c r="A41" s="777" t="s">
        <v>109</v>
      </c>
      <c r="B41" s="820">
        <v>15420863641</v>
      </c>
      <c r="C41" s="821"/>
      <c r="D41" s="820">
        <v>701029765.94169998</v>
      </c>
      <c r="E41" s="821"/>
      <c r="F41" s="820">
        <v>28399028</v>
      </c>
      <c r="G41" s="821"/>
      <c r="H41" s="820">
        <v>1297835.5796000001</v>
      </c>
      <c r="I41" s="821"/>
      <c r="J41" s="820">
        <v>0</v>
      </c>
      <c r="K41" s="821"/>
      <c r="L41" s="820">
        <v>0</v>
      </c>
      <c r="M41" s="821"/>
      <c r="N41" s="820">
        <v>4174740736</v>
      </c>
      <c r="O41" s="821"/>
      <c r="P41" s="822">
        <v>48229418.991999999</v>
      </c>
    </row>
    <row r="42" spans="1:16" ht="12" customHeight="1">
      <c r="A42" s="777" t="s">
        <v>111</v>
      </c>
      <c r="B42" s="820">
        <v>1149259013</v>
      </c>
      <c r="C42" s="821"/>
      <c r="D42" s="820">
        <v>42708860.539999992</v>
      </c>
      <c r="E42" s="821"/>
      <c r="F42" s="820">
        <v>16266517</v>
      </c>
      <c r="G42" s="821"/>
      <c r="H42" s="820">
        <v>374129.99</v>
      </c>
      <c r="I42" s="821"/>
      <c r="J42" s="820">
        <v>0</v>
      </c>
      <c r="K42" s="821"/>
      <c r="L42" s="820">
        <v>0</v>
      </c>
      <c r="M42" s="821"/>
      <c r="N42" s="820">
        <v>738721754</v>
      </c>
      <c r="O42" s="821"/>
      <c r="P42" s="822">
        <v>7346495.7237999998</v>
      </c>
    </row>
    <row r="43" spans="1:16" ht="14">
      <c r="A43" s="809" t="s">
        <v>868</v>
      </c>
      <c r="B43" s="810"/>
      <c r="C43" s="791"/>
      <c r="D43" s="810"/>
      <c r="E43" s="791"/>
      <c r="F43" s="810"/>
      <c r="G43" s="791"/>
      <c r="H43" s="810"/>
      <c r="I43" s="791"/>
      <c r="J43" s="810"/>
      <c r="K43" s="791"/>
      <c r="L43" s="810"/>
      <c r="M43" s="791"/>
      <c r="N43" s="810"/>
      <c r="O43" s="791"/>
      <c r="P43" s="810"/>
    </row>
    <row r="44" spans="1:16" ht="13">
      <c r="A44" s="811" t="s">
        <v>861</v>
      </c>
      <c r="B44" s="812"/>
      <c r="C44" s="812"/>
      <c r="D44" s="812"/>
      <c r="E44" s="812"/>
      <c r="F44" s="812"/>
      <c r="G44" s="812"/>
      <c r="H44" s="812"/>
      <c r="I44" s="812"/>
      <c r="J44" s="812"/>
      <c r="K44" s="812"/>
      <c r="L44" s="812"/>
      <c r="M44" s="812"/>
      <c r="N44" s="812"/>
      <c r="O44" s="812"/>
      <c r="P44" s="812"/>
    </row>
    <row r="45" spans="1:16" ht="13">
      <c r="A45" s="813" t="s">
        <v>903</v>
      </c>
      <c r="B45" s="814"/>
      <c r="C45" s="814"/>
      <c r="D45" s="814"/>
      <c r="E45" s="814"/>
      <c r="F45" s="814"/>
      <c r="G45" s="814"/>
      <c r="H45" s="814"/>
      <c r="I45" s="814"/>
      <c r="J45" s="814"/>
      <c r="K45" s="814"/>
      <c r="L45" s="814"/>
      <c r="M45" s="814"/>
      <c r="N45" s="814"/>
      <c r="O45" s="814"/>
      <c r="P45" s="814"/>
    </row>
    <row r="46" spans="1:16" ht="11.25" customHeight="1" thickBot="1">
      <c r="A46" s="778"/>
      <c r="B46" s="778"/>
      <c r="C46" s="778"/>
      <c r="D46" s="778"/>
      <c r="E46" s="778"/>
      <c r="F46" s="778"/>
      <c r="G46" s="778"/>
      <c r="H46" s="778"/>
      <c r="I46" s="778"/>
      <c r="J46" s="778"/>
      <c r="K46" s="778"/>
      <c r="L46" s="778"/>
      <c r="M46" s="778"/>
      <c r="N46" s="778"/>
      <c r="O46" s="778"/>
      <c r="P46" s="778"/>
    </row>
    <row r="47" spans="1:16" ht="14.25" customHeight="1">
      <c r="A47" s="791"/>
      <c r="B47" s="1967" t="s">
        <v>862</v>
      </c>
      <c r="C47" s="1967"/>
      <c r="D47" s="1967"/>
      <c r="E47" s="791"/>
      <c r="F47" s="1967" t="s">
        <v>863</v>
      </c>
      <c r="G47" s="1967"/>
      <c r="H47" s="1967"/>
      <c r="I47" s="791"/>
      <c r="J47" s="1967" t="s">
        <v>864</v>
      </c>
      <c r="K47" s="1967"/>
      <c r="L47" s="1967"/>
      <c r="M47" s="791"/>
      <c r="N47" s="1967" t="s">
        <v>865</v>
      </c>
      <c r="O47" s="1967"/>
      <c r="P47" s="1967"/>
    </row>
    <row r="48" spans="1:16" ht="12" customHeight="1">
      <c r="A48" s="815" t="s">
        <v>21</v>
      </c>
      <c r="B48" s="816" t="s">
        <v>866</v>
      </c>
      <c r="C48" s="779"/>
      <c r="D48" s="816" t="s">
        <v>867</v>
      </c>
      <c r="E48" s="779"/>
      <c r="F48" s="816" t="s">
        <v>866</v>
      </c>
      <c r="G48" s="779"/>
      <c r="H48" s="816" t="s">
        <v>867</v>
      </c>
      <c r="I48" s="779"/>
      <c r="J48" s="816" t="s">
        <v>866</v>
      </c>
      <c r="K48" s="779"/>
      <c r="L48" s="816" t="s">
        <v>867</v>
      </c>
      <c r="M48" s="779"/>
      <c r="N48" s="816" t="s">
        <v>866</v>
      </c>
      <c r="O48" s="779"/>
      <c r="P48" s="816" t="s">
        <v>867</v>
      </c>
    </row>
    <row r="49" spans="1:16" ht="8.25" customHeight="1">
      <c r="B49" s="820"/>
      <c r="C49" s="823"/>
      <c r="D49" s="820"/>
      <c r="E49" s="823"/>
      <c r="F49" s="820"/>
      <c r="G49" s="823"/>
      <c r="H49" s="820"/>
      <c r="I49" s="823"/>
      <c r="J49" s="820"/>
      <c r="K49" s="823"/>
      <c r="L49" s="820"/>
      <c r="M49" s="823"/>
      <c r="N49" s="820"/>
      <c r="O49" s="823"/>
      <c r="P49" s="822"/>
    </row>
    <row r="50" spans="1:16" ht="12" customHeight="1">
      <c r="A50" s="777" t="s">
        <v>113</v>
      </c>
      <c r="B50" s="817">
        <v>131580691</v>
      </c>
      <c r="C50" s="818"/>
      <c r="D50" s="817">
        <v>3655334.0795000005</v>
      </c>
      <c r="E50" s="818"/>
      <c r="F50" s="817">
        <v>17307927</v>
      </c>
      <c r="G50" s="818"/>
      <c r="H50" s="817">
        <v>268272.86849999998</v>
      </c>
      <c r="I50" s="818"/>
      <c r="J50" s="817">
        <v>2153388</v>
      </c>
      <c r="K50" s="818"/>
      <c r="L50" s="817">
        <v>75368.58</v>
      </c>
      <c r="M50" s="818"/>
      <c r="N50" s="817">
        <v>60073354</v>
      </c>
      <c r="O50" s="818"/>
      <c r="P50" s="819">
        <v>371541.52399999998</v>
      </c>
    </row>
    <row r="51" spans="1:16" ht="12" customHeight="1">
      <c r="A51" s="777" t="s">
        <v>115</v>
      </c>
      <c r="B51" s="820">
        <v>236697213</v>
      </c>
      <c r="C51" s="821"/>
      <c r="D51" s="820">
        <v>10222350.75</v>
      </c>
      <c r="E51" s="821"/>
      <c r="F51" s="820">
        <v>590595</v>
      </c>
      <c r="G51" s="821"/>
      <c r="H51" s="820">
        <v>11221.3</v>
      </c>
      <c r="I51" s="821"/>
      <c r="J51" s="820">
        <v>12841686</v>
      </c>
      <c r="K51" s="821"/>
      <c r="L51" s="820">
        <v>372408.89</v>
      </c>
      <c r="M51" s="821"/>
      <c r="N51" s="820">
        <v>575551601</v>
      </c>
      <c r="O51" s="821"/>
      <c r="P51" s="822">
        <v>5364821.1700000009</v>
      </c>
    </row>
    <row r="52" spans="1:16" s="753" customFormat="1" ht="12" customHeight="1">
      <c r="A52" s="825" t="s">
        <v>24</v>
      </c>
      <c r="B52" s="820">
        <v>663112681</v>
      </c>
      <c r="C52" s="826"/>
      <c r="D52" s="820">
        <v>15269989.310000001</v>
      </c>
      <c r="E52" s="826"/>
      <c r="F52" s="820">
        <v>132597424</v>
      </c>
      <c r="G52" s="826"/>
      <c r="H52" s="820">
        <v>928182.05</v>
      </c>
      <c r="I52" s="826"/>
      <c r="J52" s="820">
        <v>78239240</v>
      </c>
      <c r="K52" s="826"/>
      <c r="L52" s="820">
        <v>844983.83</v>
      </c>
      <c r="M52" s="826"/>
      <c r="N52" s="820">
        <v>179241818</v>
      </c>
      <c r="O52" s="826"/>
      <c r="P52" s="822">
        <v>1100450.1399999999</v>
      </c>
    </row>
    <row r="53" spans="1:16" ht="12" customHeight="1">
      <c r="A53" s="777" t="s">
        <v>118</v>
      </c>
      <c r="B53" s="820">
        <v>1133847750</v>
      </c>
      <c r="C53" s="821"/>
      <c r="D53" s="820">
        <v>52008092.899999999</v>
      </c>
      <c r="E53" s="821"/>
      <c r="F53" s="820">
        <v>406949415</v>
      </c>
      <c r="G53" s="821"/>
      <c r="H53" s="820">
        <v>8138988.2999999998</v>
      </c>
      <c r="I53" s="821"/>
      <c r="J53" s="820">
        <v>0</v>
      </c>
      <c r="K53" s="821"/>
      <c r="L53" s="820">
        <v>0</v>
      </c>
      <c r="M53" s="821"/>
      <c r="N53" s="820">
        <v>405888133</v>
      </c>
      <c r="O53" s="821"/>
      <c r="P53" s="822">
        <v>2538511.8400000003</v>
      </c>
    </row>
    <row r="54" spans="1:16" ht="12" customHeight="1">
      <c r="A54" s="777" t="s">
        <v>120</v>
      </c>
      <c r="B54" s="820">
        <v>202559270</v>
      </c>
      <c r="C54" s="821"/>
      <c r="D54" s="820">
        <v>3978677.27</v>
      </c>
      <c r="E54" s="821"/>
      <c r="F54" s="820">
        <v>260510116</v>
      </c>
      <c r="G54" s="821"/>
      <c r="H54" s="820">
        <v>5262304.3600000003</v>
      </c>
      <c r="I54" s="821"/>
      <c r="J54" s="820">
        <v>25340459</v>
      </c>
      <c r="K54" s="821"/>
      <c r="L54" s="820">
        <v>210325.81</v>
      </c>
      <c r="M54" s="821"/>
      <c r="N54" s="820">
        <v>115917047</v>
      </c>
      <c r="O54" s="821"/>
      <c r="P54" s="822">
        <v>780051.49</v>
      </c>
    </row>
    <row r="55" spans="1:16" ht="8.25" customHeight="1">
      <c r="B55" s="820"/>
      <c r="C55" s="821"/>
      <c r="D55" s="820"/>
      <c r="E55" s="821"/>
      <c r="F55" s="820"/>
      <c r="G55" s="821"/>
      <c r="H55" s="820"/>
      <c r="I55" s="821"/>
      <c r="J55" s="820"/>
      <c r="K55" s="821"/>
      <c r="L55" s="820"/>
      <c r="M55" s="821"/>
      <c r="N55" s="820"/>
      <c r="O55" s="821"/>
      <c r="P55" s="822"/>
    </row>
    <row r="56" spans="1:16" s="751" customFormat="1" ht="12" customHeight="1">
      <c r="A56" s="827" t="s">
        <v>55</v>
      </c>
      <c r="B56" s="820">
        <v>510481624</v>
      </c>
      <c r="C56" s="826"/>
      <c r="D56" s="820">
        <v>13614018.682300001</v>
      </c>
      <c r="E56" s="826"/>
      <c r="F56" s="820">
        <v>9117208</v>
      </c>
      <c r="G56" s="826"/>
      <c r="H56" s="820">
        <v>268957.636</v>
      </c>
      <c r="I56" s="826"/>
      <c r="J56" s="820">
        <v>0</v>
      </c>
      <c r="K56" s="826"/>
      <c r="L56" s="820">
        <v>0</v>
      </c>
      <c r="M56" s="826"/>
      <c r="N56" s="820">
        <v>147547319</v>
      </c>
      <c r="O56" s="826"/>
      <c r="P56" s="822">
        <v>1027727.3806</v>
      </c>
    </row>
    <row r="57" spans="1:16" s="751" customFormat="1" ht="12" customHeight="1">
      <c r="A57" s="827" t="s">
        <v>57</v>
      </c>
      <c r="B57" s="820">
        <v>543971378</v>
      </c>
      <c r="C57" s="826"/>
      <c r="D57" s="820">
        <v>21431263.940000001</v>
      </c>
      <c r="E57" s="826"/>
      <c r="F57" s="820">
        <v>47075783</v>
      </c>
      <c r="G57" s="826"/>
      <c r="H57" s="820">
        <v>470757.83</v>
      </c>
      <c r="I57" s="826"/>
      <c r="J57" s="820">
        <v>0</v>
      </c>
      <c r="K57" s="826"/>
      <c r="L57" s="820">
        <v>0</v>
      </c>
      <c r="M57" s="826"/>
      <c r="N57" s="820">
        <v>93048545</v>
      </c>
      <c r="O57" s="826"/>
      <c r="P57" s="822">
        <v>511069.35000000003</v>
      </c>
    </row>
    <row r="58" spans="1:16" s="751" customFormat="1" ht="12" customHeight="1">
      <c r="A58" s="827" t="s">
        <v>59</v>
      </c>
      <c r="B58" s="820">
        <v>127786990</v>
      </c>
      <c r="C58" s="826"/>
      <c r="D58" s="820">
        <v>2178719.0300000003</v>
      </c>
      <c r="E58" s="826"/>
      <c r="F58" s="820">
        <v>21724721</v>
      </c>
      <c r="G58" s="826"/>
      <c r="H58" s="820">
        <v>380182.62</v>
      </c>
      <c r="I58" s="826"/>
      <c r="J58" s="820">
        <v>796294</v>
      </c>
      <c r="K58" s="826"/>
      <c r="L58" s="820">
        <v>53351.7</v>
      </c>
      <c r="M58" s="826"/>
      <c r="N58" s="820">
        <v>58454919</v>
      </c>
      <c r="O58" s="826"/>
      <c r="P58" s="822">
        <v>327347.55</v>
      </c>
    </row>
    <row r="59" spans="1:16" ht="12" customHeight="1">
      <c r="A59" s="777" t="s">
        <v>61</v>
      </c>
      <c r="B59" s="820">
        <v>146184766</v>
      </c>
      <c r="C59" s="821"/>
      <c r="D59" s="820">
        <v>7007003.3999999994</v>
      </c>
      <c r="E59" s="821"/>
      <c r="F59" s="820">
        <v>9207972</v>
      </c>
      <c r="G59" s="821"/>
      <c r="H59" s="820">
        <v>230199.3</v>
      </c>
      <c r="I59" s="821"/>
      <c r="J59" s="820">
        <v>0</v>
      </c>
      <c r="K59" s="821"/>
      <c r="L59" s="820">
        <v>0</v>
      </c>
      <c r="M59" s="821"/>
      <c r="N59" s="820">
        <v>58478798</v>
      </c>
      <c r="O59" s="821"/>
      <c r="P59" s="822">
        <v>479526.14</v>
      </c>
    </row>
    <row r="60" spans="1:16" ht="12" customHeight="1">
      <c r="A60" s="782" t="s">
        <v>63</v>
      </c>
      <c r="B60" s="820">
        <v>71156050</v>
      </c>
      <c r="C60" s="826"/>
      <c r="D60" s="820">
        <v>3325374.1100000003</v>
      </c>
      <c r="E60" s="826"/>
      <c r="F60" s="820">
        <v>24115970</v>
      </c>
      <c r="G60" s="826"/>
      <c r="H60" s="820">
        <v>964638.8</v>
      </c>
      <c r="I60" s="826"/>
      <c r="J60" s="820">
        <v>0</v>
      </c>
      <c r="K60" s="828"/>
      <c r="L60" s="820">
        <v>0</v>
      </c>
      <c r="M60" s="828"/>
      <c r="N60" s="820">
        <v>955974281</v>
      </c>
      <c r="O60" s="826"/>
      <c r="P60" s="822">
        <v>6439318.6400000006</v>
      </c>
    </row>
    <row r="61" spans="1:16" ht="8.25" customHeight="1">
      <c r="B61" s="777"/>
      <c r="D61" s="777"/>
      <c r="F61" s="777"/>
      <c r="H61" s="777"/>
      <c r="J61" s="777"/>
      <c r="L61" s="777"/>
      <c r="N61" s="777"/>
      <c r="P61" s="777"/>
    </row>
    <row r="62" spans="1:16" ht="12" customHeight="1">
      <c r="A62" s="777" t="s">
        <v>328</v>
      </c>
      <c r="B62" s="822">
        <v>274897100</v>
      </c>
      <c r="C62" s="829"/>
      <c r="D62" s="822">
        <v>9694647.2300000004</v>
      </c>
      <c r="E62" s="822"/>
      <c r="F62" s="822">
        <v>121191900</v>
      </c>
      <c r="G62" s="822"/>
      <c r="H62" s="822">
        <v>1527017.94</v>
      </c>
      <c r="I62" s="822"/>
      <c r="J62" s="822">
        <v>0</v>
      </c>
      <c r="K62" s="830"/>
      <c r="L62" s="822">
        <v>0</v>
      </c>
      <c r="M62" s="830"/>
      <c r="N62" s="822">
        <v>1087342959</v>
      </c>
      <c r="O62" s="822"/>
      <c r="P62" s="822">
        <v>5454617.3300000001</v>
      </c>
    </row>
    <row r="63" spans="1:16" ht="12" customHeight="1">
      <c r="A63" s="777" t="s">
        <v>67</v>
      </c>
      <c r="B63" s="820">
        <v>1791291203.5899999</v>
      </c>
      <c r="C63" s="826"/>
      <c r="D63" s="820">
        <v>56123283.999999993</v>
      </c>
      <c r="E63" s="826"/>
      <c r="F63" s="820">
        <v>56346964.689999998</v>
      </c>
      <c r="G63" s="826"/>
      <c r="H63" s="820">
        <v>2010179.52</v>
      </c>
      <c r="I63" s="826"/>
      <c r="J63" s="820">
        <v>87540555.709999993</v>
      </c>
      <c r="K63" s="826"/>
      <c r="L63" s="820">
        <v>1663478.55</v>
      </c>
      <c r="M63" s="826"/>
      <c r="N63" s="820">
        <v>770850468</v>
      </c>
      <c r="O63" s="826"/>
      <c r="P63" s="822">
        <v>6433877.4399999995</v>
      </c>
    </row>
    <row r="64" spans="1:16" ht="12" customHeight="1">
      <c r="A64" s="777" t="s">
        <v>69</v>
      </c>
      <c r="B64" s="820">
        <v>4213909674</v>
      </c>
      <c r="C64" s="826"/>
      <c r="D64" s="820">
        <v>128827390</v>
      </c>
      <c r="E64" s="826"/>
      <c r="F64" s="820">
        <v>289496363</v>
      </c>
      <c r="G64" s="826"/>
      <c r="H64" s="820">
        <v>868489</v>
      </c>
      <c r="I64" s="826"/>
      <c r="J64" s="820">
        <v>0</v>
      </c>
      <c r="K64" s="828"/>
      <c r="L64" s="820">
        <v>0</v>
      </c>
      <c r="M64" s="828"/>
      <c r="N64" s="820">
        <v>1164433236</v>
      </c>
      <c r="O64" s="826"/>
      <c r="P64" s="822">
        <v>10183007</v>
      </c>
    </row>
    <row r="65" spans="1:16" ht="12" customHeight="1">
      <c r="A65" s="777" t="s">
        <v>71</v>
      </c>
      <c r="B65" s="820">
        <v>462881447</v>
      </c>
      <c r="C65" s="826"/>
      <c r="D65" s="820">
        <v>6947548</v>
      </c>
      <c r="E65" s="826"/>
      <c r="F65" s="820">
        <v>338244156</v>
      </c>
      <c r="G65" s="826"/>
      <c r="H65" s="820">
        <v>5242784</v>
      </c>
      <c r="I65" s="826"/>
      <c r="J65" s="820">
        <v>0</v>
      </c>
      <c r="K65" s="828"/>
      <c r="L65" s="820">
        <v>0</v>
      </c>
      <c r="M65" s="828"/>
      <c r="N65" s="820">
        <v>196870290</v>
      </c>
      <c r="O65" s="826"/>
      <c r="P65" s="822">
        <v>1094040.44</v>
      </c>
    </row>
    <row r="66" spans="1:16" ht="12" customHeight="1">
      <c r="A66" s="777" t="s">
        <v>72</v>
      </c>
      <c r="B66" s="820">
        <v>24272628</v>
      </c>
      <c r="C66" s="821"/>
      <c r="D66" s="820">
        <v>652088.51</v>
      </c>
      <c r="E66" s="821"/>
      <c r="F66" s="820">
        <v>113772</v>
      </c>
      <c r="G66" s="821"/>
      <c r="H66" s="820">
        <v>1137.72</v>
      </c>
      <c r="I66" s="821"/>
      <c r="J66" s="820">
        <v>339413</v>
      </c>
      <c r="K66" s="821"/>
      <c r="L66" s="820">
        <v>3394.13</v>
      </c>
      <c r="M66" s="821"/>
      <c r="N66" s="820">
        <v>24063134</v>
      </c>
      <c r="O66" s="821"/>
      <c r="P66" s="822">
        <v>119282.03289999999</v>
      </c>
    </row>
    <row r="67" spans="1:16" ht="8.25" customHeight="1">
      <c r="B67" s="820"/>
      <c r="C67" s="821"/>
      <c r="D67" s="820"/>
      <c r="E67" s="821"/>
      <c r="F67" s="820"/>
      <c r="G67" s="821"/>
      <c r="H67" s="820"/>
      <c r="I67" s="821"/>
      <c r="J67" s="820"/>
      <c r="K67" s="821"/>
      <c r="L67" s="820"/>
      <c r="M67" s="821"/>
      <c r="N67" s="820"/>
      <c r="O67" s="821"/>
      <c r="P67" s="822"/>
    </row>
    <row r="68" spans="1:16" ht="12" customHeight="1">
      <c r="A68" s="777" t="s">
        <v>74</v>
      </c>
      <c r="B68" s="820">
        <v>376683327</v>
      </c>
      <c r="C68" s="821"/>
      <c r="D68" s="820">
        <v>15941736.008000001</v>
      </c>
      <c r="E68" s="821"/>
      <c r="F68" s="820">
        <v>285002834</v>
      </c>
      <c r="G68" s="821"/>
      <c r="H68" s="820">
        <v>4987549.5949999997</v>
      </c>
      <c r="I68" s="821"/>
      <c r="J68" s="820">
        <v>0</v>
      </c>
      <c r="K68" s="821"/>
      <c r="L68" s="820">
        <v>0</v>
      </c>
      <c r="M68" s="821"/>
      <c r="N68" s="820">
        <v>863553</v>
      </c>
      <c r="O68" s="821"/>
      <c r="P68" s="822">
        <v>38859.885000000002</v>
      </c>
    </row>
    <row r="69" spans="1:16" ht="12" customHeight="1">
      <c r="A69" s="777" t="s">
        <v>914</v>
      </c>
      <c r="B69" s="820">
        <v>887639206</v>
      </c>
      <c r="C69" s="821"/>
      <c r="D69" s="820">
        <v>34396220</v>
      </c>
      <c r="E69" s="821"/>
      <c r="F69" s="820">
        <v>151207956</v>
      </c>
      <c r="G69" s="821"/>
      <c r="H69" s="820">
        <v>6069230</v>
      </c>
      <c r="I69" s="821"/>
      <c r="J69" s="820">
        <v>0</v>
      </c>
      <c r="K69" s="821"/>
      <c r="L69" s="820">
        <v>0</v>
      </c>
      <c r="M69" s="821"/>
      <c r="N69" s="820">
        <v>262267902</v>
      </c>
      <c r="O69" s="821"/>
      <c r="P69" s="822">
        <v>2209163</v>
      </c>
    </row>
    <row r="70" spans="1:16" ht="12" customHeight="1">
      <c r="A70" s="777" t="s">
        <v>78</v>
      </c>
      <c r="B70" s="820">
        <v>100753547</v>
      </c>
      <c r="C70" s="821"/>
      <c r="D70" s="820">
        <v>30671.931858999993</v>
      </c>
      <c r="E70" s="821"/>
      <c r="F70" s="820">
        <v>11678015</v>
      </c>
      <c r="G70" s="821"/>
      <c r="H70" s="820">
        <v>1284.5816499999999</v>
      </c>
      <c r="I70" s="821"/>
      <c r="J70" s="820">
        <v>6804866</v>
      </c>
      <c r="K70" s="821"/>
      <c r="L70" s="820">
        <v>442.31628999999998</v>
      </c>
      <c r="M70" s="821"/>
      <c r="N70" s="820">
        <v>32038265</v>
      </c>
      <c r="O70" s="821"/>
      <c r="P70" s="822">
        <v>1670.166626</v>
      </c>
    </row>
    <row r="71" spans="1:16" ht="12" customHeight="1">
      <c r="A71" s="777" t="s">
        <v>80</v>
      </c>
      <c r="B71" s="820">
        <v>277704377</v>
      </c>
      <c r="C71" s="826"/>
      <c r="D71" s="820">
        <v>9617240.9500000011</v>
      </c>
      <c r="E71" s="826"/>
      <c r="F71" s="820">
        <v>7324571</v>
      </c>
      <c r="G71" s="826"/>
      <c r="H71" s="820">
        <v>183114.34</v>
      </c>
      <c r="I71" s="826"/>
      <c r="J71" s="820">
        <v>0</v>
      </c>
      <c r="K71" s="828"/>
      <c r="L71" s="820">
        <v>0</v>
      </c>
      <c r="M71" s="828"/>
      <c r="N71" s="820">
        <v>255843825</v>
      </c>
      <c r="O71" s="826"/>
      <c r="P71" s="822">
        <v>1796653.43</v>
      </c>
    </row>
    <row r="72" spans="1:16" ht="12" customHeight="1">
      <c r="A72" s="777" t="s">
        <v>364</v>
      </c>
      <c r="B72" s="820">
        <v>132155856</v>
      </c>
      <c r="C72" s="826"/>
      <c r="D72" s="820">
        <v>486980.73</v>
      </c>
      <c r="E72" s="826"/>
      <c r="F72" s="820">
        <v>23780554</v>
      </c>
      <c r="G72" s="826"/>
      <c r="H72" s="820">
        <v>535063</v>
      </c>
      <c r="I72" s="826"/>
      <c r="J72" s="820">
        <v>0</v>
      </c>
      <c r="K72" s="826"/>
      <c r="L72" s="820">
        <v>0</v>
      </c>
      <c r="M72" s="826"/>
      <c r="N72" s="820">
        <v>39636899</v>
      </c>
      <c r="O72" s="826"/>
      <c r="P72" s="822">
        <v>342916.18</v>
      </c>
    </row>
    <row r="73" spans="1:16" ht="8.25" customHeight="1">
      <c r="B73" s="820"/>
      <c r="C73" s="823"/>
      <c r="D73" s="820"/>
      <c r="E73" s="823"/>
      <c r="F73" s="820"/>
      <c r="G73" s="823"/>
      <c r="H73" s="820"/>
      <c r="I73" s="823"/>
      <c r="J73" s="820"/>
      <c r="K73" s="823"/>
      <c r="L73" s="820"/>
      <c r="M73" s="823"/>
      <c r="N73" s="820"/>
      <c r="O73" s="823"/>
      <c r="P73" s="822"/>
    </row>
    <row r="74" spans="1:16" ht="12" customHeight="1">
      <c r="A74" s="777" t="s">
        <v>84</v>
      </c>
      <c r="B74" s="820">
        <v>126788980</v>
      </c>
      <c r="C74" s="826"/>
      <c r="D74" s="820">
        <v>2418796.89</v>
      </c>
      <c r="E74" s="826"/>
      <c r="F74" s="820">
        <v>435750</v>
      </c>
      <c r="G74" s="826"/>
      <c r="H74" s="820">
        <v>6623.4</v>
      </c>
      <c r="I74" s="826"/>
      <c r="J74" s="820">
        <v>11372483</v>
      </c>
      <c r="K74" s="826"/>
      <c r="L74" s="820">
        <v>113724.83</v>
      </c>
      <c r="M74" s="826"/>
      <c r="N74" s="820">
        <v>67710661</v>
      </c>
      <c r="O74" s="826"/>
      <c r="P74" s="822">
        <v>427328.62</v>
      </c>
    </row>
    <row r="75" spans="1:16">
      <c r="A75" s="777" t="s">
        <v>86</v>
      </c>
      <c r="B75" s="820">
        <v>171273811</v>
      </c>
      <c r="C75" s="826"/>
      <c r="D75" s="820">
        <v>3183455.8000000003</v>
      </c>
      <c r="E75" s="826"/>
      <c r="F75" s="820">
        <v>31255386</v>
      </c>
      <c r="G75" s="826"/>
      <c r="H75" s="820">
        <v>625107.72</v>
      </c>
      <c r="I75" s="828"/>
      <c r="J75" s="820">
        <v>5144914</v>
      </c>
      <c r="K75" s="826"/>
      <c r="L75" s="820">
        <v>72543.31</v>
      </c>
      <c r="M75" s="826"/>
      <c r="N75" s="820">
        <v>87233857</v>
      </c>
      <c r="O75" s="826"/>
      <c r="P75" s="822">
        <v>544105.70000000007</v>
      </c>
    </row>
    <row r="76" spans="1:16" ht="12" customHeight="1">
      <c r="A76" s="777" t="s">
        <v>88</v>
      </c>
      <c r="B76" s="820">
        <v>12304315280</v>
      </c>
      <c r="C76" s="826">
        <v>26650663690</v>
      </c>
      <c r="D76" s="820">
        <v>492597258.4817</v>
      </c>
      <c r="E76" s="826"/>
      <c r="F76" s="820">
        <v>138655406</v>
      </c>
      <c r="G76" s="826">
        <v>879165274.00349987</v>
      </c>
      <c r="H76" s="820">
        <v>4422740.4525000006</v>
      </c>
      <c r="I76" s="826"/>
      <c r="J76" s="820">
        <v>0</v>
      </c>
      <c r="K76" s="828"/>
      <c r="L76" s="820">
        <v>0</v>
      </c>
      <c r="M76" s="828"/>
      <c r="N76" s="820">
        <v>3072880245</v>
      </c>
      <c r="O76" s="826"/>
      <c r="P76" s="822">
        <v>32162569.099649999</v>
      </c>
    </row>
    <row r="77" spans="1:16" ht="12" customHeight="1">
      <c r="A77" s="777" t="s">
        <v>90</v>
      </c>
      <c r="B77" s="820">
        <v>466996995</v>
      </c>
      <c r="C77" s="826"/>
      <c r="D77" s="820">
        <v>10519539.816500001</v>
      </c>
      <c r="E77" s="826"/>
      <c r="F77" s="820">
        <v>16737005</v>
      </c>
      <c r="G77" s="826"/>
      <c r="H77" s="820">
        <v>0</v>
      </c>
      <c r="I77" s="826"/>
      <c r="J77" s="820">
        <v>76979270</v>
      </c>
      <c r="K77" s="826"/>
      <c r="L77" s="820">
        <v>500365.255</v>
      </c>
      <c r="M77" s="826"/>
      <c r="N77" s="820">
        <v>2310302210</v>
      </c>
      <c r="O77" s="826"/>
      <c r="P77" s="822">
        <v>16643551.955</v>
      </c>
    </row>
    <row r="78" spans="1:16" ht="12" customHeight="1">
      <c r="A78" s="777" t="s">
        <v>92</v>
      </c>
      <c r="B78" s="820">
        <v>99107580</v>
      </c>
      <c r="C78" s="826"/>
      <c r="D78" s="820">
        <v>3559236.7408000003</v>
      </c>
      <c r="E78" s="826"/>
      <c r="F78" s="820">
        <v>18453932</v>
      </c>
      <c r="G78" s="826"/>
      <c r="H78" s="820">
        <v>332170.74</v>
      </c>
      <c r="I78" s="826"/>
      <c r="J78" s="820">
        <v>7481209</v>
      </c>
      <c r="K78" s="826"/>
      <c r="L78" s="820">
        <v>89774.51</v>
      </c>
      <c r="M78" s="826"/>
      <c r="N78" s="820">
        <v>44092247</v>
      </c>
      <c r="O78" s="826"/>
      <c r="P78" s="822">
        <v>167550.5386</v>
      </c>
    </row>
    <row r="79" spans="1:16" ht="8.25" customHeight="1">
      <c r="B79" s="820"/>
      <c r="C79" s="826"/>
      <c r="D79" s="820"/>
      <c r="E79" s="826"/>
      <c r="F79" s="820"/>
      <c r="G79" s="826"/>
      <c r="H79" s="820"/>
      <c r="I79" s="826"/>
      <c r="J79" s="820"/>
      <c r="K79" s="826"/>
      <c r="L79" s="820"/>
      <c r="M79" s="826"/>
      <c r="N79" s="820"/>
      <c r="O79" s="826"/>
      <c r="P79" s="822"/>
    </row>
    <row r="80" spans="1:16" ht="12" customHeight="1">
      <c r="A80" s="777" t="s">
        <v>94</v>
      </c>
      <c r="B80" s="820">
        <v>139080580</v>
      </c>
      <c r="C80" s="826"/>
      <c r="D80" s="820">
        <v>4882933.8619999988</v>
      </c>
      <c r="E80" s="826"/>
      <c r="F80" s="820">
        <v>7984750</v>
      </c>
      <c r="G80" s="826"/>
      <c r="H80" s="820">
        <v>133345.32499999998</v>
      </c>
      <c r="I80" s="826"/>
      <c r="J80" s="820">
        <v>27559017</v>
      </c>
      <c r="K80" s="826"/>
      <c r="L80" s="820">
        <v>237007.54620000001</v>
      </c>
      <c r="M80" s="826"/>
      <c r="N80" s="820">
        <v>49926043</v>
      </c>
      <c r="O80" s="826"/>
      <c r="P80" s="822">
        <v>349482.30100000004</v>
      </c>
    </row>
    <row r="81" spans="1:16" ht="12" customHeight="1">
      <c r="A81" s="777" t="s">
        <v>96</v>
      </c>
      <c r="B81" s="824">
        <v>144452272</v>
      </c>
      <c r="C81" s="821"/>
      <c r="D81" s="824">
        <v>3884096.9299999997</v>
      </c>
      <c r="E81" s="821"/>
      <c r="F81" s="824">
        <v>0</v>
      </c>
      <c r="G81" s="821"/>
      <c r="H81" s="824">
        <v>0</v>
      </c>
      <c r="I81" s="821"/>
      <c r="J81" s="824">
        <v>0</v>
      </c>
      <c r="K81" s="821"/>
      <c r="L81" s="824">
        <v>0</v>
      </c>
      <c r="M81" s="821"/>
      <c r="N81" s="824">
        <v>24587836</v>
      </c>
      <c r="O81" s="821"/>
      <c r="P81" s="824">
        <v>159076.40125000002</v>
      </c>
    </row>
    <row r="82" spans="1:16" ht="12" customHeight="1">
      <c r="A82" s="777" t="s">
        <v>98</v>
      </c>
      <c r="B82" s="820">
        <v>1497897134</v>
      </c>
      <c r="C82" s="826"/>
      <c r="D82" s="820">
        <v>49801696.839999996</v>
      </c>
      <c r="E82" s="826"/>
      <c r="F82" s="820">
        <v>111271749</v>
      </c>
      <c r="G82" s="826"/>
      <c r="H82" s="820">
        <v>734395.8600000001</v>
      </c>
      <c r="I82" s="826"/>
      <c r="J82" s="820">
        <v>72978518</v>
      </c>
      <c r="K82" s="826"/>
      <c r="L82" s="820">
        <v>525446.84</v>
      </c>
      <c r="M82" s="826"/>
      <c r="N82" s="820">
        <v>341051293</v>
      </c>
      <c r="O82" s="826"/>
      <c r="P82" s="822">
        <v>1439304</v>
      </c>
    </row>
    <row r="83" spans="1:16" ht="12" customHeight="1">
      <c r="A83" s="777" t="s">
        <v>100</v>
      </c>
      <c r="B83" s="820">
        <v>242606257</v>
      </c>
      <c r="C83" s="826"/>
      <c r="D83" s="820">
        <v>3752585.0375999999</v>
      </c>
      <c r="E83" s="826"/>
      <c r="F83" s="820">
        <v>0</v>
      </c>
      <c r="G83" s="826"/>
      <c r="H83" s="820">
        <v>0</v>
      </c>
      <c r="I83" s="826"/>
      <c r="J83" s="820">
        <v>0</v>
      </c>
      <c r="K83" s="826"/>
      <c r="L83" s="820">
        <v>0</v>
      </c>
      <c r="M83" s="826"/>
      <c r="N83" s="820">
        <v>54234590</v>
      </c>
      <c r="O83" s="826"/>
      <c r="P83" s="822">
        <v>337156.07399999996</v>
      </c>
    </row>
    <row r="84" spans="1:16" ht="12" customHeight="1">
      <c r="A84" s="777" t="s">
        <v>102</v>
      </c>
      <c r="B84" s="820">
        <v>833858782</v>
      </c>
      <c r="C84" s="821"/>
      <c r="D84" s="820">
        <v>20829414.610000003</v>
      </c>
      <c r="E84" s="821"/>
      <c r="F84" s="820">
        <v>170149272</v>
      </c>
      <c r="G84" s="821"/>
      <c r="H84" s="820">
        <v>3096716.78</v>
      </c>
      <c r="I84" s="821"/>
      <c r="J84" s="820">
        <v>47984352</v>
      </c>
      <c r="K84" s="821"/>
      <c r="L84" s="820">
        <v>1463523.09</v>
      </c>
      <c r="M84" s="821"/>
      <c r="N84" s="820">
        <v>281205595</v>
      </c>
      <c r="O84" s="821"/>
      <c r="P84" s="822">
        <v>2508817.7800000003</v>
      </c>
    </row>
    <row r="85" spans="1:16" ht="14">
      <c r="A85" s="809" t="s">
        <v>868</v>
      </c>
      <c r="B85" s="810"/>
      <c r="C85" s="791"/>
      <c r="D85" s="810"/>
      <c r="E85" s="791"/>
      <c r="F85" s="810"/>
      <c r="G85" s="791"/>
      <c r="H85" s="810"/>
      <c r="I85" s="791"/>
      <c r="J85" s="810"/>
      <c r="K85" s="791"/>
      <c r="L85" s="810"/>
      <c r="M85" s="791"/>
      <c r="N85" s="810"/>
      <c r="O85" s="791"/>
      <c r="P85" s="810"/>
    </row>
    <row r="86" spans="1:16" ht="13">
      <c r="A86" s="811" t="s">
        <v>861</v>
      </c>
      <c r="B86" s="812"/>
      <c r="C86" s="812"/>
      <c r="D86" s="812"/>
      <c r="E86" s="812"/>
      <c r="F86" s="812"/>
      <c r="G86" s="812"/>
      <c r="H86" s="812"/>
      <c r="I86" s="812"/>
      <c r="J86" s="812"/>
      <c r="K86" s="812"/>
      <c r="L86" s="812"/>
      <c r="M86" s="812"/>
      <c r="N86" s="812"/>
      <c r="O86" s="812"/>
      <c r="P86" s="812"/>
    </row>
    <row r="87" spans="1:16" ht="13">
      <c r="A87" s="813" t="s">
        <v>903</v>
      </c>
      <c r="B87" s="814"/>
      <c r="C87" s="814"/>
      <c r="D87" s="814"/>
      <c r="E87" s="814"/>
      <c r="F87" s="814"/>
      <c r="G87" s="814"/>
      <c r="H87" s="814"/>
      <c r="I87" s="814"/>
      <c r="J87" s="814"/>
      <c r="K87" s="814"/>
      <c r="L87" s="814"/>
      <c r="M87" s="814"/>
      <c r="N87" s="814"/>
      <c r="O87" s="814"/>
      <c r="P87" s="814"/>
    </row>
    <row r="88" spans="1:16" ht="11.25" customHeight="1" thickBot="1">
      <c r="A88" s="778"/>
      <c r="B88" s="778"/>
      <c r="C88" s="778"/>
      <c r="D88" s="778"/>
      <c r="E88" s="778"/>
      <c r="F88" s="778"/>
      <c r="G88" s="778"/>
      <c r="H88" s="778"/>
      <c r="I88" s="778"/>
      <c r="J88" s="778"/>
      <c r="K88" s="778"/>
      <c r="L88" s="778"/>
      <c r="M88" s="778"/>
      <c r="N88" s="778"/>
      <c r="O88" s="778"/>
      <c r="P88" s="778"/>
    </row>
    <row r="89" spans="1:16" ht="14.25" customHeight="1">
      <c r="A89" s="791"/>
      <c r="B89" s="1967" t="s">
        <v>862</v>
      </c>
      <c r="C89" s="1967"/>
      <c r="D89" s="1967"/>
      <c r="E89" s="791"/>
      <c r="F89" s="1967" t="s">
        <v>863</v>
      </c>
      <c r="G89" s="1967"/>
      <c r="H89" s="1967"/>
      <c r="I89" s="791"/>
      <c r="J89" s="1967" t="s">
        <v>864</v>
      </c>
      <c r="K89" s="1967"/>
      <c r="L89" s="1967"/>
      <c r="M89" s="791"/>
      <c r="N89" s="1967" t="s">
        <v>865</v>
      </c>
      <c r="O89" s="1967"/>
      <c r="P89" s="1967"/>
    </row>
    <row r="90" spans="1:16" ht="12" customHeight="1">
      <c r="A90" s="815" t="s">
        <v>21</v>
      </c>
      <c r="B90" s="816" t="s">
        <v>866</v>
      </c>
      <c r="C90" s="779"/>
      <c r="D90" s="816" t="s">
        <v>867</v>
      </c>
      <c r="E90" s="779"/>
      <c r="F90" s="816" t="s">
        <v>866</v>
      </c>
      <c r="G90" s="779"/>
      <c r="H90" s="816" t="s">
        <v>867</v>
      </c>
      <c r="I90" s="779"/>
      <c r="J90" s="816" t="s">
        <v>866</v>
      </c>
      <c r="K90" s="779"/>
      <c r="L90" s="816" t="s">
        <v>867</v>
      </c>
      <c r="M90" s="779"/>
      <c r="N90" s="816" t="s">
        <v>866</v>
      </c>
      <c r="O90" s="779"/>
      <c r="P90" s="816" t="s">
        <v>867</v>
      </c>
    </row>
    <row r="91" spans="1:16" ht="8.25" customHeight="1">
      <c r="B91" s="820"/>
      <c r="C91" s="823"/>
      <c r="D91" s="820"/>
      <c r="E91" s="823"/>
      <c r="F91" s="820"/>
      <c r="G91" s="823"/>
      <c r="H91" s="820"/>
      <c r="I91" s="823"/>
      <c r="J91" s="820"/>
      <c r="K91" s="823"/>
      <c r="L91" s="820"/>
      <c r="M91" s="823"/>
      <c r="N91" s="820"/>
      <c r="O91" s="823"/>
      <c r="P91" s="822"/>
    </row>
    <row r="92" spans="1:16" ht="12" customHeight="1">
      <c r="A92" s="777" t="s">
        <v>104</v>
      </c>
      <c r="B92" s="817">
        <v>170019130</v>
      </c>
      <c r="C92" s="818"/>
      <c r="D92" s="817">
        <v>5620752.6600000001</v>
      </c>
      <c r="E92" s="818"/>
      <c r="F92" s="817">
        <v>7691949</v>
      </c>
      <c r="G92" s="818"/>
      <c r="H92" s="817">
        <v>96149.440000000002</v>
      </c>
      <c r="I92" s="818"/>
      <c r="J92" s="817">
        <v>0</v>
      </c>
      <c r="K92" s="818"/>
      <c r="L92" s="817">
        <v>0</v>
      </c>
      <c r="M92" s="818"/>
      <c r="N92" s="817">
        <v>125563949</v>
      </c>
      <c r="O92" s="818"/>
      <c r="P92" s="819">
        <v>950728.83000000007</v>
      </c>
    </row>
    <row r="93" spans="1:16" ht="12" customHeight="1">
      <c r="A93" s="777" t="s">
        <v>106</v>
      </c>
      <c r="B93" s="821">
        <v>249151017</v>
      </c>
      <c r="C93" s="821"/>
      <c r="D93" s="821">
        <v>9196543.3200000003</v>
      </c>
      <c r="E93" s="821"/>
      <c r="F93" s="821">
        <v>4583194</v>
      </c>
      <c r="G93" s="821"/>
      <c r="H93" s="821">
        <v>34330.699999999997</v>
      </c>
      <c r="I93" s="821"/>
      <c r="J93" s="821">
        <v>0</v>
      </c>
      <c r="K93" s="821"/>
      <c r="L93" s="821">
        <v>0</v>
      </c>
      <c r="M93" s="821"/>
      <c r="N93" s="821">
        <v>153666593</v>
      </c>
      <c r="O93" s="821"/>
      <c r="P93" s="821">
        <v>1260160.94</v>
      </c>
    </row>
    <row r="94" spans="1:16" ht="12" customHeight="1">
      <c r="A94" s="777" t="s">
        <v>108</v>
      </c>
      <c r="B94" s="821">
        <v>140422800</v>
      </c>
      <c r="C94" s="826"/>
      <c r="D94" s="821">
        <v>5064540.7</v>
      </c>
      <c r="E94" s="826"/>
      <c r="F94" s="821">
        <v>14350800</v>
      </c>
      <c r="G94" s="826"/>
      <c r="H94" s="821">
        <v>232135.34000000003</v>
      </c>
      <c r="I94" s="826"/>
      <c r="J94" s="821">
        <v>0</v>
      </c>
      <c r="K94" s="826"/>
      <c r="L94" s="821">
        <v>0</v>
      </c>
      <c r="M94" s="826"/>
      <c r="N94" s="821">
        <v>56636303</v>
      </c>
      <c r="O94" s="826"/>
      <c r="P94" s="821">
        <v>470114.07</v>
      </c>
    </row>
    <row r="95" spans="1:16" ht="12" customHeight="1">
      <c r="A95" s="777" t="s">
        <v>110</v>
      </c>
      <c r="B95" s="821">
        <v>122331286</v>
      </c>
      <c r="C95" s="826"/>
      <c r="D95" s="821">
        <v>4231086</v>
      </c>
      <c r="E95" s="826"/>
      <c r="F95" s="821">
        <v>6480685</v>
      </c>
      <c r="G95" s="826"/>
      <c r="H95" s="821">
        <v>233304</v>
      </c>
      <c r="I95" s="826"/>
      <c r="J95" s="821">
        <v>4566290</v>
      </c>
      <c r="K95" s="826"/>
      <c r="L95" s="821">
        <v>45663</v>
      </c>
      <c r="M95" s="826"/>
      <c r="N95" s="821">
        <v>53515841</v>
      </c>
      <c r="O95" s="826"/>
      <c r="P95" s="821">
        <v>315743</v>
      </c>
    </row>
    <row r="96" spans="1:16" ht="12" customHeight="1">
      <c r="A96" s="777" t="s">
        <v>112</v>
      </c>
      <c r="B96" s="821">
        <v>94579494</v>
      </c>
      <c r="C96" s="826"/>
      <c r="D96" s="821">
        <v>3430337.24</v>
      </c>
      <c r="E96" s="826"/>
      <c r="F96" s="821">
        <v>7921912</v>
      </c>
      <c r="G96" s="826"/>
      <c r="H96" s="821">
        <v>106945.82</v>
      </c>
      <c r="I96" s="826"/>
      <c r="J96" s="821">
        <v>0</v>
      </c>
      <c r="K96" s="828"/>
      <c r="L96" s="821">
        <v>0</v>
      </c>
      <c r="M96" s="828"/>
      <c r="N96" s="821">
        <v>119080327</v>
      </c>
      <c r="O96" s="826"/>
      <c r="P96" s="821">
        <v>619507.81999999995</v>
      </c>
    </row>
    <row r="97" spans="1:16" ht="8.25" customHeight="1">
      <c r="B97" s="821"/>
      <c r="C97" s="826"/>
      <c r="D97" s="821"/>
      <c r="E97" s="826"/>
      <c r="F97" s="821"/>
      <c r="G97" s="826"/>
      <c r="H97" s="821"/>
      <c r="I97" s="826"/>
      <c r="J97" s="821"/>
      <c r="K97" s="828"/>
      <c r="L97" s="821"/>
      <c r="M97" s="828"/>
      <c r="N97" s="821"/>
      <c r="O97" s="826"/>
      <c r="P97" s="821"/>
    </row>
    <row r="98" spans="1:16" ht="12" customHeight="1">
      <c r="A98" s="777" t="s">
        <v>114</v>
      </c>
      <c r="B98" s="821">
        <v>350405480</v>
      </c>
      <c r="C98" s="826"/>
      <c r="D98" s="821">
        <v>12135347.02</v>
      </c>
      <c r="E98" s="826"/>
      <c r="F98" s="821">
        <v>48217255</v>
      </c>
      <c r="G98" s="826"/>
      <c r="H98" s="821">
        <v>882857.94</v>
      </c>
      <c r="I98" s="826"/>
      <c r="J98" s="821">
        <v>52409004</v>
      </c>
      <c r="K98" s="826"/>
      <c r="L98" s="821">
        <v>209636.03</v>
      </c>
      <c r="M98" s="826"/>
      <c r="N98" s="821">
        <v>174898556</v>
      </c>
      <c r="O98" s="826"/>
      <c r="P98" s="821">
        <v>1409185.94</v>
      </c>
    </row>
    <row r="99" spans="1:16" ht="12" customHeight="1">
      <c r="A99" s="777" t="s">
        <v>116</v>
      </c>
      <c r="B99" s="821">
        <v>237032980</v>
      </c>
      <c r="C99" s="826"/>
      <c r="D99" s="821">
        <v>8875817.620000001</v>
      </c>
      <c r="E99" s="826"/>
      <c r="F99" s="821">
        <v>23992320</v>
      </c>
      <c r="G99" s="826"/>
      <c r="H99" s="821">
        <v>479846.40000000002</v>
      </c>
      <c r="I99" s="826"/>
      <c r="J99" s="821">
        <v>0</v>
      </c>
      <c r="K99" s="828"/>
      <c r="L99" s="821">
        <v>0</v>
      </c>
      <c r="M99" s="828"/>
      <c r="N99" s="821">
        <v>97181243</v>
      </c>
      <c r="O99" s="826"/>
      <c r="P99" s="821">
        <v>739000.01</v>
      </c>
    </row>
    <row r="100" spans="1:16" ht="12" customHeight="1">
      <c r="A100" s="777" t="s">
        <v>117</v>
      </c>
      <c r="B100" s="821">
        <v>184787026</v>
      </c>
      <c r="C100" s="826"/>
      <c r="D100" s="821">
        <v>2995659.92</v>
      </c>
      <c r="E100" s="826"/>
      <c r="F100" s="821">
        <v>40593034</v>
      </c>
      <c r="G100" s="826"/>
      <c r="H100" s="821">
        <v>694140.9</v>
      </c>
      <c r="I100" s="826"/>
      <c r="J100" s="820">
        <v>0</v>
      </c>
      <c r="K100" s="828"/>
      <c r="L100" s="821">
        <v>0</v>
      </c>
      <c r="M100" s="828"/>
      <c r="N100" s="821">
        <v>65421344</v>
      </c>
      <c r="O100" s="826"/>
      <c r="P100" s="821">
        <v>445639.31</v>
      </c>
    </row>
    <row r="101" spans="1:16" ht="12" customHeight="1">
      <c r="A101" s="777" t="s">
        <v>119</v>
      </c>
      <c r="B101" s="821">
        <v>187823174</v>
      </c>
      <c r="C101" s="826"/>
      <c r="D101" s="821">
        <v>13266896.3748</v>
      </c>
      <c r="E101" s="826"/>
      <c r="F101" s="821">
        <v>43403370</v>
      </c>
      <c r="G101" s="826"/>
      <c r="H101" s="821">
        <v>1953151.65</v>
      </c>
      <c r="I101" s="826"/>
      <c r="J101" s="821">
        <v>13336660</v>
      </c>
      <c r="K101" s="826"/>
      <c r="L101" s="821">
        <v>366758.15</v>
      </c>
      <c r="M101" s="826"/>
      <c r="N101" s="821">
        <v>480184634</v>
      </c>
      <c r="O101" s="826"/>
      <c r="P101" s="821">
        <v>3085999.0871999995</v>
      </c>
    </row>
    <row r="102" spans="1:16" ht="12" customHeight="1">
      <c r="A102" s="777" t="s">
        <v>121</v>
      </c>
      <c r="B102" s="821">
        <v>393498252</v>
      </c>
      <c r="C102" s="826"/>
      <c r="D102" s="821">
        <v>14143279.526400002</v>
      </c>
      <c r="E102" s="826"/>
      <c r="F102" s="821">
        <v>29627275</v>
      </c>
      <c r="G102" s="826"/>
      <c r="H102" s="821">
        <v>1066581.8999999999</v>
      </c>
      <c r="I102" s="826"/>
      <c r="J102" s="821">
        <v>0</v>
      </c>
      <c r="K102" s="826"/>
      <c r="L102" s="821">
        <v>0</v>
      </c>
      <c r="M102" s="826"/>
      <c r="N102" s="821">
        <v>108294141</v>
      </c>
      <c r="O102" s="826"/>
      <c r="P102" s="821">
        <v>954143.13520000002</v>
      </c>
    </row>
    <row r="103" spans="1:16" ht="8.25" customHeight="1">
      <c r="B103" s="824"/>
      <c r="C103" s="823"/>
      <c r="D103" s="824"/>
      <c r="E103" s="823"/>
      <c r="F103" s="824"/>
      <c r="G103" s="823"/>
      <c r="H103" s="824"/>
      <c r="I103" s="823"/>
      <c r="J103" s="824"/>
      <c r="K103" s="823"/>
      <c r="L103" s="824"/>
      <c r="M103" s="823"/>
      <c r="N103" s="824"/>
      <c r="O103" s="823"/>
      <c r="P103" s="830"/>
    </row>
    <row r="104" spans="1:16" ht="12" customHeight="1">
      <c r="A104" s="777" t="s">
        <v>122</v>
      </c>
      <c r="B104" s="821">
        <v>311342472</v>
      </c>
      <c r="C104" s="821"/>
      <c r="D104" s="821">
        <v>6834512.8000000007</v>
      </c>
      <c r="E104" s="821"/>
      <c r="F104" s="821">
        <v>1198870</v>
      </c>
      <c r="G104" s="821"/>
      <c r="H104" s="821">
        <v>50352.54</v>
      </c>
      <c r="I104" s="821"/>
      <c r="J104" s="821">
        <v>57016125</v>
      </c>
      <c r="K104" s="821"/>
      <c r="L104" s="821">
        <v>399112.88</v>
      </c>
      <c r="M104" s="821"/>
      <c r="N104" s="821">
        <v>114817696</v>
      </c>
      <c r="O104" s="821"/>
      <c r="P104" s="821">
        <v>608205.52</v>
      </c>
    </row>
    <row r="105" spans="1:16" ht="12" customHeight="1">
      <c r="A105" s="777" t="s">
        <v>124</v>
      </c>
      <c r="B105" s="821">
        <v>317764831</v>
      </c>
      <c r="C105" s="826"/>
      <c r="D105" s="821">
        <v>12738036.177499998</v>
      </c>
      <c r="E105" s="826"/>
      <c r="F105" s="821">
        <v>98618775</v>
      </c>
      <c r="G105" s="826"/>
      <c r="H105" s="821">
        <v>1479281.625</v>
      </c>
      <c r="I105" s="826"/>
      <c r="J105" s="821">
        <v>0</v>
      </c>
      <c r="K105" s="828"/>
      <c r="L105" s="821">
        <v>0</v>
      </c>
      <c r="M105" s="828"/>
      <c r="N105" s="821">
        <v>184685926</v>
      </c>
      <c r="O105" s="826"/>
      <c r="P105" s="821">
        <v>1588298.9635999999</v>
      </c>
    </row>
    <row r="106" spans="1:16">
      <c r="A106" s="777" t="s">
        <v>126</v>
      </c>
      <c r="B106" s="821">
        <v>6328961082.6799994</v>
      </c>
      <c r="C106" s="826"/>
      <c r="D106" s="821">
        <v>214809807.52000001</v>
      </c>
      <c r="E106" s="826"/>
      <c r="F106" s="821">
        <v>0</v>
      </c>
      <c r="G106" s="826"/>
      <c r="H106" s="821">
        <v>0</v>
      </c>
      <c r="I106" s="826"/>
      <c r="J106" s="821">
        <v>0</v>
      </c>
      <c r="K106" s="828"/>
      <c r="L106" s="821">
        <v>0</v>
      </c>
      <c r="M106" s="828"/>
      <c r="N106" s="821">
        <v>1891971137</v>
      </c>
      <c r="O106" s="826"/>
      <c r="P106" s="821">
        <v>21383490.734999999</v>
      </c>
    </row>
    <row r="107" spans="1:16" ht="12" customHeight="1">
      <c r="A107" s="777" t="s">
        <v>128</v>
      </c>
      <c r="B107" s="821">
        <v>351551716</v>
      </c>
      <c r="C107" s="826"/>
      <c r="D107" s="821">
        <v>8141550.8300000001</v>
      </c>
      <c r="E107" s="826"/>
      <c r="F107" s="821">
        <v>275139003</v>
      </c>
      <c r="G107" s="826"/>
      <c r="H107" s="821">
        <v>4127085.18</v>
      </c>
      <c r="I107" s="826"/>
      <c r="J107" s="821">
        <v>0</v>
      </c>
      <c r="K107" s="826"/>
      <c r="L107" s="821">
        <v>0</v>
      </c>
      <c r="M107" s="826"/>
      <c r="N107" s="821">
        <v>0</v>
      </c>
      <c r="O107" s="826"/>
      <c r="P107" s="821">
        <v>0</v>
      </c>
    </row>
    <row r="108" spans="1:16" ht="12" customHeight="1">
      <c r="A108" s="777" t="s">
        <v>130</v>
      </c>
      <c r="B108" s="821">
        <v>68710596</v>
      </c>
      <c r="C108" s="826"/>
      <c r="D108" s="821">
        <v>1544289.3412000001</v>
      </c>
      <c r="E108" s="826"/>
      <c r="F108" s="821">
        <v>0</v>
      </c>
      <c r="G108" s="828"/>
      <c r="H108" s="821">
        <v>0</v>
      </c>
      <c r="I108" s="828"/>
      <c r="J108" s="821">
        <v>0</v>
      </c>
      <c r="K108" s="828"/>
      <c r="L108" s="821">
        <v>0</v>
      </c>
      <c r="M108" s="828"/>
      <c r="N108" s="821">
        <v>56829491</v>
      </c>
      <c r="O108" s="826"/>
      <c r="P108" s="821">
        <v>380757.58970000001</v>
      </c>
    </row>
    <row r="109" spans="1:16" ht="8.25" customHeight="1">
      <c r="B109" s="821"/>
      <c r="C109" s="826"/>
      <c r="D109" s="821"/>
      <c r="E109" s="826"/>
      <c r="F109" s="821"/>
      <c r="G109" s="828"/>
      <c r="H109" s="821"/>
      <c r="I109" s="828"/>
      <c r="J109" s="821"/>
      <c r="K109" s="828"/>
      <c r="L109" s="821"/>
      <c r="M109" s="828"/>
      <c r="N109" s="821"/>
      <c r="O109" s="826"/>
      <c r="P109" s="821"/>
    </row>
    <row r="110" spans="1:16" ht="12" customHeight="1">
      <c r="A110" s="777" t="s">
        <v>132</v>
      </c>
      <c r="B110" s="821">
        <v>71108170</v>
      </c>
      <c r="C110" s="826"/>
      <c r="D110" s="821">
        <v>2606093.1749999998</v>
      </c>
      <c r="E110" s="826"/>
      <c r="F110" s="821">
        <v>10771210</v>
      </c>
      <c r="G110" s="826"/>
      <c r="H110" s="821">
        <v>43084.84</v>
      </c>
      <c r="I110" s="826"/>
      <c r="J110" s="821">
        <v>1990350</v>
      </c>
      <c r="K110" s="826"/>
      <c r="L110" s="821">
        <v>69662.25</v>
      </c>
      <c r="M110" s="826"/>
      <c r="N110" s="821">
        <v>70649023</v>
      </c>
      <c r="O110" s="826"/>
      <c r="P110" s="821">
        <v>542004.7294999999</v>
      </c>
    </row>
    <row r="111" spans="1:16">
      <c r="A111" s="777" t="s">
        <v>25</v>
      </c>
      <c r="B111" s="821">
        <v>904456173</v>
      </c>
      <c r="C111" s="821"/>
      <c r="D111" s="821">
        <v>31594293.913999997</v>
      </c>
      <c r="E111" s="821"/>
      <c r="F111" s="821">
        <v>71744090</v>
      </c>
      <c r="G111" s="821"/>
      <c r="H111" s="821">
        <v>2044706.5649999999</v>
      </c>
      <c r="I111" s="821"/>
      <c r="J111" s="821">
        <v>0</v>
      </c>
      <c r="K111" s="821"/>
      <c r="L111" s="821">
        <v>0</v>
      </c>
      <c r="M111" s="821"/>
      <c r="N111" s="821">
        <v>329478800</v>
      </c>
      <c r="O111" s="821"/>
      <c r="P111" s="821">
        <v>3605949.0660000001</v>
      </c>
    </row>
    <row r="112" spans="1:16" ht="12" customHeight="1">
      <c r="A112" s="777" t="s">
        <v>134</v>
      </c>
      <c r="B112" s="821">
        <v>223002340</v>
      </c>
      <c r="C112" s="821"/>
      <c r="D112" s="821">
        <v>9242098.3925000001</v>
      </c>
      <c r="E112" s="821"/>
      <c r="F112" s="821">
        <v>20419513</v>
      </c>
      <c r="G112" s="821"/>
      <c r="H112" s="821">
        <v>520697.81</v>
      </c>
      <c r="I112" s="821"/>
      <c r="J112" s="821">
        <v>0</v>
      </c>
      <c r="K112" s="821"/>
      <c r="L112" s="821">
        <v>0</v>
      </c>
      <c r="M112" s="821"/>
      <c r="N112" s="821">
        <v>238322735</v>
      </c>
      <c r="O112" s="821"/>
      <c r="P112" s="821">
        <v>1739755.97</v>
      </c>
    </row>
    <row r="113" spans="1:16" ht="12" customHeight="1">
      <c r="A113" s="777" t="s">
        <v>135</v>
      </c>
      <c r="B113" s="821">
        <v>948738465</v>
      </c>
      <c r="C113" s="821"/>
      <c r="D113" s="821">
        <v>24604079</v>
      </c>
      <c r="E113" s="821"/>
      <c r="F113" s="821">
        <v>464210620</v>
      </c>
      <c r="G113" s="821"/>
      <c r="H113" s="821">
        <v>11837375</v>
      </c>
      <c r="I113" s="821"/>
      <c r="J113" s="821">
        <v>172119295</v>
      </c>
      <c r="K113" s="821"/>
      <c r="L113" s="821">
        <v>1497438</v>
      </c>
      <c r="M113" s="821"/>
      <c r="N113" s="821">
        <v>323213387</v>
      </c>
      <c r="O113" s="821"/>
      <c r="P113" s="821">
        <v>2421365</v>
      </c>
    </row>
    <row r="114" spans="1:16" ht="12" customHeight="1">
      <c r="A114" s="782" t="s">
        <v>137</v>
      </c>
      <c r="B114" s="821">
        <v>370909250</v>
      </c>
      <c r="C114" s="826"/>
      <c r="D114" s="821">
        <v>7028551.9100000001</v>
      </c>
      <c r="E114" s="826"/>
      <c r="F114" s="821">
        <v>59906364</v>
      </c>
      <c r="G114" s="826"/>
      <c r="H114" s="821">
        <v>1168177.51</v>
      </c>
      <c r="I114" s="826"/>
      <c r="J114" s="821">
        <v>7482353</v>
      </c>
      <c r="K114" s="826"/>
      <c r="L114" s="821">
        <v>48635.41</v>
      </c>
      <c r="M114" s="826"/>
      <c r="N114" s="821">
        <v>315748548</v>
      </c>
      <c r="O114" s="826"/>
      <c r="P114" s="821">
        <v>61335.210000000006</v>
      </c>
    </row>
    <row r="115" spans="1:16" ht="8.25" customHeight="1"/>
    <row r="116" spans="1:16" ht="12" customHeight="1">
      <c r="A116" s="777" t="s">
        <v>139</v>
      </c>
      <c r="B116" s="822">
        <v>163655044</v>
      </c>
      <c r="C116" s="829"/>
      <c r="D116" s="822">
        <v>2417586.27</v>
      </c>
      <c r="E116" s="822"/>
      <c r="F116" s="822">
        <v>19647961</v>
      </c>
      <c r="G116" s="822"/>
      <c r="H116" s="822">
        <v>176831.65</v>
      </c>
      <c r="I116" s="822"/>
      <c r="J116" s="822">
        <v>14682723</v>
      </c>
      <c r="K116" s="830"/>
      <c r="L116" s="822">
        <v>105715.65</v>
      </c>
      <c r="M116" s="830"/>
      <c r="N116" s="822">
        <v>122663996</v>
      </c>
      <c r="O116" s="822"/>
      <c r="P116" s="822">
        <v>985013.1</v>
      </c>
    </row>
    <row r="117" spans="1:16" ht="12" customHeight="1">
      <c r="A117" s="777" t="s">
        <v>141</v>
      </c>
      <c r="B117" s="821">
        <v>466828011</v>
      </c>
      <c r="C117" s="821"/>
      <c r="D117" s="821">
        <v>17557917.920000002</v>
      </c>
      <c r="E117" s="821"/>
      <c r="F117" s="821">
        <v>94669186</v>
      </c>
      <c r="G117" s="821"/>
      <c r="H117" s="821">
        <v>2982079.39</v>
      </c>
      <c r="I117" s="821"/>
      <c r="J117" s="821">
        <v>55000213</v>
      </c>
      <c r="K117" s="821"/>
      <c r="L117" s="821">
        <v>330001.28000000003</v>
      </c>
      <c r="M117" s="821"/>
      <c r="N117" s="821">
        <v>289209578</v>
      </c>
      <c r="O117" s="821"/>
      <c r="P117" s="821">
        <v>1874192.86</v>
      </c>
    </row>
    <row r="118" spans="1:16" ht="12" customHeight="1">
      <c r="A118" s="777" t="s">
        <v>143</v>
      </c>
      <c r="B118" s="821">
        <v>243743731</v>
      </c>
      <c r="C118" s="821"/>
      <c r="D118" s="821">
        <v>5469253.358</v>
      </c>
      <c r="E118" s="821"/>
      <c r="F118" s="821">
        <v>106787128</v>
      </c>
      <c r="G118" s="821"/>
      <c r="H118" s="821">
        <v>1655200.4840000002</v>
      </c>
      <c r="I118" s="821"/>
      <c r="J118" s="821">
        <v>67262010</v>
      </c>
      <c r="K118" s="821"/>
      <c r="L118" s="821">
        <v>269048.03999999998</v>
      </c>
      <c r="M118" s="821"/>
      <c r="N118" s="821">
        <v>178668947</v>
      </c>
      <c r="O118" s="821"/>
      <c r="P118" s="821">
        <v>1322150.2078</v>
      </c>
    </row>
    <row r="119" spans="1:16" ht="12" customHeight="1">
      <c r="A119" s="777" t="s">
        <v>145</v>
      </c>
      <c r="B119" s="821">
        <v>221497758</v>
      </c>
      <c r="C119" s="821"/>
      <c r="D119" s="821">
        <v>8241237.3500000006</v>
      </c>
      <c r="E119" s="821"/>
      <c r="F119" s="821">
        <v>56565200</v>
      </c>
      <c r="G119" s="821"/>
      <c r="H119" s="821">
        <v>1357564.8</v>
      </c>
      <c r="I119" s="821"/>
      <c r="J119" s="821">
        <v>15568139</v>
      </c>
      <c r="K119" s="821"/>
      <c r="L119" s="821">
        <v>77840.820000000007</v>
      </c>
      <c r="M119" s="821"/>
      <c r="N119" s="821">
        <v>237557724</v>
      </c>
      <c r="O119" s="821"/>
      <c r="P119" s="821">
        <v>2129514.77</v>
      </c>
    </row>
    <row r="120" spans="1:16" ht="12" customHeight="1">
      <c r="A120" s="777" t="s">
        <v>147</v>
      </c>
      <c r="B120" s="821">
        <v>1019721583.0700001</v>
      </c>
      <c r="C120" s="826"/>
      <c r="D120" s="821">
        <v>64348806.987750001</v>
      </c>
      <c r="E120" s="826"/>
      <c r="F120" s="821">
        <v>33710193.039999999</v>
      </c>
      <c r="G120" s="826"/>
      <c r="H120" s="821">
        <v>842754.826</v>
      </c>
      <c r="I120" s="826"/>
      <c r="J120" s="821">
        <v>0</v>
      </c>
      <c r="K120" s="828"/>
      <c r="L120" s="821">
        <v>0</v>
      </c>
      <c r="M120" s="828"/>
      <c r="N120" s="821">
        <v>413002803</v>
      </c>
      <c r="O120" s="826"/>
      <c r="P120" s="821">
        <v>3547974.0342200003</v>
      </c>
    </row>
    <row r="121" spans="1:16" ht="8.25" customHeight="1">
      <c r="B121" s="821"/>
      <c r="C121" s="826"/>
      <c r="D121" s="821"/>
      <c r="E121" s="826"/>
      <c r="F121" s="821"/>
      <c r="G121" s="826"/>
      <c r="H121" s="821"/>
      <c r="I121" s="826"/>
      <c r="J121" s="821"/>
      <c r="K121" s="828"/>
      <c r="L121" s="821"/>
      <c r="M121" s="828"/>
      <c r="N121" s="821"/>
      <c r="O121" s="826"/>
      <c r="P121" s="821"/>
    </row>
    <row r="122" spans="1:16" ht="12" customHeight="1">
      <c r="A122" s="777" t="s">
        <v>149</v>
      </c>
      <c r="B122" s="821">
        <v>1121990130</v>
      </c>
      <c r="C122" s="821"/>
      <c r="D122" s="821">
        <v>69724905.523999989</v>
      </c>
      <c r="E122" s="821"/>
      <c r="F122" s="821">
        <v>0</v>
      </c>
      <c r="G122" s="821"/>
      <c r="H122" s="821">
        <v>0</v>
      </c>
      <c r="I122" s="821"/>
      <c r="J122" s="821">
        <v>177064650</v>
      </c>
      <c r="K122" s="821"/>
      <c r="L122" s="821">
        <v>885323.25</v>
      </c>
      <c r="M122" s="821"/>
      <c r="N122" s="821">
        <v>575948</v>
      </c>
      <c r="O122" s="821"/>
      <c r="P122" s="821">
        <v>37206.2408</v>
      </c>
    </row>
    <row r="123" spans="1:16" ht="12" customHeight="1">
      <c r="A123" s="777" t="s">
        <v>151</v>
      </c>
      <c r="B123" s="821">
        <v>59679427</v>
      </c>
      <c r="C123" s="826"/>
      <c r="D123" s="821">
        <v>2266439.41</v>
      </c>
      <c r="E123" s="826"/>
      <c r="F123" s="821">
        <v>2813507</v>
      </c>
      <c r="G123" s="826"/>
      <c r="H123" s="821">
        <v>28135.07</v>
      </c>
      <c r="I123" s="826"/>
      <c r="J123" s="821">
        <v>0</v>
      </c>
      <c r="K123" s="828"/>
      <c r="L123" s="821">
        <v>0</v>
      </c>
      <c r="M123" s="828"/>
      <c r="N123" s="821">
        <v>1935274114</v>
      </c>
      <c r="O123" s="826"/>
      <c r="P123" s="821">
        <v>13757889.2301</v>
      </c>
    </row>
    <row r="124" spans="1:16" ht="12" customHeight="1">
      <c r="A124" s="777" t="s">
        <v>153</v>
      </c>
      <c r="B124" s="821">
        <v>79995247</v>
      </c>
      <c r="C124" s="821"/>
      <c r="D124" s="821">
        <v>3757881.19</v>
      </c>
      <c r="E124" s="821"/>
      <c r="F124" s="821">
        <v>45584746</v>
      </c>
      <c r="G124" s="821"/>
      <c r="H124" s="821">
        <v>1107709.33</v>
      </c>
      <c r="I124" s="821"/>
      <c r="J124" s="821">
        <v>7200430</v>
      </c>
      <c r="K124" s="821"/>
      <c r="L124" s="821">
        <v>72004.3</v>
      </c>
      <c r="M124" s="821"/>
      <c r="N124" s="821">
        <v>123954511</v>
      </c>
      <c r="O124" s="821"/>
      <c r="P124" s="821">
        <v>766478.72</v>
      </c>
    </row>
    <row r="125" spans="1:16" ht="12" customHeight="1">
      <c r="A125" s="777" t="s">
        <v>155</v>
      </c>
      <c r="B125" s="821">
        <v>437842645</v>
      </c>
      <c r="C125" s="826"/>
      <c r="D125" s="821">
        <v>8333650.2199999997</v>
      </c>
      <c r="E125" s="826"/>
      <c r="F125" s="821">
        <v>59864000</v>
      </c>
      <c r="G125" s="826"/>
      <c r="H125" s="821">
        <v>1197280</v>
      </c>
      <c r="I125" s="826"/>
      <c r="J125" s="821">
        <v>21279980</v>
      </c>
      <c r="K125" s="826"/>
      <c r="L125" s="821">
        <v>808639.24</v>
      </c>
      <c r="M125" s="826"/>
      <c r="N125" s="821">
        <v>265251375</v>
      </c>
      <c r="O125" s="826"/>
      <c r="P125" s="821">
        <v>1541631.56</v>
      </c>
    </row>
    <row r="126" spans="1:16" ht="12" customHeight="1">
      <c r="A126" s="777" t="s">
        <v>157</v>
      </c>
      <c r="B126" s="821">
        <v>552798635</v>
      </c>
      <c r="C126" s="826"/>
      <c r="D126" s="821">
        <v>1982814.0924250002</v>
      </c>
      <c r="E126" s="826"/>
      <c r="F126" s="821">
        <v>114040895</v>
      </c>
      <c r="G126" s="826"/>
      <c r="H126" s="821">
        <v>23378.383475000002</v>
      </c>
      <c r="I126" s="826"/>
      <c r="J126" s="821">
        <v>0</v>
      </c>
      <c r="K126" s="826"/>
      <c r="L126" s="821">
        <v>0</v>
      </c>
      <c r="M126" s="826"/>
      <c r="N126" s="821">
        <v>1053854970</v>
      </c>
      <c r="O126" s="826"/>
      <c r="P126" s="821">
        <v>64096.003200000006</v>
      </c>
    </row>
    <row r="127" spans="1:16" ht="14">
      <c r="A127" s="809" t="s">
        <v>868</v>
      </c>
      <c r="B127" s="810"/>
      <c r="C127" s="791"/>
      <c r="D127" s="810"/>
      <c r="E127" s="791"/>
      <c r="F127" s="810"/>
      <c r="G127" s="791"/>
      <c r="H127" s="810"/>
      <c r="I127" s="791"/>
      <c r="J127" s="810"/>
      <c r="K127" s="791"/>
      <c r="L127" s="810"/>
      <c r="M127" s="791"/>
      <c r="N127" s="810"/>
      <c r="O127" s="791"/>
      <c r="P127" s="810"/>
    </row>
    <row r="128" spans="1:16" s="745" customFormat="1" ht="13">
      <c r="A128" s="811" t="s">
        <v>861</v>
      </c>
      <c r="B128" s="811"/>
      <c r="C128" s="811"/>
      <c r="D128" s="811"/>
      <c r="E128" s="811"/>
      <c r="F128" s="811"/>
      <c r="G128" s="811"/>
      <c r="H128" s="811"/>
      <c r="I128" s="811"/>
      <c r="J128" s="811"/>
      <c r="K128" s="811"/>
      <c r="L128" s="811"/>
      <c r="M128" s="811"/>
      <c r="N128" s="811"/>
      <c r="O128" s="811"/>
      <c r="P128" s="811"/>
    </row>
    <row r="129" spans="1:16" s="745" customFormat="1" ht="13">
      <c r="A129" s="813" t="s">
        <v>903</v>
      </c>
      <c r="B129" s="813"/>
      <c r="C129" s="813"/>
      <c r="D129" s="813"/>
      <c r="E129" s="813"/>
      <c r="F129" s="813"/>
      <c r="G129" s="813"/>
      <c r="H129" s="813"/>
      <c r="I129" s="813"/>
      <c r="J129" s="813"/>
      <c r="K129" s="813"/>
      <c r="L129" s="813"/>
      <c r="M129" s="813"/>
      <c r="N129" s="813"/>
      <c r="O129" s="813"/>
      <c r="P129" s="813"/>
    </row>
    <row r="130" spans="1:16" ht="11.25" customHeight="1" thickBot="1">
      <c r="A130" s="778"/>
      <c r="B130" s="778"/>
      <c r="C130" s="778"/>
      <c r="D130" s="778"/>
      <c r="E130" s="778"/>
      <c r="F130" s="778"/>
      <c r="G130" s="778"/>
      <c r="H130" s="778"/>
      <c r="I130" s="778"/>
      <c r="J130" s="778"/>
      <c r="K130" s="778"/>
      <c r="L130" s="778"/>
      <c r="M130" s="778"/>
      <c r="N130" s="778"/>
      <c r="O130" s="778"/>
      <c r="P130" s="778"/>
    </row>
    <row r="131" spans="1:16" ht="14.25" customHeight="1">
      <c r="A131" s="791"/>
      <c r="B131" s="1967" t="s">
        <v>862</v>
      </c>
      <c r="C131" s="1967"/>
      <c r="D131" s="1967"/>
      <c r="E131" s="791"/>
      <c r="F131" s="1967" t="s">
        <v>863</v>
      </c>
      <c r="G131" s="1967"/>
      <c r="H131" s="1967"/>
      <c r="I131" s="791"/>
      <c r="J131" s="1967" t="s">
        <v>864</v>
      </c>
      <c r="K131" s="1967"/>
      <c r="L131" s="1967"/>
      <c r="M131" s="791"/>
      <c r="N131" s="1967" t="s">
        <v>865</v>
      </c>
      <c r="O131" s="1967"/>
      <c r="P131" s="1967"/>
    </row>
    <row r="132" spans="1:16" ht="12" customHeight="1">
      <c r="A132" s="815" t="s">
        <v>21</v>
      </c>
      <c r="B132" s="816" t="s">
        <v>866</v>
      </c>
      <c r="C132" s="779"/>
      <c r="D132" s="816" t="s">
        <v>867</v>
      </c>
      <c r="E132" s="779"/>
      <c r="F132" s="816" t="s">
        <v>866</v>
      </c>
      <c r="G132" s="779"/>
      <c r="H132" s="816" t="s">
        <v>867</v>
      </c>
      <c r="I132" s="779"/>
      <c r="J132" s="816" t="s">
        <v>866</v>
      </c>
      <c r="K132" s="779"/>
      <c r="L132" s="816" t="s">
        <v>867</v>
      </c>
      <c r="M132" s="779"/>
      <c r="N132" s="816" t="s">
        <v>866</v>
      </c>
      <c r="O132" s="779"/>
      <c r="P132" s="816" t="s">
        <v>867</v>
      </c>
    </row>
    <row r="133" spans="1:16" ht="8.25" customHeight="1">
      <c r="B133" s="821"/>
      <c r="C133" s="823"/>
      <c r="D133" s="821"/>
      <c r="E133" s="823"/>
      <c r="F133" s="821"/>
      <c r="G133" s="823"/>
      <c r="H133" s="821"/>
      <c r="I133" s="823"/>
      <c r="J133" s="821"/>
      <c r="K133" s="823"/>
      <c r="L133" s="821"/>
      <c r="M133" s="823"/>
      <c r="N133" s="821"/>
      <c r="O133" s="823"/>
      <c r="P133" s="821"/>
    </row>
    <row r="134" spans="1:16" ht="12" customHeight="1">
      <c r="A134" s="777" t="s">
        <v>159</v>
      </c>
      <c r="B134" s="817">
        <v>631505920</v>
      </c>
      <c r="C134" s="818"/>
      <c r="D134" s="817">
        <v>10457857</v>
      </c>
      <c r="E134" s="818"/>
      <c r="F134" s="817">
        <v>189781360</v>
      </c>
      <c r="G134" s="818"/>
      <c r="H134" s="817">
        <v>2941611</v>
      </c>
      <c r="I134" s="818"/>
      <c r="J134" s="817">
        <v>0</v>
      </c>
      <c r="K134" s="818"/>
      <c r="L134" s="817">
        <v>0</v>
      </c>
      <c r="M134" s="818"/>
      <c r="N134" s="817">
        <v>260577420</v>
      </c>
      <c r="O134" s="818"/>
      <c r="P134" s="819">
        <v>1652602.1400000001</v>
      </c>
    </row>
    <row r="135" spans="1:16" ht="12" customHeight="1">
      <c r="A135" s="777" t="s">
        <v>161</v>
      </c>
      <c r="B135" s="821">
        <v>190592630</v>
      </c>
      <c r="C135" s="826"/>
      <c r="D135" s="821">
        <v>5581420.2700000005</v>
      </c>
      <c r="E135" s="826"/>
      <c r="F135" s="821">
        <v>5879860</v>
      </c>
      <c r="G135" s="826"/>
      <c r="H135" s="821">
        <v>88197.9</v>
      </c>
      <c r="I135" s="826"/>
      <c r="J135" s="821">
        <v>12182200</v>
      </c>
      <c r="K135" s="826"/>
      <c r="L135" s="821">
        <v>49904</v>
      </c>
      <c r="M135" s="826"/>
      <c r="N135" s="821">
        <v>71939940</v>
      </c>
      <c r="O135" s="826"/>
      <c r="P135" s="821">
        <v>482590.01</v>
      </c>
    </row>
    <row r="136" spans="1:16" ht="12" customHeight="1">
      <c r="A136" s="777" t="s">
        <v>163</v>
      </c>
      <c r="B136" s="821">
        <v>428230181</v>
      </c>
      <c r="C136" s="826"/>
      <c r="D136" s="821">
        <v>6786466.0800000001</v>
      </c>
      <c r="E136" s="826"/>
      <c r="F136" s="821">
        <v>42253130</v>
      </c>
      <c r="G136" s="826"/>
      <c r="H136" s="821">
        <v>595769.13</v>
      </c>
      <c r="I136" s="826"/>
      <c r="J136" s="821">
        <v>29090089</v>
      </c>
      <c r="K136" s="826"/>
      <c r="L136" s="821">
        <v>829067.54</v>
      </c>
      <c r="M136" s="826"/>
      <c r="N136" s="821">
        <v>1371641421</v>
      </c>
      <c r="O136" s="826"/>
      <c r="P136" s="821">
        <v>9464915.6899999995</v>
      </c>
    </row>
    <row r="137" spans="1:16" ht="12" customHeight="1">
      <c r="A137" s="777" t="s">
        <v>165</v>
      </c>
      <c r="B137" s="821">
        <v>294539841</v>
      </c>
      <c r="C137" s="826"/>
      <c r="D137" s="821">
        <v>6589405.5700000003</v>
      </c>
      <c r="E137" s="826"/>
      <c r="F137" s="821">
        <v>149392120</v>
      </c>
      <c r="G137" s="826"/>
      <c r="H137" s="821">
        <v>2240881.7999999998</v>
      </c>
      <c r="I137" s="826"/>
      <c r="J137" s="821">
        <v>67368180</v>
      </c>
      <c r="K137" s="826"/>
      <c r="L137" s="821">
        <v>377261.81</v>
      </c>
      <c r="M137" s="826"/>
      <c r="N137" s="821">
        <v>359338718</v>
      </c>
      <c r="O137" s="826"/>
      <c r="P137" s="821">
        <v>1947367.7400000002</v>
      </c>
    </row>
    <row r="138" spans="1:16" ht="12" customHeight="1">
      <c r="A138" s="777" t="s">
        <v>167</v>
      </c>
      <c r="B138" s="821">
        <v>774273745</v>
      </c>
      <c r="C138" s="826"/>
      <c r="D138" s="821">
        <v>26462135.650000002</v>
      </c>
      <c r="E138" s="826"/>
      <c r="F138" s="821">
        <v>3712245</v>
      </c>
      <c r="G138" s="826"/>
      <c r="H138" s="821">
        <v>148489.79999999999</v>
      </c>
      <c r="I138" s="826"/>
      <c r="J138" s="821">
        <v>0</v>
      </c>
      <c r="K138" s="828"/>
      <c r="L138" s="821">
        <v>0</v>
      </c>
      <c r="M138" s="828"/>
      <c r="N138" s="821">
        <v>443273184</v>
      </c>
      <c r="O138" s="826"/>
      <c r="P138" s="821">
        <v>3525286.35</v>
      </c>
    </row>
    <row r="139" spans="1:16" ht="12" customHeight="1"/>
    <row r="140" spans="1:16" ht="12.75" customHeight="1">
      <c r="A140" s="785" t="s">
        <v>22</v>
      </c>
      <c r="B140" s="785">
        <v>76347804669.240005</v>
      </c>
      <c r="C140" s="785"/>
      <c r="D140" s="785">
        <v>2714246287.5698733</v>
      </c>
      <c r="E140" s="785"/>
      <c r="F140" s="785">
        <v>7519458050.54</v>
      </c>
      <c r="G140" s="785"/>
      <c r="H140" s="785">
        <v>137184477.84852505</v>
      </c>
      <c r="I140" s="785"/>
      <c r="J140" s="785">
        <v>1344289010.71</v>
      </c>
      <c r="K140" s="785"/>
      <c r="L140" s="785">
        <v>14010085.905490002</v>
      </c>
      <c r="M140" s="785"/>
      <c r="N140" s="785">
        <v>39525519269.5</v>
      </c>
      <c r="O140" s="785"/>
      <c r="P140" s="785">
        <v>308631758.55084604</v>
      </c>
    </row>
    <row r="141" spans="1:16" ht="12" customHeight="1">
      <c r="A141" s="806"/>
      <c r="B141" s="806"/>
      <c r="C141" s="806"/>
      <c r="D141" s="806"/>
      <c r="E141" s="806"/>
      <c r="F141" s="806"/>
      <c r="G141" s="806"/>
      <c r="H141" s="806"/>
      <c r="I141" s="806"/>
      <c r="J141" s="806"/>
      <c r="K141" s="806"/>
      <c r="L141" s="806"/>
      <c r="M141" s="806"/>
      <c r="N141" s="806"/>
      <c r="O141" s="806"/>
      <c r="P141" s="806"/>
    </row>
    <row r="142" spans="1:16" ht="12.75" customHeight="1" thickBot="1">
      <c r="A142" s="803"/>
      <c r="B142" s="831"/>
      <c r="C142" s="831"/>
      <c r="D142" s="831"/>
      <c r="E142" s="831"/>
      <c r="F142" s="831"/>
      <c r="G142" s="831"/>
      <c r="H142" s="831"/>
      <c r="I142" s="831"/>
      <c r="J142" s="831"/>
      <c r="K142" s="831"/>
      <c r="L142" s="831"/>
      <c r="M142" s="831"/>
      <c r="N142" s="831"/>
      <c r="O142" s="831"/>
      <c r="P142" s="831"/>
    </row>
    <row r="143" spans="1:16" ht="14.25" customHeight="1">
      <c r="A143" s="791"/>
      <c r="B143" s="1967" t="s">
        <v>862</v>
      </c>
      <c r="C143" s="1967"/>
      <c r="D143" s="1967"/>
      <c r="E143" s="791"/>
      <c r="F143" s="1967" t="s">
        <v>863</v>
      </c>
      <c r="G143" s="1967"/>
      <c r="H143" s="1967"/>
      <c r="I143" s="791"/>
      <c r="J143" s="1967" t="s">
        <v>864</v>
      </c>
      <c r="K143" s="1967"/>
      <c r="L143" s="1967"/>
      <c r="M143" s="791"/>
      <c r="N143" s="1967" t="s">
        <v>865</v>
      </c>
      <c r="O143" s="1967"/>
      <c r="P143" s="1967"/>
    </row>
    <row r="144" spans="1:16" ht="12" customHeight="1">
      <c r="A144" s="815" t="s">
        <v>23</v>
      </c>
      <c r="B144" s="816" t="s">
        <v>866</v>
      </c>
      <c r="C144" s="779"/>
      <c r="D144" s="816" t="s">
        <v>867</v>
      </c>
      <c r="E144" s="779"/>
      <c r="F144" s="816" t="s">
        <v>866</v>
      </c>
      <c r="G144" s="779"/>
      <c r="H144" s="816" t="s">
        <v>867</v>
      </c>
      <c r="I144" s="779"/>
      <c r="J144" s="816" t="s">
        <v>866</v>
      </c>
      <c r="K144" s="779"/>
      <c r="L144" s="816" t="s">
        <v>867</v>
      </c>
      <c r="M144" s="779"/>
      <c r="N144" s="816" t="s">
        <v>866</v>
      </c>
      <c r="O144" s="779"/>
      <c r="P144" s="816" t="s">
        <v>867</v>
      </c>
    </row>
    <row r="145" spans="1:16" ht="8.25" customHeight="1"/>
    <row r="146" spans="1:16" ht="12" customHeight="1">
      <c r="A146" s="777" t="s">
        <v>913</v>
      </c>
      <c r="B146" s="832">
        <v>1779120378.3199999</v>
      </c>
      <c r="C146" s="826"/>
      <c r="D146" s="817">
        <v>74296234.260000005</v>
      </c>
      <c r="E146" s="820"/>
      <c r="F146" s="832">
        <v>9818870</v>
      </c>
      <c r="G146" s="817"/>
      <c r="H146" s="832">
        <v>441849.15</v>
      </c>
      <c r="I146" s="817"/>
      <c r="J146" s="832">
        <v>0</v>
      </c>
      <c r="K146" s="817"/>
      <c r="L146" s="832">
        <v>0</v>
      </c>
      <c r="M146" s="817"/>
      <c r="N146" s="832">
        <v>642118336</v>
      </c>
      <c r="O146" s="817"/>
      <c r="P146" s="819">
        <v>7287088.4134999998</v>
      </c>
    </row>
    <row r="147" spans="1:16" ht="12" customHeight="1">
      <c r="A147" s="777" t="s">
        <v>174</v>
      </c>
      <c r="B147" s="820">
        <v>119452573</v>
      </c>
      <c r="C147" s="826"/>
      <c r="D147" s="820">
        <v>2854814.3104000003</v>
      </c>
      <c r="E147" s="826"/>
      <c r="F147" s="820">
        <v>9880160</v>
      </c>
      <c r="G147" s="826"/>
      <c r="H147" s="820">
        <v>691611.2</v>
      </c>
      <c r="I147" s="826"/>
      <c r="J147" s="824">
        <v>0</v>
      </c>
      <c r="K147" s="828"/>
      <c r="L147" s="828">
        <v>0</v>
      </c>
      <c r="M147" s="828"/>
      <c r="N147" s="820">
        <v>22739173</v>
      </c>
      <c r="O147" s="826"/>
      <c r="P147" s="822">
        <v>266048.32410000003</v>
      </c>
    </row>
    <row r="148" spans="1:16" ht="12" customHeight="1">
      <c r="A148" s="777" t="s">
        <v>176</v>
      </c>
      <c r="B148" s="820">
        <v>35983511</v>
      </c>
      <c r="C148" s="821"/>
      <c r="D148" s="820">
        <v>2075807.2000000002</v>
      </c>
      <c r="E148" s="821"/>
      <c r="F148" s="820">
        <v>7747000</v>
      </c>
      <c r="G148" s="821"/>
      <c r="H148" s="820">
        <v>329247.5</v>
      </c>
      <c r="I148" s="821"/>
      <c r="J148" s="824">
        <v>0</v>
      </c>
      <c r="K148" s="828"/>
      <c r="L148" s="828">
        <v>0</v>
      </c>
      <c r="M148" s="828"/>
      <c r="N148" s="820">
        <v>283769.03999999998</v>
      </c>
      <c r="O148" s="826"/>
      <c r="P148" s="822">
        <v>4274.6000000000004</v>
      </c>
    </row>
    <row r="149" spans="1:16" ht="12" customHeight="1">
      <c r="A149" s="777" t="s">
        <v>178</v>
      </c>
      <c r="B149" s="820">
        <v>382105057</v>
      </c>
      <c r="C149" s="826"/>
      <c r="D149" s="820">
        <v>12716115.259999998</v>
      </c>
      <c r="E149" s="826"/>
      <c r="F149" s="820">
        <v>7827125</v>
      </c>
      <c r="G149" s="821"/>
      <c r="H149" s="820">
        <v>328739.34000000003</v>
      </c>
      <c r="I149" s="821"/>
      <c r="J149" s="824">
        <v>0</v>
      </c>
      <c r="K149" s="828"/>
      <c r="L149" s="828">
        <v>0</v>
      </c>
      <c r="M149" s="828"/>
      <c r="N149" s="820">
        <v>152810590</v>
      </c>
      <c r="O149" s="826"/>
      <c r="P149" s="822">
        <v>1459388.75</v>
      </c>
    </row>
    <row r="150" spans="1:16" ht="12" customHeight="1">
      <c r="A150" s="777" t="s">
        <v>123</v>
      </c>
      <c r="B150" s="820">
        <v>2349824115</v>
      </c>
      <c r="C150" s="826"/>
      <c r="D150" s="820">
        <v>92416537.395799994</v>
      </c>
      <c r="E150" s="826"/>
      <c r="F150" s="820">
        <v>94642761</v>
      </c>
      <c r="G150" s="821"/>
      <c r="H150" s="820">
        <v>3028568.352</v>
      </c>
      <c r="I150" s="821"/>
      <c r="J150" s="824">
        <v>0</v>
      </c>
      <c r="K150" s="828"/>
      <c r="L150" s="828">
        <v>0</v>
      </c>
      <c r="M150" s="828"/>
      <c r="N150" s="820">
        <v>1034682340</v>
      </c>
      <c r="O150" s="826"/>
      <c r="P150" s="822">
        <v>10875151.834799999</v>
      </c>
    </row>
    <row r="151" spans="1:16" ht="8.25" customHeight="1">
      <c r="B151" s="820"/>
      <c r="C151" s="826"/>
      <c r="D151" s="820"/>
      <c r="E151" s="826"/>
      <c r="F151" s="820"/>
      <c r="G151" s="821"/>
      <c r="H151" s="820"/>
      <c r="I151" s="821"/>
      <c r="J151" s="824"/>
      <c r="K151" s="828"/>
      <c r="L151" s="828"/>
      <c r="M151" s="828"/>
      <c r="N151" s="820"/>
      <c r="O151" s="826"/>
      <c r="P151" s="822"/>
    </row>
    <row r="152" spans="1:16" ht="12" customHeight="1">
      <c r="A152" s="777" t="s">
        <v>125</v>
      </c>
      <c r="B152" s="820">
        <v>145966747</v>
      </c>
      <c r="C152" s="828"/>
      <c r="D152" s="820">
        <v>5108836.1449999996</v>
      </c>
      <c r="E152" s="824"/>
      <c r="F152" s="820">
        <v>5581577</v>
      </c>
      <c r="G152" s="821"/>
      <c r="H152" s="820">
        <v>111631.54</v>
      </c>
      <c r="I152" s="821"/>
      <c r="J152" s="824">
        <v>0</v>
      </c>
      <c r="K152" s="828"/>
      <c r="L152" s="828">
        <v>0</v>
      </c>
      <c r="M152" s="828"/>
      <c r="N152" s="820">
        <v>37751450</v>
      </c>
      <c r="O152" s="824"/>
      <c r="P152" s="822">
        <v>453017.4</v>
      </c>
    </row>
    <row r="153" spans="1:16" ht="12" customHeight="1">
      <c r="A153" s="777" t="s">
        <v>127</v>
      </c>
      <c r="B153" s="820">
        <v>54855375</v>
      </c>
      <c r="C153" s="826"/>
      <c r="D153" s="820">
        <v>1668330.6059999999</v>
      </c>
      <c r="E153" s="820"/>
      <c r="F153" s="820">
        <v>124657590</v>
      </c>
      <c r="G153" s="821"/>
      <c r="H153" s="820">
        <v>3440549.4839999997</v>
      </c>
      <c r="I153" s="821"/>
      <c r="J153" s="824">
        <v>0</v>
      </c>
      <c r="K153" s="828"/>
      <c r="L153" s="828">
        <v>0</v>
      </c>
      <c r="M153" s="828"/>
      <c r="N153" s="820">
        <v>240961221</v>
      </c>
      <c r="O153" s="820"/>
      <c r="P153" s="822">
        <v>1927689.7680000002</v>
      </c>
    </row>
    <row r="154" spans="1:16" ht="12" customHeight="1">
      <c r="A154" s="777" t="s">
        <v>129</v>
      </c>
      <c r="B154" s="820">
        <v>350622643</v>
      </c>
      <c r="C154" s="826"/>
      <c r="D154" s="820">
        <v>11950120.610000001</v>
      </c>
      <c r="E154" s="820"/>
      <c r="F154" s="820">
        <v>112709350</v>
      </c>
      <c r="G154" s="821"/>
      <c r="H154" s="820">
        <v>1690640.25</v>
      </c>
      <c r="I154" s="821"/>
      <c r="J154" s="824">
        <v>0</v>
      </c>
      <c r="K154" s="828"/>
      <c r="L154" s="828">
        <v>0</v>
      </c>
      <c r="M154" s="828"/>
      <c r="N154" s="820">
        <v>120928855</v>
      </c>
      <c r="O154" s="820"/>
      <c r="P154" s="822">
        <v>971843.05</v>
      </c>
    </row>
    <row r="155" spans="1:16" ht="12" customHeight="1">
      <c r="A155" s="777" t="s">
        <v>131</v>
      </c>
      <c r="B155" s="820">
        <v>40137702</v>
      </c>
      <c r="C155" s="826"/>
      <c r="D155" s="820">
        <v>2001958.909</v>
      </c>
      <c r="E155" s="820"/>
      <c r="F155" s="820">
        <v>9196831</v>
      </c>
      <c r="G155" s="821"/>
      <c r="H155" s="820">
        <v>459841.55</v>
      </c>
      <c r="I155" s="821"/>
      <c r="J155" s="824">
        <v>0</v>
      </c>
      <c r="K155" s="828"/>
      <c r="L155" s="828">
        <v>0</v>
      </c>
      <c r="M155" s="828"/>
      <c r="N155" s="820">
        <v>23344384</v>
      </c>
      <c r="O155" s="820"/>
      <c r="P155" s="822">
        <v>222516.96949999998</v>
      </c>
    </row>
    <row r="156" spans="1:16" ht="12" customHeight="1">
      <c r="A156" s="777" t="s">
        <v>908</v>
      </c>
      <c r="B156" s="820">
        <v>355371444</v>
      </c>
      <c r="C156" s="821"/>
      <c r="D156" s="820">
        <v>12569166.48</v>
      </c>
      <c r="E156" s="821"/>
      <c r="F156" s="820">
        <v>968682</v>
      </c>
      <c r="G156" s="821"/>
      <c r="H156" s="820">
        <v>40006.58</v>
      </c>
      <c r="I156" s="821"/>
      <c r="J156" s="820">
        <v>0</v>
      </c>
      <c r="K156" s="821"/>
      <c r="L156" s="820">
        <v>0</v>
      </c>
      <c r="M156" s="821"/>
      <c r="N156" s="820">
        <v>119090933</v>
      </c>
      <c r="O156" s="821"/>
      <c r="P156" s="822">
        <v>1399318.46</v>
      </c>
    </row>
    <row r="157" spans="1:16" ht="8.25" customHeight="1">
      <c r="B157" s="820"/>
      <c r="C157" s="821"/>
      <c r="D157" s="820"/>
      <c r="E157" s="821"/>
      <c r="F157" s="820"/>
      <c r="G157" s="821"/>
      <c r="H157" s="820"/>
      <c r="I157" s="821"/>
      <c r="J157" s="820"/>
      <c r="K157" s="821"/>
      <c r="L157" s="820"/>
      <c r="M157" s="821"/>
      <c r="N157" s="820"/>
      <c r="O157" s="821"/>
      <c r="P157" s="822"/>
    </row>
    <row r="158" spans="1:16" ht="12" customHeight="1">
      <c r="A158" s="777" t="s">
        <v>433</v>
      </c>
      <c r="B158" s="820">
        <v>155919964</v>
      </c>
      <c r="C158" s="821"/>
      <c r="D158" s="820">
        <v>7795998.2000000002</v>
      </c>
      <c r="E158" s="821"/>
      <c r="F158" s="820">
        <v>0</v>
      </c>
      <c r="G158" s="821"/>
      <c r="H158" s="820">
        <v>0</v>
      </c>
      <c r="I158" s="821"/>
      <c r="J158" s="820">
        <v>0</v>
      </c>
      <c r="K158" s="821"/>
      <c r="L158" s="820">
        <v>0</v>
      </c>
      <c r="M158" s="821"/>
      <c r="N158" s="820">
        <v>0</v>
      </c>
      <c r="O158" s="821"/>
      <c r="P158" s="822">
        <v>0</v>
      </c>
    </row>
    <row r="159" spans="1:16" ht="12" customHeight="1">
      <c r="A159" s="777" t="s">
        <v>24</v>
      </c>
      <c r="B159" s="820">
        <v>67729504</v>
      </c>
      <c r="C159" s="821"/>
      <c r="D159" s="820">
        <v>3047827.68</v>
      </c>
      <c r="E159" s="821"/>
      <c r="F159" s="820">
        <v>1205332</v>
      </c>
      <c r="G159" s="821"/>
      <c r="H159" s="820">
        <v>24106.639999999999</v>
      </c>
      <c r="I159" s="821"/>
      <c r="J159" s="820">
        <v>0</v>
      </c>
      <c r="K159" s="821"/>
      <c r="L159" s="820">
        <v>0</v>
      </c>
      <c r="M159" s="821"/>
      <c r="N159" s="820">
        <v>8390726</v>
      </c>
      <c r="O159" s="821"/>
      <c r="P159" s="822">
        <v>86537.669199999989</v>
      </c>
    </row>
    <row r="160" spans="1:16" ht="12" customHeight="1">
      <c r="A160" s="777" t="s">
        <v>136</v>
      </c>
      <c r="B160" s="820">
        <v>396802006</v>
      </c>
      <c r="C160" s="821"/>
      <c r="D160" s="820">
        <v>13491268.203999998</v>
      </c>
      <c r="E160" s="821"/>
      <c r="F160" s="820">
        <v>16251225</v>
      </c>
      <c r="G160" s="821"/>
      <c r="H160" s="820">
        <v>130009.8</v>
      </c>
      <c r="I160" s="821"/>
      <c r="J160" s="820">
        <v>0</v>
      </c>
      <c r="K160" s="821"/>
      <c r="L160" s="820">
        <v>0</v>
      </c>
      <c r="M160" s="821"/>
      <c r="N160" s="820">
        <v>657943</v>
      </c>
      <c r="O160" s="821"/>
      <c r="P160" s="822">
        <v>5664.5160000000005</v>
      </c>
    </row>
    <row r="161" spans="1:16" ht="12" customHeight="1">
      <c r="A161" s="777" t="s">
        <v>138</v>
      </c>
      <c r="B161" s="820">
        <v>45782687</v>
      </c>
      <c r="C161" s="826"/>
      <c r="D161" s="820">
        <v>1019090.6209999999</v>
      </c>
      <c r="E161" s="820"/>
      <c r="F161" s="820">
        <v>84993232</v>
      </c>
      <c r="G161" s="820"/>
      <c r="H161" s="820">
        <v>1274898.48</v>
      </c>
      <c r="I161" s="820"/>
      <c r="J161" s="820">
        <v>0</v>
      </c>
      <c r="K161" s="820"/>
      <c r="L161" s="820">
        <v>0</v>
      </c>
      <c r="M161" s="820"/>
      <c r="N161" s="820">
        <v>15615523</v>
      </c>
      <c r="O161" s="820"/>
      <c r="P161" s="822">
        <v>127714.08550000002</v>
      </c>
    </row>
    <row r="162" spans="1:16" ht="12" customHeight="1">
      <c r="A162" s="777" t="s">
        <v>443</v>
      </c>
      <c r="B162" s="820">
        <v>1091333359</v>
      </c>
      <c r="C162" s="821"/>
      <c r="D162" s="820">
        <v>46214999.608000003</v>
      </c>
      <c r="E162" s="821"/>
      <c r="F162" s="820">
        <v>85797234</v>
      </c>
      <c r="G162" s="821"/>
      <c r="H162" s="820">
        <v>2850327.0950000002</v>
      </c>
      <c r="I162" s="821"/>
      <c r="J162" s="820">
        <v>0</v>
      </c>
      <c r="K162" s="821"/>
      <c r="L162" s="820">
        <v>0</v>
      </c>
      <c r="M162" s="821"/>
      <c r="N162" s="820">
        <v>395655954</v>
      </c>
      <c r="O162" s="821"/>
      <c r="P162" s="822">
        <v>4921452.928199999</v>
      </c>
    </row>
    <row r="163" spans="1:16" ht="8.25" customHeight="1">
      <c r="B163" s="820"/>
      <c r="C163" s="821"/>
      <c r="D163" s="820"/>
      <c r="E163" s="821"/>
      <c r="F163" s="820"/>
      <c r="G163" s="821"/>
      <c r="H163" s="820"/>
      <c r="I163" s="821"/>
      <c r="J163" s="820"/>
      <c r="K163" s="821"/>
      <c r="L163" s="820"/>
      <c r="M163" s="821"/>
      <c r="N163" s="820"/>
      <c r="O163" s="821"/>
      <c r="P163" s="822"/>
    </row>
    <row r="164" spans="1:16" ht="12" customHeight="1">
      <c r="A164" s="777" t="s">
        <v>834</v>
      </c>
      <c r="B164" s="820">
        <v>443336602</v>
      </c>
      <c r="C164" s="826"/>
      <c r="D164" s="820">
        <v>12687094.592599999</v>
      </c>
      <c r="E164" s="820"/>
      <c r="F164" s="820">
        <v>129877009</v>
      </c>
      <c r="G164" s="820"/>
      <c r="H164" s="820">
        <v>2753392.5908000004</v>
      </c>
      <c r="I164" s="820"/>
      <c r="J164" s="820">
        <v>0</v>
      </c>
      <c r="K164" s="824"/>
      <c r="L164" s="820">
        <v>0</v>
      </c>
      <c r="M164" s="824"/>
      <c r="N164" s="820">
        <v>48885871</v>
      </c>
      <c r="O164" s="820"/>
      <c r="P164" s="822">
        <v>421097.84180000005</v>
      </c>
    </row>
    <row r="165" spans="1:16" ht="12" customHeight="1">
      <c r="A165" s="777" t="s">
        <v>144</v>
      </c>
      <c r="B165" s="820">
        <v>153554392</v>
      </c>
      <c r="C165" s="826"/>
      <c r="D165" s="820">
        <v>5368088.1677000001</v>
      </c>
      <c r="E165" s="820"/>
      <c r="F165" s="820">
        <v>290803910</v>
      </c>
      <c r="G165" s="820"/>
      <c r="H165" s="820">
        <v>0</v>
      </c>
      <c r="I165" s="820"/>
      <c r="J165" s="820">
        <v>0</v>
      </c>
      <c r="K165" s="820"/>
      <c r="L165" s="820">
        <v>0</v>
      </c>
      <c r="M165" s="820"/>
      <c r="N165" s="820">
        <v>396788105</v>
      </c>
      <c r="O165" s="820"/>
      <c r="P165" s="822">
        <v>4489703.1084999992</v>
      </c>
    </row>
    <row r="166" spans="1:16" ht="12" customHeight="1">
      <c r="A166" s="777" t="s">
        <v>835</v>
      </c>
      <c r="B166" s="820">
        <v>44001870.950000003</v>
      </c>
      <c r="C166" s="826"/>
      <c r="D166" s="820">
        <v>1867150.6503750002</v>
      </c>
      <c r="E166" s="820"/>
      <c r="F166" s="820">
        <v>86864.35</v>
      </c>
      <c r="G166" s="820"/>
      <c r="H166" s="820">
        <v>3691.7348750000006</v>
      </c>
      <c r="I166" s="820"/>
      <c r="J166" s="820">
        <v>0</v>
      </c>
      <c r="K166" s="820"/>
      <c r="L166" s="820">
        <v>0</v>
      </c>
      <c r="M166" s="820"/>
      <c r="N166" s="820">
        <v>189714</v>
      </c>
      <c r="O166" s="820"/>
      <c r="P166" s="822">
        <v>8062.8450000000003</v>
      </c>
    </row>
    <row r="167" spans="1:16" ht="12" customHeight="1">
      <c r="A167" s="782" t="s">
        <v>148</v>
      </c>
      <c r="B167" s="822">
        <v>706588807</v>
      </c>
      <c r="C167" s="829"/>
      <c r="D167" s="822">
        <v>22432588.0656</v>
      </c>
      <c r="E167" s="822"/>
      <c r="F167" s="822">
        <v>175643050</v>
      </c>
      <c r="G167" s="822"/>
      <c r="H167" s="822">
        <v>5269291.5</v>
      </c>
      <c r="I167" s="822"/>
      <c r="J167" s="822">
        <v>0</v>
      </c>
      <c r="K167" s="830"/>
      <c r="L167" s="822">
        <v>0</v>
      </c>
      <c r="M167" s="830"/>
      <c r="N167" s="822">
        <v>234378511</v>
      </c>
      <c r="O167" s="822"/>
      <c r="P167" s="822">
        <v>2611364.3160000001</v>
      </c>
    </row>
    <row r="168" spans="1:16" s="725" customFormat="1" ht="12" customHeight="1">
      <c r="A168" s="782" t="s">
        <v>836</v>
      </c>
      <c r="B168" s="822">
        <v>394726840</v>
      </c>
      <c r="C168" s="829"/>
      <c r="D168" s="822">
        <v>13983311.2535</v>
      </c>
      <c r="E168" s="822"/>
      <c r="F168" s="822">
        <v>528032440</v>
      </c>
      <c r="G168" s="822"/>
      <c r="H168" s="822">
        <v>4948396.0410000002</v>
      </c>
      <c r="I168" s="822"/>
      <c r="J168" s="822">
        <v>0</v>
      </c>
      <c r="K168" s="830"/>
      <c r="L168" s="822">
        <v>0</v>
      </c>
      <c r="M168" s="830"/>
      <c r="N168" s="822">
        <v>107611630</v>
      </c>
      <c r="O168" s="822"/>
      <c r="P168" s="822">
        <v>1592864.76</v>
      </c>
    </row>
    <row r="169" spans="1:16" ht="14.25" customHeight="1">
      <c r="A169" s="776" t="s">
        <v>868</v>
      </c>
      <c r="B169" s="810"/>
      <c r="C169" s="791"/>
      <c r="D169" s="810"/>
      <c r="E169" s="791"/>
      <c r="F169" s="810"/>
      <c r="G169" s="791"/>
      <c r="H169" s="810"/>
      <c r="I169" s="791"/>
      <c r="J169" s="810"/>
      <c r="K169" s="791"/>
      <c r="L169" s="810"/>
      <c r="M169" s="791"/>
      <c r="N169" s="810"/>
      <c r="O169" s="791"/>
      <c r="P169" s="810"/>
    </row>
    <row r="170" spans="1:16" s="745" customFormat="1" ht="13">
      <c r="A170" s="811" t="s">
        <v>861</v>
      </c>
      <c r="B170" s="811"/>
      <c r="C170" s="811"/>
      <c r="D170" s="811"/>
      <c r="E170" s="811"/>
      <c r="F170" s="811"/>
      <c r="G170" s="811"/>
      <c r="H170" s="811"/>
      <c r="I170" s="811"/>
      <c r="J170" s="811"/>
      <c r="K170" s="811"/>
      <c r="L170" s="811"/>
      <c r="M170" s="811"/>
      <c r="N170" s="811"/>
      <c r="O170" s="811"/>
      <c r="P170" s="811"/>
    </row>
    <row r="171" spans="1:16" ht="13">
      <c r="A171" s="813" t="s">
        <v>903</v>
      </c>
      <c r="B171" s="813"/>
      <c r="C171" s="814"/>
      <c r="D171" s="814"/>
      <c r="E171" s="814"/>
      <c r="F171" s="814"/>
      <c r="G171" s="814"/>
      <c r="H171" s="814"/>
      <c r="I171" s="814"/>
      <c r="J171" s="814"/>
      <c r="K171" s="814"/>
      <c r="L171" s="814"/>
      <c r="M171" s="814"/>
      <c r="N171" s="814"/>
      <c r="O171" s="814"/>
      <c r="P171" s="814"/>
    </row>
    <row r="172" spans="1:16" ht="8.25" customHeight="1" thickBot="1">
      <c r="A172" s="778"/>
      <c r="B172" s="778"/>
      <c r="C172" s="778"/>
      <c r="D172" s="778"/>
      <c r="E172" s="778"/>
      <c r="F172" s="778"/>
      <c r="G172" s="778"/>
      <c r="H172" s="778"/>
      <c r="I172" s="778"/>
      <c r="J172" s="778"/>
      <c r="K172" s="778"/>
      <c r="L172" s="778"/>
      <c r="M172" s="778"/>
      <c r="N172" s="778"/>
      <c r="O172" s="778"/>
      <c r="P172" s="778"/>
    </row>
    <row r="173" spans="1:16" ht="12.75" customHeight="1">
      <c r="A173" s="791"/>
      <c r="B173" s="1967" t="s">
        <v>862</v>
      </c>
      <c r="C173" s="1967"/>
      <c r="D173" s="1967"/>
      <c r="E173" s="791"/>
      <c r="F173" s="1967" t="s">
        <v>863</v>
      </c>
      <c r="G173" s="1967"/>
      <c r="H173" s="1967"/>
      <c r="I173" s="791"/>
      <c r="J173" s="1967" t="s">
        <v>864</v>
      </c>
      <c r="K173" s="1967"/>
      <c r="L173" s="1967"/>
      <c r="M173" s="791"/>
      <c r="N173" s="1967" t="s">
        <v>865</v>
      </c>
      <c r="O173" s="1967"/>
      <c r="P173" s="1967"/>
    </row>
    <row r="174" spans="1:16" ht="10.5" customHeight="1">
      <c r="A174" s="815" t="s">
        <v>23</v>
      </c>
      <c r="B174" s="816" t="s">
        <v>866</v>
      </c>
      <c r="C174" s="779"/>
      <c r="D174" s="816" t="s">
        <v>867</v>
      </c>
      <c r="E174" s="779"/>
      <c r="F174" s="816" t="s">
        <v>866</v>
      </c>
      <c r="G174" s="779"/>
      <c r="H174" s="816" t="s">
        <v>867</v>
      </c>
      <c r="I174" s="779"/>
      <c r="J174" s="816" t="s">
        <v>866</v>
      </c>
      <c r="K174" s="779"/>
      <c r="L174" s="816" t="s">
        <v>867</v>
      </c>
      <c r="M174" s="779"/>
      <c r="N174" s="816" t="s">
        <v>866</v>
      </c>
      <c r="O174" s="779"/>
      <c r="P174" s="816" t="s">
        <v>867</v>
      </c>
    </row>
    <row r="175" spans="1:16" ht="6" customHeight="1"/>
    <row r="176" spans="1:16" ht="12" customHeight="1">
      <c r="A176" s="777" t="s">
        <v>911</v>
      </c>
      <c r="B176" s="817">
        <v>148861685</v>
      </c>
      <c r="C176" s="818"/>
      <c r="D176" s="817">
        <v>5208028.6000000006</v>
      </c>
      <c r="E176" s="818"/>
      <c r="F176" s="817">
        <v>1001820</v>
      </c>
      <c r="G176" s="818"/>
      <c r="H176" s="817">
        <v>35063.79</v>
      </c>
      <c r="I176" s="818"/>
      <c r="J176" s="817">
        <v>0</v>
      </c>
      <c r="K176" s="818"/>
      <c r="L176" s="817">
        <v>0</v>
      </c>
      <c r="M176" s="818"/>
      <c r="N176" s="817">
        <v>29893474</v>
      </c>
      <c r="O176" s="818"/>
      <c r="P176" s="819">
        <v>463348.85</v>
      </c>
    </row>
    <row r="177" spans="1:16" ht="12" customHeight="1">
      <c r="A177" s="777" t="s">
        <v>154</v>
      </c>
      <c r="B177" s="820">
        <v>121108524</v>
      </c>
      <c r="C177" s="826"/>
      <c r="D177" s="820">
        <v>2785075.3469999996</v>
      </c>
      <c r="E177" s="826"/>
      <c r="F177" s="820">
        <v>9271824</v>
      </c>
      <c r="G177" s="826"/>
      <c r="H177" s="820">
        <v>171528.74400000001</v>
      </c>
      <c r="I177" s="826"/>
      <c r="J177" s="820">
        <v>0</v>
      </c>
      <c r="K177" s="826"/>
      <c r="L177" s="820">
        <v>0</v>
      </c>
      <c r="M177" s="826"/>
      <c r="N177" s="820">
        <v>26482800</v>
      </c>
      <c r="O177" s="826"/>
      <c r="P177" s="822">
        <v>287280.060084</v>
      </c>
    </row>
    <row r="178" spans="1:16" ht="12" customHeight="1">
      <c r="A178" s="777" t="s">
        <v>156</v>
      </c>
      <c r="B178" s="820">
        <v>1481437647</v>
      </c>
      <c r="C178" s="826"/>
      <c r="D178" s="820">
        <v>63099596.520400003</v>
      </c>
      <c r="E178" s="826"/>
      <c r="F178" s="820">
        <v>654377924</v>
      </c>
      <c r="G178" s="826"/>
      <c r="H178" s="820">
        <v>24539172.43</v>
      </c>
      <c r="I178" s="826"/>
      <c r="J178" s="820">
        <v>0</v>
      </c>
      <c r="K178" s="826"/>
      <c r="L178" s="820">
        <v>0</v>
      </c>
      <c r="M178" s="826"/>
      <c r="N178" s="820">
        <v>349211885</v>
      </c>
      <c r="O178" s="826"/>
      <c r="P178" s="822">
        <v>4386273.9226000002</v>
      </c>
    </row>
    <row r="179" spans="1:16" ht="12" customHeight="1">
      <c r="A179" s="777" t="s">
        <v>158</v>
      </c>
      <c r="B179" s="820">
        <v>726794194.14999998</v>
      </c>
      <c r="C179" s="821"/>
      <c r="D179" s="820">
        <v>27554555.665875003</v>
      </c>
      <c r="E179" s="821"/>
      <c r="F179" s="820">
        <v>206173924</v>
      </c>
      <c r="G179" s="821"/>
      <c r="H179" s="820">
        <v>6513149.9330000002</v>
      </c>
      <c r="I179" s="821"/>
      <c r="J179" s="820">
        <v>0</v>
      </c>
      <c r="K179" s="821"/>
      <c r="L179" s="820">
        <v>0</v>
      </c>
      <c r="M179" s="821"/>
      <c r="N179" s="820">
        <v>799618378</v>
      </c>
      <c r="O179" s="821"/>
      <c r="P179" s="822">
        <v>9222755.6679999996</v>
      </c>
    </row>
    <row r="180" spans="1:16" ht="12" customHeight="1">
      <c r="A180" s="777" t="s">
        <v>837</v>
      </c>
      <c r="B180" s="820">
        <v>33141316</v>
      </c>
      <c r="C180" s="821"/>
      <c r="D180" s="820">
        <v>663528.36950000003</v>
      </c>
      <c r="E180" s="821"/>
      <c r="F180" s="820">
        <v>5194981</v>
      </c>
      <c r="G180" s="821"/>
      <c r="H180" s="820">
        <v>106497.1105</v>
      </c>
      <c r="I180" s="821"/>
      <c r="J180" s="820">
        <v>0</v>
      </c>
      <c r="K180" s="821"/>
      <c r="L180" s="820">
        <v>0</v>
      </c>
      <c r="M180" s="821"/>
      <c r="N180" s="820">
        <v>26890950</v>
      </c>
      <c r="O180" s="821"/>
      <c r="P180" s="822">
        <v>242018.55</v>
      </c>
    </row>
    <row r="181" spans="1:16" ht="6" customHeight="1">
      <c r="B181" s="820"/>
      <c r="C181" s="821"/>
      <c r="D181" s="820"/>
      <c r="E181" s="821"/>
      <c r="F181" s="820"/>
      <c r="G181" s="821"/>
      <c r="H181" s="820"/>
      <c r="I181" s="821"/>
      <c r="J181" s="820"/>
      <c r="K181" s="821"/>
      <c r="L181" s="820"/>
      <c r="M181" s="821"/>
      <c r="N181" s="820"/>
      <c r="O181" s="821"/>
      <c r="P181" s="822"/>
    </row>
    <row r="182" spans="1:16" ht="12" customHeight="1">
      <c r="A182" s="777" t="s">
        <v>910</v>
      </c>
      <c r="B182" s="820">
        <v>179256015</v>
      </c>
      <c r="C182" s="821"/>
      <c r="D182" s="820">
        <v>46608240.060000002</v>
      </c>
      <c r="E182" s="821"/>
      <c r="F182" s="820">
        <v>38823776</v>
      </c>
      <c r="G182" s="821"/>
      <c r="H182" s="820">
        <v>1475303.48</v>
      </c>
      <c r="I182" s="821"/>
      <c r="J182" s="820">
        <v>0</v>
      </c>
      <c r="K182" s="821"/>
      <c r="L182" s="820">
        <v>0</v>
      </c>
      <c r="M182" s="821"/>
      <c r="N182" s="820">
        <v>311967873</v>
      </c>
      <c r="O182" s="821"/>
      <c r="P182" s="822">
        <v>7372264.2699999996</v>
      </c>
    </row>
    <row r="183" spans="1:16" ht="12" customHeight="1">
      <c r="A183" s="777" t="s">
        <v>909</v>
      </c>
      <c r="B183" s="820">
        <v>162722390</v>
      </c>
      <c r="C183" s="821"/>
      <c r="D183" s="820">
        <v>4866799.04</v>
      </c>
      <c r="E183" s="821"/>
      <c r="F183" s="820">
        <v>0</v>
      </c>
      <c r="G183" s="821"/>
      <c r="H183" s="820">
        <v>0</v>
      </c>
      <c r="I183" s="821"/>
      <c r="J183" s="820">
        <v>0</v>
      </c>
      <c r="K183" s="821"/>
      <c r="L183" s="820">
        <v>0</v>
      </c>
      <c r="M183" s="821"/>
      <c r="N183" s="820">
        <v>22895189</v>
      </c>
      <c r="O183" s="821"/>
      <c r="P183" s="822">
        <v>261005.16</v>
      </c>
    </row>
    <row r="184" spans="1:16" ht="12" customHeight="1">
      <c r="A184" s="777" t="s">
        <v>894</v>
      </c>
      <c r="B184" s="820">
        <v>742662810.92999995</v>
      </c>
      <c r="C184" s="821"/>
      <c r="D184" s="820">
        <v>32730745.759999998</v>
      </c>
      <c r="E184" s="821"/>
      <c r="F184" s="820">
        <v>34139299</v>
      </c>
      <c r="G184" s="821"/>
      <c r="H184" s="820">
        <v>1024540.23</v>
      </c>
      <c r="I184" s="821"/>
      <c r="J184" s="820">
        <v>0</v>
      </c>
      <c r="K184" s="821"/>
      <c r="L184" s="820">
        <v>0</v>
      </c>
      <c r="M184" s="821"/>
      <c r="N184" s="820">
        <v>249173089</v>
      </c>
      <c r="O184" s="821"/>
      <c r="P184" s="822">
        <v>3281878.31</v>
      </c>
    </row>
    <row r="185" spans="1:16" ht="12" customHeight="1">
      <c r="A185" s="777" t="s">
        <v>168</v>
      </c>
      <c r="B185" s="820">
        <v>65822818</v>
      </c>
      <c r="C185" s="826"/>
      <c r="D185" s="820">
        <v>1598807.11</v>
      </c>
      <c r="E185" s="826"/>
      <c r="F185" s="820">
        <v>15590734</v>
      </c>
      <c r="G185" s="826"/>
      <c r="H185" s="820">
        <v>274396.95</v>
      </c>
      <c r="I185" s="826"/>
      <c r="J185" s="820">
        <v>0</v>
      </c>
      <c r="K185" s="826"/>
      <c r="L185" s="820">
        <v>0</v>
      </c>
      <c r="M185" s="826"/>
      <c r="N185" s="820">
        <v>25370785</v>
      </c>
      <c r="O185" s="826"/>
      <c r="P185" s="822">
        <v>208123.72999999998</v>
      </c>
    </row>
    <row r="186" spans="1:16" ht="12" customHeight="1">
      <c r="A186" s="777" t="s">
        <v>916</v>
      </c>
      <c r="B186" s="820">
        <v>1644133094</v>
      </c>
      <c r="C186" s="826"/>
      <c r="D186" s="820">
        <v>60527461.847000003</v>
      </c>
      <c r="E186" s="826"/>
      <c r="F186" s="820">
        <v>676103593</v>
      </c>
      <c r="G186" s="826"/>
      <c r="H186" s="820">
        <v>15550383</v>
      </c>
      <c r="I186" s="826"/>
      <c r="J186" s="820">
        <v>0</v>
      </c>
      <c r="K186" s="826"/>
      <c r="L186" s="820">
        <v>0</v>
      </c>
      <c r="M186" s="826"/>
      <c r="N186" s="820">
        <v>969397157</v>
      </c>
      <c r="O186" s="826"/>
      <c r="P186" s="822">
        <v>11619031.319999998</v>
      </c>
    </row>
    <row r="187" spans="1:16" ht="8.25" customHeight="1">
      <c r="B187" s="820"/>
      <c r="C187" s="826"/>
      <c r="D187" s="820"/>
      <c r="E187" s="826"/>
      <c r="F187" s="820"/>
      <c r="G187" s="826"/>
      <c r="H187" s="820"/>
      <c r="I187" s="826"/>
      <c r="J187" s="820"/>
      <c r="K187" s="826"/>
      <c r="L187" s="820"/>
      <c r="M187" s="826"/>
      <c r="N187" s="820"/>
      <c r="O187" s="826"/>
      <c r="P187" s="822"/>
    </row>
    <row r="188" spans="1:16" ht="12" customHeight="1">
      <c r="A188" s="777" t="s">
        <v>25</v>
      </c>
      <c r="B188" s="820">
        <v>942833369</v>
      </c>
      <c r="C188" s="821"/>
      <c r="D188" s="820">
        <v>31727371.605</v>
      </c>
      <c r="E188" s="821"/>
      <c r="F188" s="820">
        <v>106574029</v>
      </c>
      <c r="G188" s="821"/>
      <c r="H188" s="820">
        <v>3676804.0005000001</v>
      </c>
      <c r="I188" s="821"/>
      <c r="J188" s="820">
        <v>0</v>
      </c>
      <c r="K188" s="821"/>
      <c r="L188" s="820">
        <v>0</v>
      </c>
      <c r="M188" s="821"/>
      <c r="N188" s="820">
        <v>473460193</v>
      </c>
      <c r="O188" s="821"/>
      <c r="P188" s="822">
        <v>5823703.0296999998</v>
      </c>
    </row>
    <row r="189" spans="1:16" ht="12" customHeight="1">
      <c r="A189" s="777" t="s">
        <v>169</v>
      </c>
      <c r="B189" s="820">
        <v>378252858</v>
      </c>
      <c r="C189" s="821"/>
      <c r="D189" s="820">
        <v>12275017.130799998</v>
      </c>
      <c r="E189" s="821"/>
      <c r="F189" s="820">
        <v>97126932</v>
      </c>
      <c r="G189" s="821"/>
      <c r="H189" s="820">
        <v>3108061.82</v>
      </c>
      <c r="I189" s="821"/>
      <c r="J189" s="820">
        <v>0</v>
      </c>
      <c r="K189" s="821"/>
      <c r="L189" s="820">
        <v>0</v>
      </c>
      <c r="M189" s="821"/>
      <c r="N189" s="820">
        <v>60840085</v>
      </c>
      <c r="O189" s="821"/>
      <c r="P189" s="822">
        <v>718222.8406</v>
      </c>
    </row>
    <row r="190" spans="1:16" ht="12" customHeight="1">
      <c r="A190" s="777" t="s">
        <v>170</v>
      </c>
      <c r="B190" s="820">
        <v>274750284</v>
      </c>
      <c r="C190" s="821"/>
      <c r="D190" s="820">
        <v>7929300.7599999998</v>
      </c>
      <c r="E190" s="821"/>
      <c r="F190" s="820">
        <v>38573247</v>
      </c>
      <c r="G190" s="821"/>
      <c r="H190" s="820">
        <v>478308.25</v>
      </c>
      <c r="I190" s="821"/>
      <c r="J190" s="820">
        <v>0</v>
      </c>
      <c r="K190" s="821"/>
      <c r="L190" s="820">
        <v>0</v>
      </c>
      <c r="M190" s="821"/>
      <c r="N190" s="820">
        <v>100413441</v>
      </c>
      <c r="O190" s="821"/>
      <c r="P190" s="822">
        <v>956323.37</v>
      </c>
    </row>
    <row r="191" spans="1:16" ht="12" customHeight="1">
      <c r="A191" s="777" t="s">
        <v>171</v>
      </c>
      <c r="B191" s="820">
        <v>1101646200</v>
      </c>
      <c r="C191" s="826"/>
      <c r="D191" s="820">
        <v>45394893.800000004</v>
      </c>
      <c r="E191" s="826"/>
      <c r="F191" s="820">
        <v>77115800</v>
      </c>
      <c r="G191" s="826"/>
      <c r="H191" s="820">
        <v>2429147.7000000002</v>
      </c>
      <c r="I191" s="826"/>
      <c r="J191" s="820">
        <v>0</v>
      </c>
      <c r="K191" s="826"/>
      <c r="L191" s="820">
        <v>0</v>
      </c>
      <c r="M191" s="826"/>
      <c r="N191" s="820">
        <v>413763467</v>
      </c>
      <c r="O191" s="826"/>
      <c r="P191" s="822">
        <v>4598792.7333000004</v>
      </c>
    </row>
    <row r="192" spans="1:16" ht="12" customHeight="1">
      <c r="A192" s="777" t="s">
        <v>602</v>
      </c>
      <c r="B192" s="820">
        <v>4564438531</v>
      </c>
      <c r="C192" s="826"/>
      <c r="D192" s="820">
        <v>171690392.98304999</v>
      </c>
      <c r="E192" s="826"/>
      <c r="F192" s="820">
        <v>221880258</v>
      </c>
      <c r="G192" s="826"/>
      <c r="H192" s="820">
        <v>488136.56759999995</v>
      </c>
      <c r="I192" s="826"/>
      <c r="J192" s="820">
        <v>0</v>
      </c>
      <c r="K192" s="826"/>
      <c r="L192" s="820">
        <v>0</v>
      </c>
      <c r="M192" s="826"/>
      <c r="N192" s="820">
        <v>1965274152</v>
      </c>
      <c r="O192" s="826"/>
      <c r="P192" s="822">
        <v>9951836.1999999993</v>
      </c>
    </row>
    <row r="193" spans="1:16" ht="8.25" customHeight="1">
      <c r="B193" s="820"/>
      <c r="C193" s="826"/>
      <c r="D193" s="820"/>
      <c r="E193" s="826"/>
      <c r="F193" s="820"/>
      <c r="G193" s="826"/>
      <c r="H193" s="820"/>
      <c r="I193" s="826"/>
      <c r="J193" s="820"/>
      <c r="K193" s="826"/>
      <c r="L193" s="820"/>
      <c r="M193" s="826"/>
      <c r="N193" s="820"/>
      <c r="O193" s="826"/>
      <c r="P193" s="822"/>
    </row>
    <row r="194" spans="1:16" ht="12" customHeight="1">
      <c r="A194" s="777" t="s">
        <v>173</v>
      </c>
      <c r="B194" s="820">
        <v>208249206</v>
      </c>
      <c r="C194" s="826"/>
      <c r="D194" s="820">
        <v>6751046.5899999999</v>
      </c>
      <c r="E194" s="826"/>
      <c r="F194" s="820">
        <v>34198240</v>
      </c>
      <c r="G194" s="826"/>
      <c r="H194" s="820">
        <v>1111442.8</v>
      </c>
      <c r="I194" s="826"/>
      <c r="J194" s="820">
        <v>0</v>
      </c>
      <c r="K194" s="828"/>
      <c r="L194" s="820">
        <v>0</v>
      </c>
      <c r="M194" s="828"/>
      <c r="N194" s="820">
        <v>113298717</v>
      </c>
      <c r="O194" s="826"/>
      <c r="P194" s="822">
        <v>1021157.79</v>
      </c>
    </row>
    <row r="195" spans="1:16" ht="12" customHeight="1">
      <c r="A195" s="777" t="s">
        <v>838</v>
      </c>
      <c r="B195" s="820">
        <v>86814014.609999999</v>
      </c>
      <c r="C195" s="821"/>
      <c r="D195" s="820">
        <v>3023695.1599999997</v>
      </c>
      <c r="E195" s="821"/>
      <c r="F195" s="820">
        <v>35850</v>
      </c>
      <c r="G195" s="821"/>
      <c r="H195" s="820">
        <v>1254.75</v>
      </c>
      <c r="I195" s="821"/>
      <c r="J195" s="820">
        <v>0</v>
      </c>
      <c r="K195" s="821"/>
      <c r="L195" s="820">
        <v>0</v>
      </c>
      <c r="M195" s="821"/>
      <c r="N195" s="820">
        <v>54685977</v>
      </c>
      <c r="O195" s="821"/>
      <c r="P195" s="822">
        <v>328115.86</v>
      </c>
    </row>
    <row r="196" spans="1:16" ht="12" customHeight="1">
      <c r="A196" s="777" t="s">
        <v>177</v>
      </c>
      <c r="B196" s="820">
        <v>402706533</v>
      </c>
      <c r="C196" s="826"/>
      <c r="D196" s="820">
        <v>16713547</v>
      </c>
      <c r="E196" s="826"/>
      <c r="F196" s="820">
        <v>136009904</v>
      </c>
      <c r="G196" s="826"/>
      <c r="H196" s="820">
        <v>1768129</v>
      </c>
      <c r="I196" s="826"/>
      <c r="J196" s="820">
        <v>0</v>
      </c>
      <c r="K196" s="828"/>
      <c r="L196" s="820">
        <v>0</v>
      </c>
      <c r="M196" s="828"/>
      <c r="N196" s="820">
        <v>88501933</v>
      </c>
      <c r="O196" s="826"/>
      <c r="P196" s="822">
        <v>824727</v>
      </c>
    </row>
    <row r="197" spans="1:16" ht="7.5" customHeight="1"/>
    <row r="198" spans="1:16" s="746" customFormat="1" ht="12" customHeight="1">
      <c r="A198" s="788" t="s">
        <v>27</v>
      </c>
      <c r="B198" s="788">
        <v>22378847066.959999</v>
      </c>
      <c r="C198" s="788"/>
      <c r="D198" s="788">
        <v>886713441.56759989</v>
      </c>
      <c r="E198" s="788"/>
      <c r="F198" s="788">
        <v>4047912377.3499999</v>
      </c>
      <c r="G198" s="788"/>
      <c r="H198" s="788">
        <v>90568119.383274987</v>
      </c>
      <c r="I198" s="788"/>
      <c r="J198" s="788">
        <v>0</v>
      </c>
      <c r="K198" s="788"/>
      <c r="L198" s="788">
        <v>0</v>
      </c>
      <c r="M198" s="788"/>
      <c r="N198" s="788">
        <v>9684024573.0400009</v>
      </c>
      <c r="O198" s="788"/>
      <c r="P198" s="788">
        <v>100697658.30438399</v>
      </c>
    </row>
    <row r="199" spans="1:16" s="746" customFormat="1" ht="12" customHeight="1">
      <c r="A199" s="788" t="s">
        <v>22</v>
      </c>
      <c r="B199" s="788">
        <v>76347804669.240005</v>
      </c>
      <c r="C199" s="788"/>
      <c r="D199" s="788">
        <v>2714246287.5698733</v>
      </c>
      <c r="E199" s="788"/>
      <c r="F199" s="788">
        <v>7519458050.54</v>
      </c>
      <c r="G199" s="788"/>
      <c r="H199" s="788">
        <v>137184477.84852505</v>
      </c>
      <c r="I199" s="788"/>
      <c r="J199" s="788">
        <v>1344289010.71</v>
      </c>
      <c r="K199" s="788"/>
      <c r="L199" s="788">
        <v>14010085.905490002</v>
      </c>
      <c r="M199" s="788"/>
      <c r="N199" s="788">
        <v>39525519269.5</v>
      </c>
      <c r="O199" s="788"/>
      <c r="P199" s="788">
        <v>308631758.55084604</v>
      </c>
    </row>
    <row r="200" spans="1:16" ht="8.25" customHeight="1"/>
    <row r="201" spans="1:16" ht="12.75" customHeight="1">
      <c r="A201" s="787" t="s">
        <v>28</v>
      </c>
      <c r="B201" s="788">
        <v>98726651736.200012</v>
      </c>
      <c r="C201" s="788"/>
      <c r="D201" s="788">
        <v>3600959729.1374731</v>
      </c>
      <c r="E201" s="788"/>
      <c r="F201" s="788">
        <v>11567370427.889999</v>
      </c>
      <c r="G201" s="788"/>
      <c r="H201" s="788">
        <v>227752597.23180002</v>
      </c>
      <c r="I201" s="788"/>
      <c r="J201" s="788">
        <v>1344289010.71</v>
      </c>
      <c r="K201" s="788"/>
      <c r="L201" s="788">
        <v>14010085.905490002</v>
      </c>
      <c r="M201" s="788"/>
      <c r="N201" s="788">
        <v>49209543842.540001</v>
      </c>
      <c r="O201" s="788"/>
      <c r="P201" s="788">
        <v>409329416.85523003</v>
      </c>
    </row>
    <row r="202" spans="1:16" ht="8.25" customHeight="1">
      <c r="A202" s="782"/>
      <c r="B202" s="756"/>
      <c r="C202" s="756"/>
      <c r="D202" s="756"/>
      <c r="E202" s="756"/>
      <c r="F202" s="756"/>
      <c r="G202" s="756"/>
      <c r="H202" s="756"/>
      <c r="I202" s="756"/>
      <c r="J202" s="756"/>
      <c r="K202" s="756"/>
      <c r="L202" s="756"/>
      <c r="M202" s="756"/>
      <c r="N202" s="756"/>
      <c r="O202" s="756"/>
      <c r="P202" s="756"/>
    </row>
    <row r="203" spans="1:16" ht="12" customHeight="1">
      <c r="A203" s="1966" t="s">
        <v>1</v>
      </c>
      <c r="B203" s="1966"/>
      <c r="C203" s="1966"/>
      <c r="D203" s="1966"/>
      <c r="E203" s="1966"/>
      <c r="F203" s="1966"/>
      <c r="G203" s="1966"/>
      <c r="H203" s="1966"/>
      <c r="I203" s="1966"/>
      <c r="J203" s="1966"/>
      <c r="K203" s="1966"/>
      <c r="L203" s="1966"/>
      <c r="M203" s="1966"/>
      <c r="N203" s="1966"/>
      <c r="O203" s="1966"/>
      <c r="P203" s="1966"/>
    </row>
    <row r="204" spans="1:16" ht="12" customHeight="1">
      <c r="A204" s="1966" t="s">
        <v>972</v>
      </c>
      <c r="B204" s="1966"/>
      <c r="C204" s="1966"/>
      <c r="D204" s="1966"/>
      <c r="E204" s="1966"/>
      <c r="F204" s="1966"/>
      <c r="G204" s="1966"/>
      <c r="H204" s="1966"/>
      <c r="I204" s="1966"/>
      <c r="J204" s="1966"/>
      <c r="K204" s="1966"/>
      <c r="L204" s="1966"/>
      <c r="M204" s="1966"/>
      <c r="N204" s="1966"/>
      <c r="O204" s="1966"/>
      <c r="P204" s="1966"/>
    </row>
    <row r="205" spans="1:16" ht="12" customHeight="1">
      <c r="A205" s="1965" t="s">
        <v>869</v>
      </c>
      <c r="B205" s="1965"/>
      <c r="C205" s="1965"/>
      <c r="D205" s="1965"/>
      <c r="E205" s="1965"/>
      <c r="F205" s="1965"/>
      <c r="G205" s="1965"/>
      <c r="H205" s="1965"/>
      <c r="I205" s="1965"/>
      <c r="J205" s="1965"/>
      <c r="K205" s="1965"/>
      <c r="L205" s="1965"/>
      <c r="M205" s="1965"/>
      <c r="N205" s="1965"/>
      <c r="O205" s="1965"/>
      <c r="P205" s="1965"/>
    </row>
    <row r="206" spans="1:16" ht="12" customHeight="1">
      <c r="A206" s="1965" t="s">
        <v>870</v>
      </c>
      <c r="B206" s="1965"/>
      <c r="C206" s="1965"/>
      <c r="D206" s="1965"/>
      <c r="E206" s="1965"/>
      <c r="F206" s="1965"/>
      <c r="G206" s="1965"/>
      <c r="H206" s="1965"/>
      <c r="I206" s="1965"/>
      <c r="J206" s="1965"/>
      <c r="K206" s="1965"/>
      <c r="L206" s="1965"/>
      <c r="M206" s="1965"/>
      <c r="N206" s="1965"/>
      <c r="O206" s="1965"/>
      <c r="P206" s="1965"/>
    </row>
    <row r="207" spans="1:16" ht="12" customHeight="1">
      <c r="A207" s="1965" t="s">
        <v>895</v>
      </c>
      <c r="B207" s="1965"/>
      <c r="C207" s="1965"/>
      <c r="D207" s="1965"/>
      <c r="E207" s="1965"/>
      <c r="F207" s="1965"/>
      <c r="G207" s="1965"/>
      <c r="H207" s="1965"/>
      <c r="I207" s="1965"/>
      <c r="J207" s="1965"/>
      <c r="K207" s="1965"/>
      <c r="L207" s="1965"/>
      <c r="M207" s="1965"/>
      <c r="N207" s="1965"/>
      <c r="O207" s="1965"/>
      <c r="P207" s="1965"/>
    </row>
    <row r="208" spans="1:16" ht="12" customHeight="1">
      <c r="A208" s="1965" t="s">
        <v>871</v>
      </c>
      <c r="B208" s="1965"/>
      <c r="C208" s="1965"/>
      <c r="D208" s="1965"/>
      <c r="E208" s="1965"/>
      <c r="F208" s="1965"/>
      <c r="G208" s="1965"/>
      <c r="H208" s="1965"/>
      <c r="I208" s="1965"/>
      <c r="J208" s="1965"/>
      <c r="K208" s="1965"/>
      <c r="L208" s="1965"/>
      <c r="M208" s="1965"/>
      <c r="N208" s="1965"/>
      <c r="O208" s="1965"/>
      <c r="P208" s="1965"/>
    </row>
    <row r="209" spans="1:16" ht="12" customHeight="1">
      <c r="A209" s="1965" t="s">
        <v>872</v>
      </c>
      <c r="B209" s="1965"/>
      <c r="C209" s="1965"/>
      <c r="D209" s="1965"/>
      <c r="E209" s="1965"/>
      <c r="F209" s="1965"/>
      <c r="G209" s="1965"/>
      <c r="H209" s="1965"/>
      <c r="I209" s="1965"/>
      <c r="J209" s="1965"/>
      <c r="K209" s="1965"/>
      <c r="L209" s="1965"/>
      <c r="M209" s="1965"/>
      <c r="N209" s="1965"/>
      <c r="O209" s="1965"/>
      <c r="P209" s="1965"/>
    </row>
    <row r="210" spans="1:16" ht="12" customHeight="1">
      <c r="A210" s="1965" t="s">
        <v>873</v>
      </c>
      <c r="B210" s="1965"/>
      <c r="C210" s="1965"/>
      <c r="D210" s="1965"/>
      <c r="E210" s="1965"/>
      <c r="F210" s="1965"/>
      <c r="G210" s="1965"/>
      <c r="H210" s="1965"/>
      <c r="I210" s="1965"/>
      <c r="J210" s="1965"/>
      <c r="K210" s="1965"/>
      <c r="L210" s="1965"/>
      <c r="M210" s="1965"/>
      <c r="N210" s="1965"/>
      <c r="O210" s="1965"/>
      <c r="P210" s="1965"/>
    </row>
    <row r="211" spans="1:16">
      <c r="A211" s="777" t="s">
        <v>874</v>
      </c>
      <c r="B211" s="833"/>
      <c r="C211" s="833"/>
      <c r="D211" s="833"/>
      <c r="E211" s="833"/>
      <c r="F211" s="833"/>
      <c r="G211" s="833"/>
      <c r="H211" s="833"/>
      <c r="I211" s="833"/>
      <c r="J211" s="833"/>
      <c r="K211" s="833"/>
      <c r="L211" s="833"/>
      <c r="M211" s="833"/>
      <c r="N211" s="833"/>
      <c r="O211" s="833"/>
      <c r="P211" s="833"/>
    </row>
    <row r="212" spans="1:16" ht="12" customHeight="1">
      <c r="A212" s="789" t="s">
        <v>906</v>
      </c>
      <c r="B212" s="833"/>
      <c r="C212" s="833"/>
      <c r="D212" s="833"/>
      <c r="E212" s="833"/>
      <c r="F212" s="833"/>
      <c r="G212" s="833"/>
      <c r="H212" s="833"/>
      <c r="I212" s="833"/>
      <c r="J212" s="833"/>
      <c r="K212" s="833"/>
      <c r="L212" s="833"/>
      <c r="M212" s="833"/>
      <c r="N212" s="833"/>
      <c r="O212" s="833"/>
      <c r="P212" s="833"/>
    </row>
    <row r="213" spans="1:16">
      <c r="A213" s="789"/>
      <c r="B213" s="756"/>
      <c r="C213" s="756"/>
      <c r="D213" s="756"/>
      <c r="E213" s="756"/>
      <c r="F213" s="756"/>
      <c r="G213" s="756"/>
      <c r="H213" s="756"/>
      <c r="I213" s="756"/>
      <c r="J213" s="756"/>
      <c r="K213" s="756"/>
      <c r="L213" s="756"/>
      <c r="M213" s="756"/>
      <c r="N213" s="756"/>
      <c r="O213" s="756"/>
      <c r="P213" s="756"/>
    </row>
    <row r="214" spans="1:16">
      <c r="C214" s="781"/>
      <c r="E214" s="781"/>
      <c r="G214" s="781"/>
      <c r="I214" s="781"/>
      <c r="K214" s="781"/>
      <c r="M214" s="781"/>
      <c r="O214" s="781"/>
    </row>
    <row r="215" spans="1:16">
      <c r="C215" s="781"/>
      <c r="E215" s="781"/>
      <c r="G215" s="781"/>
      <c r="I215" s="781"/>
      <c r="K215" s="781"/>
      <c r="M215" s="781"/>
      <c r="O215" s="781"/>
    </row>
    <row r="216" spans="1:16">
      <c r="C216" s="781"/>
      <c r="E216" s="781"/>
      <c r="G216" s="781"/>
      <c r="I216" s="781"/>
      <c r="K216" s="781"/>
      <c r="M216" s="781"/>
      <c r="O216" s="781"/>
    </row>
    <row r="217" spans="1:16">
      <c r="C217" s="781"/>
      <c r="E217" s="781"/>
      <c r="G217" s="781"/>
      <c r="I217" s="781"/>
      <c r="K217" s="781"/>
      <c r="M217" s="781"/>
      <c r="O217" s="781"/>
    </row>
    <row r="218" spans="1:16">
      <c r="C218" s="781"/>
      <c r="E218" s="781"/>
      <c r="G218" s="781"/>
      <c r="I218" s="781"/>
      <c r="K218" s="781"/>
      <c r="M218" s="781"/>
      <c r="O218" s="781"/>
    </row>
    <row r="220" spans="1:16">
      <c r="C220" s="781"/>
      <c r="E220" s="781"/>
      <c r="G220" s="781"/>
      <c r="I220" s="781"/>
      <c r="K220" s="781"/>
      <c r="M220" s="781"/>
      <c r="O220" s="781"/>
    </row>
    <row r="221" spans="1:16">
      <c r="C221" s="781"/>
      <c r="E221" s="781"/>
      <c r="G221" s="781"/>
      <c r="I221" s="781"/>
      <c r="K221" s="781"/>
      <c r="M221" s="781"/>
      <c r="O221" s="781"/>
    </row>
    <row r="222" spans="1:16">
      <c r="C222" s="781"/>
      <c r="E222" s="781"/>
      <c r="G222" s="781"/>
      <c r="I222" s="781"/>
      <c r="K222" s="781"/>
      <c r="M222" s="781"/>
      <c r="O222" s="781"/>
    </row>
    <row r="223" spans="1:16">
      <c r="C223" s="781"/>
      <c r="E223" s="781"/>
      <c r="G223" s="781"/>
      <c r="I223" s="781"/>
      <c r="K223" s="781"/>
      <c r="M223" s="781"/>
      <c r="O223" s="781"/>
    </row>
    <row r="224" spans="1:16">
      <c r="C224" s="781"/>
      <c r="E224" s="781"/>
      <c r="G224" s="781"/>
      <c r="I224" s="781"/>
      <c r="K224" s="781"/>
      <c r="M224" s="781"/>
      <c r="O224" s="781"/>
    </row>
    <row r="225" spans="3:15">
      <c r="C225" s="781"/>
      <c r="E225" s="781"/>
      <c r="G225" s="781"/>
      <c r="I225" s="781"/>
      <c r="K225" s="781"/>
      <c r="M225" s="781"/>
      <c r="O225" s="781"/>
    </row>
    <row r="226" spans="3:15">
      <c r="C226" s="781"/>
      <c r="E226" s="781"/>
      <c r="G226" s="781"/>
      <c r="I226" s="781"/>
      <c r="K226" s="781"/>
      <c r="M226" s="781"/>
      <c r="O226" s="781"/>
    </row>
  </sheetData>
  <mergeCells count="32">
    <mergeCell ref="J5:L5"/>
    <mergeCell ref="N5:P5"/>
    <mergeCell ref="B47:D47"/>
    <mergeCell ref="F47:H47"/>
    <mergeCell ref="J47:L47"/>
    <mergeCell ref="N47:P47"/>
    <mergeCell ref="B5:D5"/>
    <mergeCell ref="F5:H5"/>
    <mergeCell ref="J89:L89"/>
    <mergeCell ref="N89:P89"/>
    <mergeCell ref="B131:D131"/>
    <mergeCell ref="F131:H131"/>
    <mergeCell ref="J131:L131"/>
    <mergeCell ref="N131:P131"/>
    <mergeCell ref="B89:D89"/>
    <mergeCell ref="F89:H89"/>
    <mergeCell ref="J143:L143"/>
    <mergeCell ref="N143:P143"/>
    <mergeCell ref="B173:D173"/>
    <mergeCell ref="F173:H173"/>
    <mergeCell ref="J173:L173"/>
    <mergeCell ref="N173:P173"/>
    <mergeCell ref="B143:D143"/>
    <mergeCell ref="F143:H143"/>
    <mergeCell ref="A209:P209"/>
    <mergeCell ref="A210:P210"/>
    <mergeCell ref="A203:P203"/>
    <mergeCell ref="A204:P204"/>
    <mergeCell ref="A205:P205"/>
    <mergeCell ref="A206:P206"/>
    <mergeCell ref="A207:P207"/>
    <mergeCell ref="A208:P208"/>
  </mergeCells>
  <printOptions horizontalCentered="1"/>
  <pageMargins left="0.25" right="0.25" top="0.75" bottom="1.1000000000000001" header="0.3" footer="0.4"/>
  <pageSetup scale="97" fitToHeight="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8.81640625" defaultRowHeight="12.5"/>
  <cols>
    <col min="1" max="1" width="14.7265625" style="185" customWidth="1"/>
    <col min="2" max="3" width="15.7265625" style="185" customWidth="1"/>
    <col min="4" max="5" width="28.7265625" style="185" customWidth="1"/>
    <col min="6" max="6" width="20.7265625" style="185" customWidth="1"/>
    <col min="7" max="7" width="10.90625" style="185" customWidth="1"/>
    <col min="8" max="8" width="25.7265625" style="185" customWidth="1"/>
    <col min="9" max="16384" width="8.81640625" style="185"/>
  </cols>
  <sheetData>
    <row r="1" spans="1:7" ht="18">
      <c r="A1" s="184" t="s">
        <v>823</v>
      </c>
      <c r="B1" s="184"/>
      <c r="C1" s="184"/>
      <c r="D1" s="184"/>
      <c r="E1" s="184"/>
      <c r="F1" s="184"/>
      <c r="G1" s="939" t="s">
        <v>1018</v>
      </c>
    </row>
    <row r="2" spans="1:7" ht="15.5">
      <c r="A2" s="186" t="s">
        <v>1336</v>
      </c>
      <c r="B2" s="186"/>
      <c r="C2" s="186"/>
      <c r="D2" s="186"/>
      <c r="E2" s="186"/>
      <c r="F2" s="186"/>
    </row>
    <row r="3" spans="1:7" ht="18" customHeight="1" thickBot="1">
      <c r="A3" s="187"/>
      <c r="B3" s="187"/>
      <c r="C3" s="187"/>
      <c r="D3" s="188"/>
      <c r="E3" s="187"/>
      <c r="F3" s="187"/>
    </row>
    <row r="4" spans="1:7" s="189" customFormat="1" ht="45" customHeight="1">
      <c r="A4" s="635" t="s">
        <v>714</v>
      </c>
      <c r="B4" s="635"/>
      <c r="C4" s="635"/>
      <c r="D4" s="190"/>
      <c r="E4" s="191"/>
      <c r="F4" s="190"/>
      <c r="G4" s="190"/>
    </row>
    <row r="5" spans="1:7" ht="18" customHeight="1">
      <c r="A5" s="192" t="s">
        <v>31</v>
      </c>
      <c r="B5" s="1179" t="s">
        <v>713</v>
      </c>
      <c r="D5" s="187"/>
      <c r="E5" s="188"/>
      <c r="F5" s="187"/>
      <c r="G5" s="187"/>
    </row>
    <row r="6" spans="1:7" ht="18" hidden="1" customHeight="1">
      <c r="A6" s="192">
        <v>2007</v>
      </c>
      <c r="B6" s="193">
        <v>143332331.22493362</v>
      </c>
      <c r="D6" s="187"/>
      <c r="E6" s="188"/>
      <c r="F6" s="187"/>
      <c r="G6" s="187"/>
    </row>
    <row r="7" spans="1:7" ht="1" customHeight="1">
      <c r="A7" s="1179">
        <v>2008</v>
      </c>
      <c r="B7" s="194">
        <v>213829116.38640201</v>
      </c>
      <c r="D7" s="187"/>
      <c r="E7" s="188"/>
      <c r="F7" s="187"/>
      <c r="G7" s="187"/>
    </row>
    <row r="8" spans="1:7" ht="1" customHeight="1">
      <c r="A8" s="1179">
        <v>2009</v>
      </c>
      <c r="B8" s="194">
        <v>175364334.91890469</v>
      </c>
      <c r="D8" s="187"/>
      <c r="E8" s="188"/>
      <c r="F8" s="187"/>
      <c r="G8" s="187"/>
    </row>
    <row r="9" spans="1:7" ht="14.5" customHeight="1">
      <c r="A9" s="1179">
        <v>2010</v>
      </c>
      <c r="B9" s="194">
        <v>143554116.64843339</v>
      </c>
      <c r="D9" s="187"/>
      <c r="E9" s="188"/>
      <c r="F9" s="187"/>
      <c r="G9" s="187"/>
    </row>
    <row r="10" spans="1:7" ht="13.9" customHeight="1">
      <c r="A10" s="1179">
        <v>2011</v>
      </c>
      <c r="B10" s="194">
        <v>150273915</v>
      </c>
      <c r="D10" s="187"/>
      <c r="E10" s="188"/>
      <c r="F10" s="187"/>
      <c r="G10" s="187"/>
    </row>
    <row r="11" spans="1:7" ht="15.65" customHeight="1">
      <c r="A11" s="1179">
        <v>2012</v>
      </c>
      <c r="B11" s="194">
        <v>156945693.35438961</v>
      </c>
      <c r="D11" s="187"/>
      <c r="E11" s="188"/>
      <c r="F11" s="187"/>
      <c r="G11" s="187"/>
    </row>
    <row r="12" spans="1:7" ht="14.15" customHeight="1">
      <c r="A12" s="1179">
        <v>2013</v>
      </c>
      <c r="B12" s="194">
        <v>161434467.78945559</v>
      </c>
      <c r="D12" s="225"/>
      <c r="E12" s="188"/>
      <c r="F12" s="187"/>
      <c r="G12" s="187"/>
    </row>
    <row r="13" spans="1:7" ht="14.15" customHeight="1">
      <c r="A13" s="1179">
        <v>2014</v>
      </c>
      <c r="B13" s="194">
        <v>208366102.08833417</v>
      </c>
      <c r="D13" s="225"/>
      <c r="E13" s="188"/>
      <c r="F13" s="187"/>
      <c r="G13" s="187"/>
    </row>
    <row r="14" spans="1:7" ht="14.15" customHeight="1">
      <c r="A14" s="1179">
        <v>2015</v>
      </c>
      <c r="B14" s="194">
        <v>210994603.36485529</v>
      </c>
      <c r="D14" s="225"/>
      <c r="E14" s="188"/>
      <c r="F14" s="187"/>
      <c r="G14" s="187"/>
    </row>
    <row r="15" spans="1:7" ht="14.15" customHeight="1">
      <c r="A15" s="1179">
        <v>2016</v>
      </c>
      <c r="B15" s="194">
        <v>223074819.58170167</v>
      </c>
      <c r="D15" s="225"/>
      <c r="E15" s="188"/>
      <c r="F15" s="187"/>
      <c r="G15" s="187"/>
    </row>
    <row r="16" spans="1:7" ht="14.15" customHeight="1">
      <c r="A16" s="1179">
        <v>2017</v>
      </c>
      <c r="B16" s="194">
        <v>244370076.32769448</v>
      </c>
      <c r="D16" s="225"/>
      <c r="E16" s="188"/>
      <c r="F16" s="187"/>
      <c r="G16" s="187"/>
    </row>
    <row r="17" spans="1:7" ht="14.15" customHeight="1">
      <c r="A17" s="1179">
        <v>2018</v>
      </c>
      <c r="B17" s="194">
        <v>314543689.44675058</v>
      </c>
      <c r="D17" s="445"/>
      <c r="E17" s="188"/>
      <c r="F17" s="187"/>
      <c r="G17" s="187"/>
    </row>
    <row r="18" spans="1:7" ht="14.15" customHeight="1">
      <c r="A18" s="1179">
        <v>2019</v>
      </c>
      <c r="B18" s="194">
        <v>352673576.32049298</v>
      </c>
      <c r="D18" s="445"/>
      <c r="E18" s="188"/>
      <c r="F18" s="187"/>
      <c r="G18" s="187"/>
    </row>
    <row r="19" spans="1:7" ht="14.15" customHeight="1">
      <c r="A19" s="1179">
        <v>2020</v>
      </c>
      <c r="B19" s="194">
        <v>362781521.93254882</v>
      </c>
      <c r="D19" s="445"/>
      <c r="E19" s="188"/>
      <c r="F19" s="187"/>
      <c r="G19" s="187"/>
    </row>
    <row r="20" spans="1:7" ht="14.15" customHeight="1">
      <c r="A20" s="1179">
        <v>2021</v>
      </c>
      <c r="B20" s="194">
        <v>378603136.28511971</v>
      </c>
      <c r="D20" s="445"/>
      <c r="E20" s="188"/>
      <c r="F20" s="187"/>
      <c r="G20" s="187"/>
    </row>
    <row r="21" spans="1:7" ht="14.15" customHeight="1">
      <c r="A21" s="1179">
        <v>2022</v>
      </c>
      <c r="B21" s="194">
        <v>406492802.46544868</v>
      </c>
      <c r="D21" s="445"/>
      <c r="E21" s="188"/>
      <c r="F21" s="187"/>
      <c r="G21" s="187"/>
    </row>
    <row r="22" spans="1:7" ht="14.15" customHeight="1">
      <c r="A22" s="1179"/>
      <c r="B22" s="194"/>
      <c r="D22" s="445"/>
      <c r="E22" s="188"/>
      <c r="F22" s="187"/>
    </row>
    <row r="23" spans="1:7" s="1197" customFormat="1" ht="12.75" customHeight="1">
      <c r="A23" s="1197" t="s">
        <v>1</v>
      </c>
      <c r="C23" s="1408">
        <f>B20/B18-1</f>
        <v>7.3522831608635153E-2</v>
      </c>
      <c r="D23" s="1409"/>
      <c r="F23" s="1410"/>
    </row>
    <row r="24" spans="1:7" s="1197" customFormat="1" ht="25.5" customHeight="1">
      <c r="A24" s="1968" t="s">
        <v>1355</v>
      </c>
      <c r="B24" s="1968"/>
      <c r="C24" s="1968"/>
      <c r="D24" s="1968"/>
      <c r="E24" s="1968"/>
      <c r="F24" s="1968"/>
    </row>
    <row r="25" spans="1:7" s="1197" customFormat="1" ht="36" customHeight="1">
      <c r="A25" s="1969" t="s">
        <v>1246</v>
      </c>
      <c r="B25" s="1969"/>
      <c r="C25" s="1969"/>
      <c r="D25" s="1969"/>
      <c r="E25" s="1969"/>
      <c r="F25" s="1969"/>
    </row>
    <row r="26" spans="1:7" s="772" customFormat="1" ht="12.75" customHeight="1">
      <c r="A26" s="862" t="s">
        <v>985</v>
      </c>
      <c r="B26" s="773"/>
      <c r="C26" s="773"/>
      <c r="D26" s="773"/>
      <c r="E26" s="774"/>
    </row>
    <row r="27" spans="1:7" ht="12.75" customHeight="1"/>
    <row r="31" spans="1:7" s="1468" customFormat="1" ht="11.5">
      <c r="C31" s="1474"/>
      <c r="D31" s="1475"/>
      <c r="F31" s="1477"/>
    </row>
    <row r="32" spans="1:7" s="1468" customFormat="1" ht="11.5">
      <c r="A32" s="1478"/>
      <c r="B32" s="1478"/>
      <c r="C32" s="1478"/>
      <c r="D32" s="1478"/>
      <c r="E32" s="1478"/>
      <c r="F32" s="1478"/>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2">
    <mergeCell ref="A24:F24"/>
    <mergeCell ref="A25:F25"/>
  </mergeCells>
  <hyperlinks>
    <hyperlink ref="G1" location="TOC!A1" display="Back"/>
  </hyperlinks>
  <pageMargins left="0.6" right="0.25" top="0.5" bottom="0.25" header="0.25" footer="0.25"/>
  <pageSetup orientation="landscape" r:id="rId2"/>
  <headerFooter scaleWithDoc="0">
    <oddHeader>&amp;R&amp;P</oddHead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23"/>
  <sheetViews>
    <sheetView zoomScaleNormal="100" workbookViewId="0"/>
  </sheetViews>
  <sheetFormatPr defaultRowHeight="12.5"/>
  <cols>
    <col min="1" max="1" width="2.6328125" customWidth="1"/>
    <col min="2" max="2" width="74.6328125" customWidth="1"/>
    <col min="3" max="3" width="27.6328125" customWidth="1"/>
  </cols>
  <sheetData>
    <row r="1" spans="1:4" ht="15.5">
      <c r="A1" s="1456" t="s">
        <v>247</v>
      </c>
      <c r="B1" s="50"/>
      <c r="D1" s="939" t="s">
        <v>1018</v>
      </c>
    </row>
    <row r="2" spans="1:4" ht="14">
      <c r="A2" s="51"/>
      <c r="B2" s="51"/>
    </row>
    <row r="3" spans="1:4" ht="14">
      <c r="B3" s="51" t="s">
        <v>1346</v>
      </c>
    </row>
    <row r="4" spans="1:4" ht="14">
      <c r="B4" s="1457" t="s">
        <v>248</v>
      </c>
    </row>
    <row r="5" spans="1:4" ht="14">
      <c r="B5" s="1457" t="s">
        <v>250</v>
      </c>
    </row>
    <row r="6" spans="1:4">
      <c r="B6" s="1458"/>
    </row>
    <row r="7" spans="1:4" ht="14">
      <c r="B7" s="52" t="s">
        <v>249</v>
      </c>
    </row>
    <row r="8" spans="1:4" ht="14">
      <c r="B8" s="1457" t="s">
        <v>248</v>
      </c>
    </row>
    <row r="9" spans="1:4" ht="14">
      <c r="B9" s="1457" t="s">
        <v>758</v>
      </c>
    </row>
    <row r="10" spans="1:4" ht="14">
      <c r="B10" s="1457" t="s">
        <v>759</v>
      </c>
    </row>
    <row r="11" spans="1:4" ht="14">
      <c r="B11" s="1457" t="s">
        <v>760</v>
      </c>
    </row>
    <row r="12" spans="1:4" ht="6" customHeight="1">
      <c r="B12" s="51"/>
    </row>
    <row r="13" spans="1:4">
      <c r="B13" s="1458" t="s">
        <v>1345</v>
      </c>
    </row>
    <row r="14" spans="1:4" ht="14">
      <c r="B14" s="1457"/>
    </row>
    <row r="15" spans="1:4" ht="14">
      <c r="B15" s="1457"/>
    </row>
    <row r="16" spans="1:4" ht="42">
      <c r="B16" s="1459" t="s">
        <v>1348</v>
      </c>
    </row>
    <row r="17" spans="1:3">
      <c r="B17" s="1461" t="s">
        <v>1347</v>
      </c>
    </row>
    <row r="18" spans="1:3" ht="14.5" thickBot="1">
      <c r="A18" s="54"/>
      <c r="B18" s="54"/>
      <c r="C18" s="54"/>
    </row>
    <row r="19" spans="1:3" ht="14.5" thickTop="1">
      <c r="A19" s="53"/>
      <c r="B19" s="53"/>
      <c r="C19" s="53"/>
    </row>
    <row r="20" spans="1:3" ht="16">
      <c r="A20" s="399"/>
    </row>
    <row r="21" spans="1:3" ht="16">
      <c r="A21" s="399"/>
    </row>
    <row r="22" spans="1:3" ht="16">
      <c r="A22" s="399"/>
    </row>
    <row r="23" spans="1:3" ht="16">
      <c r="A23" s="399"/>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2" type="noConversion"/>
  <hyperlinks>
    <hyperlink ref="D1" location="TOC!A1" display="Back"/>
    <hyperlink ref="B13" r:id="rId2"/>
    <hyperlink ref="B17" r:id="rId3"/>
  </hyperlinks>
  <pageMargins left="1.5" right="0.25" top="1.25" bottom="1" header="0.25" footer="0.5"/>
  <pageSetup orientation="landscape" r:id="rId4"/>
  <headerFooter scaleWithDoc="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E112"/>
  <sheetViews>
    <sheetView zoomScale="85" zoomScaleNormal="85" workbookViewId="0"/>
  </sheetViews>
  <sheetFormatPr defaultColWidth="12.453125" defaultRowHeight="15.5"/>
  <cols>
    <col min="1" max="1" width="46.7265625" style="147" customWidth="1"/>
    <col min="2" max="8" width="0.54296875" style="147" customWidth="1"/>
    <col min="9" max="9" width="18.6328125" style="150" customWidth="1"/>
    <col min="10" max="10" width="18.7265625" style="150" bestFit="1" customWidth="1"/>
    <col min="11" max="11" width="0.81640625" style="144" customWidth="1"/>
    <col min="12" max="12" width="11.7265625" style="642" bestFit="1" customWidth="1"/>
    <col min="13" max="13" width="9.08984375" style="642" hidden="1" customWidth="1"/>
    <col min="14" max="17" width="18.7265625" style="642" customWidth="1"/>
    <col min="18" max="18" width="14.54296875" style="652" customWidth="1"/>
    <col min="19" max="19" width="4.90625" style="642" bestFit="1" customWidth="1"/>
    <col min="20" max="20" width="13.7265625" style="642" customWidth="1"/>
    <col min="21" max="21" width="9.54296875" style="642" customWidth="1"/>
    <col min="22" max="22" width="17.26953125" style="642" customWidth="1"/>
    <col min="23" max="23" width="10" style="642" customWidth="1"/>
    <col min="24" max="24" width="9.7265625" style="642" customWidth="1"/>
    <col min="25" max="25" width="8.54296875" style="642" customWidth="1"/>
    <col min="26" max="26" width="8" style="642" customWidth="1"/>
    <col min="27" max="27" width="8.26953125" style="642" customWidth="1"/>
    <col min="28" max="28" width="6.54296875" style="642" bestFit="1" customWidth="1"/>
    <col min="29" max="29" width="7.7265625" style="642" customWidth="1"/>
    <col min="30" max="31" width="6.54296875" style="642" bestFit="1" customWidth="1"/>
    <col min="32" max="32" width="8.26953125" style="642" customWidth="1"/>
    <col min="33" max="33" width="7.7265625" style="642" bestFit="1" customWidth="1"/>
    <col min="34" max="40" width="12.453125" style="642"/>
    <col min="41" max="16384" width="12.453125" style="147"/>
  </cols>
  <sheetData>
    <row r="1" spans="1:239" ht="18">
      <c r="A1" s="942" t="s">
        <v>788</v>
      </c>
      <c r="B1" s="143"/>
      <c r="C1" s="143"/>
      <c r="D1" s="143"/>
      <c r="E1" s="143"/>
      <c r="F1" s="143"/>
      <c r="G1" s="143"/>
      <c r="H1" s="143"/>
      <c r="I1" s="143"/>
      <c r="J1" s="143"/>
      <c r="L1" s="1167"/>
      <c r="M1" s="1167"/>
      <c r="N1" s="636"/>
      <c r="O1" s="636"/>
      <c r="P1" s="636"/>
      <c r="Q1" s="636"/>
      <c r="R1" s="637"/>
      <c r="S1" s="939" t="s">
        <v>1018</v>
      </c>
      <c r="T1" s="639"/>
      <c r="U1" s="639"/>
      <c r="V1" s="639"/>
      <c r="W1" s="639"/>
      <c r="X1" s="639"/>
      <c r="Y1" s="639"/>
      <c r="Z1" s="639"/>
      <c r="AA1" s="639"/>
      <c r="AB1" s="639"/>
      <c r="AC1" s="639"/>
      <c r="AD1" s="639"/>
      <c r="AE1" s="639"/>
      <c r="AF1" s="639"/>
      <c r="AG1" s="639"/>
      <c r="AH1" s="639"/>
      <c r="AI1" s="639"/>
      <c r="AJ1" s="639"/>
      <c r="AK1" s="639"/>
      <c r="AL1" s="639"/>
      <c r="AM1" s="639"/>
      <c r="AN1" s="639"/>
      <c r="AO1" s="467"/>
      <c r="AP1" s="467"/>
      <c r="AQ1" s="467"/>
      <c r="AR1" s="467"/>
      <c r="AS1" s="467"/>
      <c r="AT1" s="467"/>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c r="EZ1" s="146"/>
      <c r="FA1" s="146"/>
      <c r="FB1" s="146"/>
      <c r="FC1" s="146"/>
      <c r="FD1" s="146"/>
      <c r="FE1" s="146"/>
      <c r="FF1" s="146"/>
      <c r="FG1" s="146"/>
      <c r="FH1" s="146"/>
      <c r="FI1" s="146"/>
      <c r="FJ1" s="146"/>
      <c r="FK1" s="146"/>
      <c r="FL1" s="146"/>
      <c r="FM1" s="146"/>
      <c r="FN1" s="146"/>
      <c r="FO1" s="146"/>
      <c r="FP1" s="146"/>
      <c r="FQ1" s="146"/>
      <c r="FR1" s="146"/>
      <c r="FS1" s="146"/>
      <c r="FT1" s="146"/>
      <c r="FU1" s="146"/>
      <c r="FV1" s="146"/>
      <c r="FW1" s="146"/>
      <c r="FX1" s="146"/>
      <c r="FY1" s="146"/>
      <c r="FZ1" s="146"/>
      <c r="GA1" s="146"/>
      <c r="GB1" s="146"/>
      <c r="GC1" s="146"/>
      <c r="GD1" s="146"/>
      <c r="GE1" s="146"/>
      <c r="GF1" s="146"/>
      <c r="GG1" s="146"/>
      <c r="GH1" s="146"/>
      <c r="GI1" s="146"/>
      <c r="GJ1" s="146"/>
      <c r="GK1" s="146"/>
      <c r="GL1" s="146"/>
      <c r="GM1" s="146"/>
      <c r="GN1" s="146"/>
      <c r="GO1" s="146"/>
      <c r="GP1" s="146"/>
      <c r="GQ1" s="146"/>
      <c r="GR1" s="146"/>
      <c r="GS1" s="146"/>
      <c r="GT1" s="146"/>
      <c r="GU1" s="146"/>
      <c r="GV1" s="146"/>
      <c r="GW1" s="146"/>
      <c r="GX1" s="146"/>
      <c r="GY1" s="146"/>
      <c r="GZ1" s="146"/>
      <c r="HA1" s="146"/>
      <c r="HB1" s="146"/>
      <c r="HC1" s="146"/>
      <c r="HD1" s="146"/>
      <c r="HE1" s="146"/>
      <c r="HF1" s="146"/>
      <c r="HG1" s="146"/>
      <c r="HH1" s="146"/>
      <c r="HI1" s="146"/>
      <c r="HJ1" s="146"/>
      <c r="HK1" s="146"/>
      <c r="HL1" s="146"/>
      <c r="HM1" s="146"/>
      <c r="HN1" s="146"/>
      <c r="HO1" s="146"/>
      <c r="HP1" s="146"/>
      <c r="HQ1" s="146"/>
      <c r="HR1" s="146"/>
      <c r="HS1" s="146"/>
      <c r="HT1" s="146"/>
      <c r="HU1" s="146"/>
      <c r="HV1" s="146"/>
      <c r="HW1" s="146"/>
      <c r="HX1" s="146"/>
      <c r="HY1" s="146"/>
      <c r="HZ1" s="146"/>
      <c r="IA1" s="146"/>
      <c r="IB1" s="146"/>
      <c r="IC1" s="146"/>
      <c r="ID1" s="146"/>
    </row>
    <row r="2" spans="1:239">
      <c r="A2" s="145" t="s">
        <v>259</v>
      </c>
      <c r="B2" s="143"/>
      <c r="C2" s="143"/>
      <c r="D2" s="143"/>
      <c r="E2" s="143"/>
      <c r="F2" s="143"/>
      <c r="G2" s="143"/>
      <c r="H2" s="143"/>
      <c r="I2" s="143"/>
      <c r="J2" s="143"/>
      <c r="L2" s="1167"/>
      <c r="M2" s="1167"/>
      <c r="N2" s="636"/>
      <c r="O2" s="636"/>
      <c r="P2" s="636"/>
      <c r="Q2" s="636"/>
      <c r="R2" s="637"/>
      <c r="S2" s="640"/>
      <c r="T2" s="641"/>
      <c r="U2" s="641"/>
      <c r="V2" s="641"/>
      <c r="W2" s="641"/>
      <c r="X2" s="641"/>
      <c r="Y2" s="641"/>
      <c r="Z2" s="641"/>
      <c r="AA2" s="641"/>
      <c r="AB2" s="641"/>
      <c r="AJ2" s="639"/>
      <c r="AK2" s="639"/>
      <c r="AL2" s="639"/>
      <c r="AM2" s="639"/>
      <c r="AN2" s="639"/>
      <c r="AO2" s="467"/>
      <c r="AP2" s="467"/>
      <c r="AQ2" s="467"/>
      <c r="AR2" s="467"/>
      <c r="AS2" s="467"/>
      <c r="AT2" s="467"/>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row>
    <row r="3" spans="1:239" ht="15" customHeight="1">
      <c r="A3" s="236"/>
      <c r="B3" s="145"/>
      <c r="C3" s="145"/>
      <c r="D3" s="145"/>
      <c r="E3" s="145"/>
      <c r="F3" s="145"/>
      <c r="G3" s="145"/>
      <c r="H3" s="145"/>
      <c r="I3" s="145"/>
      <c r="J3" s="145"/>
      <c r="L3" s="1702" t="str">
        <f>RIGHT(J4,4)&amp;"/"&amp;RIGHT(I4,4)</f>
        <v>2022/2021</v>
      </c>
      <c r="M3" s="1702"/>
      <c r="N3" s="636"/>
      <c r="O3" s="636"/>
      <c r="P3" s="636"/>
      <c r="Q3" s="636"/>
      <c r="R3" s="637"/>
      <c r="S3" s="636"/>
      <c r="T3" s="643"/>
      <c r="U3" s="643"/>
      <c r="V3" s="643"/>
      <c r="W3" s="643"/>
      <c r="X3" s="643"/>
      <c r="Y3" s="643"/>
      <c r="Z3" s="643"/>
      <c r="AA3" s="643"/>
      <c r="AB3" s="644"/>
      <c r="AJ3" s="639"/>
      <c r="AK3" s="639"/>
      <c r="AL3" s="639"/>
      <c r="AM3" s="639"/>
      <c r="AN3" s="639"/>
      <c r="AO3" s="467"/>
      <c r="AP3" s="467"/>
      <c r="AQ3" s="467"/>
      <c r="AR3" s="467"/>
      <c r="AS3" s="467"/>
      <c r="AT3" s="467"/>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row>
    <row r="4" spans="1:239" ht="15" customHeight="1">
      <c r="A4" s="148" t="s">
        <v>260</v>
      </c>
      <c r="B4" s="1039">
        <v>2014</v>
      </c>
      <c r="C4" s="1039" t="s">
        <v>934</v>
      </c>
      <c r="D4" s="1039" t="s">
        <v>935</v>
      </c>
      <c r="E4" s="1039" t="s">
        <v>936</v>
      </c>
      <c r="F4" s="1039" t="s">
        <v>937</v>
      </c>
      <c r="G4" s="1039" t="s">
        <v>938</v>
      </c>
      <c r="H4" s="1039" t="s">
        <v>939</v>
      </c>
      <c r="I4" s="653" t="s">
        <v>940</v>
      </c>
      <c r="J4" s="653" t="s">
        <v>1242</v>
      </c>
      <c r="L4" s="1703" t="s">
        <v>258</v>
      </c>
      <c r="M4" s="1888" t="s">
        <v>1362</v>
      </c>
      <c r="N4" s="645"/>
      <c r="O4" s="645"/>
      <c r="P4" s="645"/>
      <c r="Q4" s="645"/>
      <c r="R4" s="637"/>
      <c r="S4" s="636"/>
      <c r="T4" s="643"/>
      <c r="U4" s="643"/>
      <c r="V4" s="643"/>
      <c r="W4" s="643"/>
      <c r="X4" s="643"/>
      <c r="Y4" s="643"/>
      <c r="Z4" s="643"/>
      <c r="AA4" s="643"/>
      <c r="AB4" s="644"/>
      <c r="AJ4" s="639"/>
      <c r="AK4" s="639"/>
      <c r="AL4" s="639"/>
      <c r="AM4" s="639"/>
      <c r="AN4" s="639"/>
      <c r="AO4" s="467"/>
      <c r="AP4" s="467"/>
      <c r="AQ4" s="467"/>
      <c r="AR4" s="467"/>
      <c r="AS4" s="467"/>
      <c r="AT4" s="467"/>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row>
    <row r="5" spans="1:239" ht="14.15" customHeight="1">
      <c r="A5" s="241"/>
      <c r="B5" s="149"/>
      <c r="C5" s="149"/>
      <c r="D5" s="149"/>
      <c r="E5" s="149"/>
      <c r="F5" s="149"/>
      <c r="G5" s="149"/>
      <c r="H5" s="149"/>
      <c r="I5" s="1704"/>
      <c r="J5" s="1704"/>
      <c r="L5" s="147"/>
      <c r="M5" s="147"/>
      <c r="N5" s="645"/>
      <c r="O5" s="645"/>
      <c r="P5" s="645"/>
      <c r="Q5" s="645"/>
      <c r="R5" s="637"/>
      <c r="S5" s="638"/>
      <c r="T5" s="639"/>
      <c r="U5" s="639"/>
      <c r="V5" s="639"/>
      <c r="W5" s="639"/>
      <c r="X5" s="646"/>
      <c r="Y5" s="639"/>
      <c r="Z5" s="639"/>
      <c r="AA5" s="639"/>
      <c r="AB5" s="639"/>
      <c r="AC5" s="639"/>
      <c r="AD5" s="639"/>
      <c r="AE5" s="639"/>
      <c r="AF5" s="639"/>
      <c r="AG5" s="639"/>
      <c r="AH5" s="639"/>
      <c r="AI5" s="639"/>
      <c r="AJ5" s="639"/>
      <c r="AK5" s="639"/>
      <c r="AL5" s="639"/>
      <c r="AM5" s="639"/>
      <c r="AN5" s="639"/>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row>
    <row r="6" spans="1:239" ht="14.15" customHeight="1">
      <c r="A6" s="148" t="s">
        <v>261</v>
      </c>
      <c r="B6" s="1041"/>
      <c r="C6" s="1041"/>
      <c r="D6" s="1041"/>
      <c r="E6" s="1041"/>
      <c r="F6" s="1041"/>
      <c r="G6" s="1041"/>
      <c r="H6" s="1041"/>
      <c r="I6" s="1705"/>
      <c r="J6" s="1705"/>
      <c r="L6" s="1706"/>
      <c r="M6" s="1706"/>
      <c r="N6" s="637"/>
      <c r="O6" s="637"/>
      <c r="P6" s="637"/>
      <c r="Q6" s="637"/>
      <c r="R6" s="637"/>
      <c r="S6" s="638"/>
      <c r="T6" s="639"/>
      <c r="U6" s="639"/>
      <c r="V6" s="639"/>
      <c r="W6" s="639"/>
      <c r="X6" s="639"/>
      <c r="Y6" s="639"/>
      <c r="Z6" s="639"/>
      <c r="AA6" s="639"/>
      <c r="AB6" s="639"/>
      <c r="AC6" s="639"/>
      <c r="AD6" s="639"/>
      <c r="AE6" s="639"/>
      <c r="AF6" s="639"/>
      <c r="AG6" s="639"/>
      <c r="AH6" s="639"/>
      <c r="AI6" s="639"/>
      <c r="AJ6" s="639"/>
      <c r="AK6" s="639"/>
      <c r="AL6" s="639"/>
      <c r="AM6" s="639"/>
      <c r="AN6" s="639"/>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146"/>
      <c r="GA6" s="146"/>
      <c r="GB6" s="146"/>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c r="HC6" s="146"/>
      <c r="HD6" s="146"/>
      <c r="HE6" s="146"/>
      <c r="HF6" s="146"/>
      <c r="HG6" s="146"/>
      <c r="HH6" s="146"/>
      <c r="HI6" s="146"/>
      <c r="HJ6" s="146"/>
      <c r="HK6" s="146"/>
      <c r="HL6" s="146"/>
      <c r="HM6" s="146"/>
      <c r="HN6" s="146"/>
      <c r="HO6" s="146"/>
      <c r="HP6" s="146"/>
      <c r="HQ6" s="146"/>
      <c r="HR6" s="146"/>
      <c r="HS6" s="146"/>
      <c r="HT6" s="146"/>
      <c r="HU6" s="146"/>
      <c r="HV6" s="146"/>
      <c r="HW6" s="146"/>
      <c r="HX6" s="146"/>
      <c r="HY6" s="146"/>
      <c r="HZ6" s="146"/>
      <c r="IA6" s="146"/>
      <c r="IB6" s="146"/>
      <c r="IC6" s="146"/>
      <c r="ID6" s="146"/>
      <c r="IE6" s="146"/>
    </row>
    <row r="7" spans="1:239" ht="15.65" customHeight="1">
      <c r="A7" s="1447" t="s">
        <v>1344</v>
      </c>
      <c r="B7" s="1042"/>
      <c r="C7" s="1042"/>
      <c r="D7" s="1042"/>
      <c r="E7" s="1042"/>
      <c r="F7" s="1042"/>
      <c r="G7" s="1042">
        <v>29641000</v>
      </c>
      <c r="H7" s="1449">
        <f>ROUND('5.3-5.4'!$B$38,-3)</f>
        <v>25949000</v>
      </c>
      <c r="I7" s="1449">
        <f>ROUND('5.3-5.4'!$B$39,-3)</f>
        <v>29336000</v>
      </c>
      <c r="J7" s="1449">
        <f>ROUND('5.3-5.4'!$B$40,-3)</f>
        <v>30170000</v>
      </c>
      <c r="L7" s="1707">
        <f t="shared" ref="L7:L16" si="0">(J7/I7)-1</f>
        <v>2.8429233706026791E-2</v>
      </c>
      <c r="M7" s="1707"/>
      <c r="N7" s="647"/>
      <c r="O7" s="637"/>
      <c r="P7" s="637"/>
      <c r="Q7" s="637"/>
      <c r="R7" s="637"/>
      <c r="S7" s="648"/>
      <c r="T7" s="639"/>
      <c r="U7" s="649"/>
      <c r="V7" s="639"/>
      <c r="W7" s="639"/>
      <c r="X7" s="639"/>
      <c r="Y7" s="641"/>
      <c r="Z7" s="641"/>
      <c r="AA7" s="641"/>
      <c r="AB7" s="641"/>
      <c r="AH7" s="639"/>
      <c r="AI7" s="639"/>
      <c r="AJ7" s="639"/>
      <c r="AK7" s="639"/>
      <c r="AL7" s="639"/>
      <c r="AM7" s="639"/>
      <c r="AN7" s="639"/>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6"/>
      <c r="HS7" s="146"/>
      <c r="HT7" s="146"/>
      <c r="HU7" s="146"/>
      <c r="HV7" s="146"/>
      <c r="HW7" s="146"/>
      <c r="HX7" s="146"/>
      <c r="HY7" s="146"/>
      <c r="HZ7" s="146"/>
      <c r="IA7" s="146"/>
      <c r="IB7" s="146"/>
      <c r="IC7" s="146"/>
      <c r="ID7" s="146"/>
      <c r="IE7" s="146"/>
    </row>
    <row r="8" spans="1:239" ht="15.65" customHeight="1">
      <c r="A8" s="1447" t="s">
        <v>786</v>
      </c>
      <c r="B8" s="1040">
        <v>757490742.09000015</v>
      </c>
      <c r="C8" s="1040">
        <v>831906887.15999985</v>
      </c>
      <c r="D8" s="1040">
        <v>764948013.7700001</v>
      </c>
      <c r="E8" s="1040">
        <v>826960822.31000006</v>
      </c>
      <c r="F8" s="1040">
        <v>861897138.17999983</v>
      </c>
      <c r="G8" s="1040">
        <v>943391000</v>
      </c>
      <c r="H8" s="143">
        <f>ROUND(1456048948.77-254758722.16-189640608.54,-3)</f>
        <v>1011650000</v>
      </c>
      <c r="I8" s="143">
        <v>1515692000</v>
      </c>
      <c r="J8" s="143">
        <v>1978697000</v>
      </c>
      <c r="L8" s="1707">
        <f t="shared" si="0"/>
        <v>0.30547433119657552</v>
      </c>
      <c r="M8" s="1884">
        <f>J8/$J$41</f>
        <v>6.6748956883623534E-2</v>
      </c>
      <c r="N8" s="647"/>
      <c r="O8" s="637"/>
      <c r="P8" s="637"/>
      <c r="Q8" s="637"/>
      <c r="R8" s="637"/>
      <c r="S8" s="648"/>
      <c r="T8" s="639"/>
      <c r="U8" s="649"/>
      <c r="V8" s="639"/>
      <c r="W8" s="639"/>
      <c r="X8" s="639"/>
      <c r="Y8" s="646"/>
      <c r="Z8" s="646"/>
      <c r="AA8" s="646"/>
      <c r="AB8" s="646"/>
      <c r="AH8" s="639"/>
      <c r="AI8" s="639"/>
      <c r="AJ8" s="639"/>
      <c r="AK8" s="639"/>
      <c r="AL8" s="639"/>
      <c r="AM8" s="639"/>
      <c r="AN8" s="639"/>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6"/>
      <c r="CN8" s="146"/>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6"/>
      <c r="FZ8" s="146"/>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6"/>
      <c r="HS8" s="146"/>
      <c r="HT8" s="146"/>
      <c r="HU8" s="146"/>
      <c r="HV8" s="146"/>
      <c r="HW8" s="146"/>
      <c r="HX8" s="146"/>
      <c r="HY8" s="146"/>
      <c r="HZ8" s="146"/>
      <c r="IA8" s="146"/>
      <c r="IB8" s="146"/>
      <c r="IC8" s="146"/>
      <c r="ID8" s="146"/>
      <c r="IE8" s="146"/>
    </row>
    <row r="9" spans="1:239" ht="15.65" customHeight="1">
      <c r="A9" s="1447" t="s">
        <v>787</v>
      </c>
      <c r="B9" s="1040">
        <v>11253348000</v>
      </c>
      <c r="C9" s="1040">
        <v>12328675000</v>
      </c>
      <c r="D9" s="1040">
        <v>12555624000</v>
      </c>
      <c r="E9" s="1040">
        <v>13052887000</v>
      </c>
      <c r="F9" s="1040">
        <v>14105766000</v>
      </c>
      <c r="G9" s="1040">
        <v>15226471000</v>
      </c>
      <c r="H9" s="428">
        <f>ROUND(172944264.74+1634338.44+14076560.05+-12000+-2591+85344535.6+47636381.35+1347009257.04+-1782372432.02+1926281006.61+13205120102.82+-16589175.92+245232938.82+137254190.49+-31965054.43,-3)</f>
        <v>15351592000</v>
      </c>
      <c r="I9" s="143">
        <v>17237352000</v>
      </c>
      <c r="J9" s="143">
        <v>20324954000</v>
      </c>
      <c r="L9" s="1707">
        <f t="shared" si="0"/>
        <v>0.17912275620988649</v>
      </c>
      <c r="M9" s="1885">
        <f>J9/$J$41</f>
        <v>0.68563781023958281</v>
      </c>
      <c r="N9" s="647"/>
      <c r="O9" s="637"/>
      <c r="P9" s="637"/>
      <c r="Q9" s="637"/>
      <c r="R9" s="637"/>
      <c r="S9" s="648"/>
      <c r="T9" s="639"/>
      <c r="U9" s="649"/>
      <c r="V9" s="639"/>
      <c r="W9" s="639"/>
      <c r="X9" s="639"/>
      <c r="Y9" s="646"/>
      <c r="Z9" s="646"/>
      <c r="AA9" s="646"/>
      <c r="AB9" s="646"/>
      <c r="AH9" s="639"/>
      <c r="AI9" s="639"/>
      <c r="AJ9" s="639"/>
      <c r="AK9" s="639"/>
      <c r="AL9" s="639"/>
      <c r="AM9" s="639"/>
      <c r="AN9" s="639"/>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row>
    <row r="10" spans="1:239" ht="15.65" customHeight="1">
      <c r="A10" s="1447" t="s">
        <v>796</v>
      </c>
      <c r="B10" s="1040"/>
      <c r="C10" s="1040"/>
      <c r="D10" s="1040"/>
      <c r="E10" s="1040"/>
      <c r="F10" s="1040"/>
      <c r="G10" s="1040">
        <v>191000</v>
      </c>
      <c r="H10" s="143">
        <f>ROUND(10996+69278.18,-3)</f>
        <v>80000</v>
      </c>
      <c r="I10" s="143">
        <v>810000</v>
      </c>
      <c r="J10" s="143">
        <v>27000</v>
      </c>
      <c r="L10" s="1707">
        <f t="shared" si="0"/>
        <v>-0.96666666666666667</v>
      </c>
      <c r="M10" s="1707"/>
      <c r="N10" s="650"/>
      <c r="O10" s="637"/>
      <c r="P10" s="637"/>
      <c r="Q10" s="637"/>
      <c r="R10" s="637"/>
      <c r="S10" s="648"/>
      <c r="T10" s="639"/>
      <c r="U10" s="649"/>
      <c r="V10" s="639"/>
      <c r="W10" s="639"/>
      <c r="X10" s="639"/>
      <c r="AB10" s="646"/>
      <c r="AC10" s="639"/>
      <c r="AD10" s="639"/>
      <c r="AE10" s="639"/>
      <c r="AF10" s="639"/>
      <c r="AG10" s="639"/>
      <c r="AH10" s="639"/>
      <c r="AI10" s="639"/>
      <c r="AJ10" s="639"/>
      <c r="AK10" s="639"/>
      <c r="AL10" s="639"/>
      <c r="AM10" s="639"/>
      <c r="AN10" s="639"/>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row>
    <row r="11" spans="1:239" ht="15.65" customHeight="1">
      <c r="A11" s="1447" t="s">
        <v>262</v>
      </c>
      <c r="B11" s="1040"/>
      <c r="C11" s="1040"/>
      <c r="D11" s="1040"/>
      <c r="E11" s="1040"/>
      <c r="F11" s="1040"/>
      <c r="G11" s="1040">
        <v>372107000</v>
      </c>
      <c r="H11" s="143">
        <f>ROUND(39715917.44+-6507.25+-48621.15+487130322.81+-59669923.88,-3)</f>
        <v>467121000</v>
      </c>
      <c r="I11" s="143">
        <v>656756000</v>
      </c>
      <c r="J11" s="143">
        <v>634000000</v>
      </c>
      <c r="L11" s="1707">
        <f t="shared" si="0"/>
        <v>-3.464909342282374E-2</v>
      </c>
      <c r="M11" s="1707"/>
      <c r="N11" s="647"/>
      <c r="O11" s="637"/>
      <c r="P11" s="637"/>
      <c r="Q11" s="637"/>
      <c r="R11" s="637"/>
      <c r="S11" s="648"/>
      <c r="T11" s="639"/>
      <c r="U11" s="649"/>
      <c r="V11" s="639"/>
      <c r="W11" s="639"/>
      <c r="X11" s="639"/>
      <c r="Y11" s="639"/>
      <c r="Z11" s="639"/>
      <c r="AA11" s="639"/>
      <c r="AB11" s="639"/>
      <c r="AC11" s="639"/>
      <c r="AD11" s="639"/>
      <c r="AE11" s="639"/>
      <c r="AF11" s="639"/>
      <c r="AG11" s="639"/>
      <c r="AH11" s="639"/>
      <c r="AI11" s="639"/>
      <c r="AJ11" s="639"/>
      <c r="AK11" s="639"/>
      <c r="AL11" s="639"/>
      <c r="AM11" s="639"/>
      <c r="AN11" s="639"/>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row>
    <row r="12" spans="1:239" ht="15.65" customHeight="1">
      <c r="A12" s="1447" t="s">
        <v>263</v>
      </c>
      <c r="B12" s="1040"/>
      <c r="C12" s="1040"/>
      <c r="D12" s="1040"/>
      <c r="E12" s="1040"/>
      <c r="F12" s="1040"/>
      <c r="G12" s="1040">
        <v>6738000</v>
      </c>
      <c r="H12" s="143">
        <f>ROUND(6074046.59+-46849.18+0+560500.22,-3)</f>
        <v>6588000</v>
      </c>
      <c r="I12" s="143">
        <v>7769000</v>
      </c>
      <c r="J12" s="143">
        <v>8542000</v>
      </c>
      <c r="L12" s="1707">
        <f t="shared" si="0"/>
        <v>9.9498004891234393E-2</v>
      </c>
      <c r="M12" s="1707"/>
      <c r="N12" s="647"/>
      <c r="O12" s="637"/>
      <c r="P12" s="637"/>
      <c r="Q12" s="637"/>
      <c r="R12" s="637"/>
      <c r="S12" s="648"/>
      <c r="T12" s="639"/>
      <c r="U12" s="649"/>
      <c r="V12" s="639"/>
      <c r="W12" s="639"/>
      <c r="X12" s="639"/>
      <c r="Y12" s="646"/>
      <c r="Z12" s="639"/>
      <c r="AA12" s="639"/>
      <c r="AB12" s="639"/>
      <c r="AC12" s="639"/>
      <c r="AD12" s="639"/>
      <c r="AE12" s="639"/>
      <c r="AF12" s="639"/>
      <c r="AG12" s="639"/>
      <c r="AH12" s="639"/>
      <c r="AI12" s="639"/>
      <c r="AJ12" s="639"/>
      <c r="AK12" s="639"/>
      <c r="AL12" s="639"/>
      <c r="AM12" s="639"/>
      <c r="AN12" s="639"/>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row>
    <row r="13" spans="1:239" ht="15.65" customHeight="1">
      <c r="A13" s="1447" t="s">
        <v>264</v>
      </c>
      <c r="B13" s="1040">
        <v>3066456000</v>
      </c>
      <c r="C13" s="1040">
        <v>3235444000</v>
      </c>
      <c r="D13" s="1040">
        <v>3295853000</v>
      </c>
      <c r="E13" s="1040">
        <v>3354561000</v>
      </c>
      <c r="F13" s="1040">
        <v>3458249000</v>
      </c>
      <c r="G13" s="1040">
        <v>3580355000</v>
      </c>
      <c r="H13" s="143">
        <f>ROUND(2683258.31+208033441.59+53040341.29+3169525635.96+-34441737.4+2478935.49+173593188.29+-5477492.26+540921001.82+-406044118.99+132233.73+2033538.76+338923.1,-3)</f>
        <v>3706817000</v>
      </c>
      <c r="I13" s="143">
        <v>4166182000</v>
      </c>
      <c r="J13" s="143">
        <v>4558082000</v>
      </c>
      <c r="L13" s="1707">
        <f t="shared" si="0"/>
        <v>9.4066941866677967E-2</v>
      </c>
      <c r="M13" s="1886">
        <f>J13/$J$41</f>
        <v>0.153761398986313</v>
      </c>
      <c r="N13" s="647"/>
      <c r="O13" s="637"/>
      <c r="P13" s="637"/>
      <c r="Q13" s="637"/>
      <c r="R13" s="637"/>
      <c r="S13" s="648"/>
      <c r="T13" s="639"/>
      <c r="U13" s="649"/>
      <c r="V13" s="639"/>
      <c r="W13" s="639"/>
      <c r="X13" s="639"/>
      <c r="Y13" s="639"/>
      <c r="Z13" s="639"/>
      <c r="AA13" s="639"/>
      <c r="AB13" s="639"/>
      <c r="AC13" s="639"/>
      <c r="AD13" s="639"/>
      <c r="AE13" s="639"/>
      <c r="AF13" s="639"/>
      <c r="AG13" s="639"/>
      <c r="AH13" s="639"/>
      <c r="AI13" s="639"/>
      <c r="AJ13" s="639"/>
      <c r="AK13" s="639"/>
      <c r="AL13" s="639"/>
      <c r="AM13" s="639"/>
      <c r="AN13" s="639"/>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46"/>
      <c r="DE13" s="146"/>
      <c r="DF13" s="146"/>
      <c r="DG13" s="146"/>
      <c r="DH13" s="146"/>
      <c r="DI13" s="146"/>
      <c r="DJ13" s="146"/>
      <c r="DK13" s="146"/>
      <c r="DL13" s="146"/>
      <c r="DM13" s="146"/>
      <c r="DN13" s="146"/>
      <c r="DO13" s="146"/>
      <c r="DP13" s="146"/>
      <c r="DQ13" s="146"/>
      <c r="DR13" s="146"/>
      <c r="DS13" s="146"/>
      <c r="DT13" s="146"/>
      <c r="DU13" s="146"/>
      <c r="DV13" s="146"/>
      <c r="DW13" s="146"/>
      <c r="DX13" s="146"/>
      <c r="DY13" s="146"/>
      <c r="DZ13" s="146"/>
      <c r="EA13" s="146"/>
      <c r="EB13" s="146"/>
      <c r="EC13" s="146"/>
      <c r="ED13" s="146"/>
      <c r="EE13" s="146"/>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46"/>
      <c r="FB13" s="146"/>
      <c r="FC13" s="146"/>
      <c r="FD13" s="146"/>
      <c r="FE13" s="146"/>
      <c r="FF13" s="146"/>
      <c r="FG13" s="146"/>
      <c r="FH13" s="146"/>
      <c r="FI13" s="146"/>
      <c r="FJ13" s="146"/>
      <c r="FK13" s="146"/>
      <c r="FL13" s="146"/>
      <c r="FM13" s="146"/>
      <c r="FN13" s="146"/>
      <c r="FO13" s="146"/>
      <c r="FP13" s="146"/>
      <c r="FQ13" s="146"/>
      <c r="FR13" s="146"/>
      <c r="FS13" s="146"/>
      <c r="FT13" s="146"/>
      <c r="FU13" s="146"/>
      <c r="FV13" s="146"/>
      <c r="FW13" s="146"/>
      <c r="FX13" s="146"/>
      <c r="FY13" s="146"/>
      <c r="FZ13" s="146"/>
      <c r="GA13" s="146"/>
      <c r="GB13" s="146"/>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c r="HC13" s="146"/>
      <c r="HD13" s="146"/>
      <c r="HE13" s="146"/>
      <c r="HF13" s="146"/>
      <c r="HG13" s="146"/>
      <c r="HH13" s="146"/>
      <c r="HI13" s="146"/>
      <c r="HJ13" s="146"/>
      <c r="HK13" s="146"/>
      <c r="HL13" s="146"/>
      <c r="HM13" s="146"/>
      <c r="HN13" s="146"/>
      <c r="HO13" s="146"/>
      <c r="HP13" s="146"/>
      <c r="HQ13" s="146"/>
      <c r="HR13" s="146"/>
      <c r="HS13" s="146"/>
      <c r="HT13" s="146"/>
      <c r="HU13" s="146"/>
      <c r="HV13" s="146"/>
      <c r="HW13" s="146"/>
      <c r="HX13" s="146"/>
      <c r="HY13" s="146"/>
      <c r="HZ13" s="146"/>
      <c r="IA13" s="146"/>
      <c r="IB13" s="146"/>
      <c r="IC13" s="146"/>
      <c r="ID13" s="146"/>
      <c r="IE13" s="146"/>
    </row>
    <row r="14" spans="1:239" ht="15.65" customHeight="1">
      <c r="A14" s="1447" t="s">
        <v>265</v>
      </c>
      <c r="B14" s="1040"/>
      <c r="C14" s="1040"/>
      <c r="D14" s="1040"/>
      <c r="E14" s="1040"/>
      <c r="F14" s="1040"/>
      <c r="G14" s="1040">
        <v>5681000</v>
      </c>
      <c r="H14" s="143">
        <f>ROUND(6772425.16,-3)</f>
        <v>6772000</v>
      </c>
      <c r="I14" s="143">
        <v>9398000</v>
      </c>
      <c r="J14" s="143">
        <v>9070000</v>
      </c>
      <c r="L14" s="1707">
        <f t="shared" si="0"/>
        <v>-3.4901042775058566E-2</v>
      </c>
      <c r="M14" s="1707"/>
      <c r="N14" s="647"/>
      <c r="O14" s="637"/>
      <c r="P14" s="637"/>
      <c r="Q14" s="637"/>
      <c r="R14" s="637"/>
      <c r="S14" s="648"/>
      <c r="T14" s="639"/>
      <c r="U14" s="649"/>
      <c r="V14" s="639"/>
      <c r="W14" s="639"/>
      <c r="X14" s="639"/>
      <c r="Y14" s="646"/>
      <c r="Z14" s="639"/>
      <c r="AA14" s="639"/>
      <c r="AB14" s="639"/>
      <c r="AC14" s="639"/>
      <c r="AD14" s="639"/>
      <c r="AE14" s="639"/>
      <c r="AF14" s="639"/>
      <c r="AG14" s="639"/>
      <c r="AH14" s="639"/>
      <c r="AI14" s="639"/>
      <c r="AJ14" s="639"/>
      <c r="AK14" s="639"/>
      <c r="AL14" s="639"/>
      <c r="AM14" s="639"/>
      <c r="AN14" s="639"/>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c r="FE14" s="146"/>
      <c r="FF14" s="146"/>
      <c r="FG14" s="146"/>
      <c r="FH14" s="146"/>
      <c r="FI14" s="146"/>
      <c r="FJ14" s="146"/>
      <c r="FK14" s="146"/>
      <c r="FL14" s="146"/>
      <c r="FM14" s="146"/>
      <c r="FN14" s="146"/>
      <c r="FO14" s="146"/>
      <c r="FP14" s="146"/>
      <c r="FQ14" s="146"/>
      <c r="FR14" s="146"/>
      <c r="FS14" s="146"/>
      <c r="FT14" s="146"/>
      <c r="FU14" s="146"/>
      <c r="FV14" s="146"/>
      <c r="FW14" s="146"/>
      <c r="FX14" s="146"/>
      <c r="FY14" s="146"/>
      <c r="FZ14" s="146"/>
      <c r="GA14" s="146"/>
      <c r="GB14" s="146"/>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c r="HC14" s="146"/>
      <c r="HD14" s="146"/>
      <c r="HE14" s="146"/>
      <c r="HF14" s="146"/>
      <c r="HG14" s="146"/>
      <c r="HH14" s="146"/>
      <c r="HI14" s="146"/>
      <c r="HJ14" s="146"/>
      <c r="HK14" s="146"/>
      <c r="HL14" s="146"/>
      <c r="HM14" s="146"/>
      <c r="HN14" s="146"/>
      <c r="HO14" s="146"/>
      <c r="HP14" s="146"/>
      <c r="HQ14" s="146"/>
      <c r="HR14" s="146"/>
      <c r="HS14" s="146"/>
      <c r="HT14" s="146"/>
      <c r="HU14" s="146"/>
      <c r="HV14" s="146"/>
      <c r="HW14" s="146"/>
      <c r="HX14" s="146"/>
      <c r="HY14" s="146"/>
      <c r="HZ14" s="146"/>
      <c r="IA14" s="146"/>
      <c r="IB14" s="146"/>
      <c r="IC14" s="146"/>
      <c r="ID14" s="146"/>
      <c r="IE14" s="146"/>
    </row>
    <row r="15" spans="1:239" ht="15.65" customHeight="1">
      <c r="A15" s="145" t="s">
        <v>698</v>
      </c>
      <c r="B15" s="1040"/>
      <c r="C15" s="1040"/>
      <c r="D15" s="1040"/>
      <c r="E15" s="1040"/>
      <c r="F15" s="1040"/>
      <c r="G15" s="1040">
        <v>6444000</v>
      </c>
      <c r="H15" s="143">
        <f>ROUND(5794346.74+726593.28,-3)</f>
        <v>6521000</v>
      </c>
      <c r="I15" s="143">
        <v>6051000</v>
      </c>
      <c r="J15" s="143">
        <v>6110000</v>
      </c>
      <c r="L15" s="1707">
        <f t="shared" si="0"/>
        <v>9.7504544703355123E-3</v>
      </c>
      <c r="M15" s="1707"/>
      <c r="N15" s="647"/>
      <c r="O15" s="637"/>
      <c r="P15" s="637"/>
      <c r="Q15" s="637"/>
      <c r="R15" s="637"/>
      <c r="S15" s="648"/>
      <c r="T15" s="639"/>
      <c r="U15" s="649"/>
      <c r="V15" s="639"/>
      <c r="W15" s="639"/>
      <c r="X15" s="639"/>
      <c r="Y15" s="646"/>
      <c r="Z15" s="639"/>
      <c r="AA15" s="639"/>
      <c r="AB15" s="639"/>
      <c r="AC15" s="639"/>
      <c r="AD15" s="639"/>
      <c r="AE15" s="639"/>
      <c r="AF15" s="639"/>
      <c r="AG15" s="639"/>
      <c r="AH15" s="639"/>
      <c r="AI15" s="639"/>
      <c r="AJ15" s="639"/>
      <c r="AK15" s="639"/>
      <c r="AL15" s="639"/>
      <c r="AM15" s="639"/>
      <c r="AN15" s="639"/>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146"/>
      <c r="CO15" s="146"/>
      <c r="CP15" s="146"/>
      <c r="CQ15" s="146"/>
      <c r="CR15" s="146"/>
      <c r="CS15" s="146"/>
      <c r="CT15" s="146"/>
      <c r="CU15" s="146"/>
      <c r="CV15" s="146"/>
      <c r="CW15" s="146"/>
      <c r="CX15" s="146"/>
      <c r="CY15" s="146"/>
      <c r="CZ15" s="146"/>
      <c r="DA15" s="146"/>
      <c r="DB15" s="146"/>
      <c r="DC15" s="146"/>
      <c r="DD15" s="146"/>
      <c r="DE15" s="146"/>
      <c r="DF15" s="146"/>
      <c r="DG15" s="146"/>
      <c r="DH15" s="146"/>
      <c r="DI15" s="146"/>
      <c r="DJ15" s="146"/>
      <c r="DK15" s="146"/>
      <c r="DL15" s="146"/>
      <c r="DM15" s="146"/>
      <c r="DN15" s="146"/>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c r="FE15" s="146"/>
      <c r="FF15" s="146"/>
      <c r="FG15" s="146"/>
      <c r="FH15" s="146"/>
      <c r="FI15" s="146"/>
      <c r="FJ15" s="146"/>
      <c r="FK15" s="146"/>
      <c r="FL15" s="146"/>
      <c r="FM15" s="146"/>
      <c r="FN15" s="146"/>
      <c r="FO15" s="146"/>
      <c r="FP15" s="146"/>
      <c r="FQ15" s="146"/>
      <c r="FR15" s="146"/>
      <c r="FS15" s="146"/>
      <c r="FT15" s="146"/>
      <c r="FU15" s="146"/>
      <c r="FV15" s="146"/>
      <c r="FW15" s="146"/>
      <c r="FX15" s="146"/>
      <c r="FY15" s="146"/>
      <c r="FZ15" s="146"/>
      <c r="GA15" s="146"/>
      <c r="GB15" s="146"/>
      <c r="GC15" s="146"/>
      <c r="GD15" s="146"/>
      <c r="GE15" s="146"/>
      <c r="GF15" s="146"/>
      <c r="GG15" s="146"/>
      <c r="GH15" s="146"/>
      <c r="GI15" s="146"/>
      <c r="GJ15" s="146"/>
      <c r="GK15" s="146"/>
      <c r="GL15" s="146"/>
      <c r="GM15" s="146"/>
      <c r="GN15" s="146"/>
      <c r="GO15" s="146"/>
      <c r="GP15" s="146"/>
      <c r="GQ15" s="146"/>
      <c r="GR15" s="146"/>
      <c r="GS15" s="146"/>
      <c r="GT15" s="146"/>
      <c r="GU15" s="146"/>
      <c r="GV15" s="146"/>
      <c r="GW15" s="146"/>
      <c r="GX15" s="146"/>
      <c r="GY15" s="146"/>
      <c r="GZ15" s="146"/>
      <c r="HA15" s="146"/>
      <c r="HB15" s="146"/>
      <c r="HC15" s="146"/>
      <c r="HD15" s="146"/>
      <c r="HE15" s="146"/>
      <c r="HF15" s="146"/>
      <c r="HG15" s="146"/>
      <c r="HH15" s="146"/>
      <c r="HI15" s="146"/>
      <c r="HJ15" s="146"/>
      <c r="HK15" s="146"/>
      <c r="HL15" s="146"/>
      <c r="HM15" s="146"/>
      <c r="HN15" s="146"/>
      <c r="HO15" s="146"/>
      <c r="HP15" s="146"/>
      <c r="HQ15" s="146"/>
      <c r="HR15" s="146"/>
      <c r="HS15" s="146"/>
      <c r="HT15" s="146"/>
      <c r="HU15" s="146"/>
      <c r="HV15" s="146"/>
      <c r="HW15" s="146"/>
      <c r="HX15" s="146"/>
      <c r="HY15" s="146"/>
      <c r="HZ15" s="146"/>
      <c r="IA15" s="146"/>
      <c r="IB15" s="146"/>
      <c r="IC15" s="146"/>
      <c r="ID15" s="146"/>
      <c r="IE15" s="146"/>
    </row>
    <row r="16" spans="1:239" ht="15.65" customHeight="1">
      <c r="A16" s="145" t="s">
        <v>735</v>
      </c>
      <c r="B16" s="1040"/>
      <c r="C16" s="1040"/>
      <c r="D16" s="1040"/>
      <c r="E16" s="1040"/>
      <c r="F16" s="1040"/>
      <c r="G16" s="1040">
        <v>382018000</v>
      </c>
      <c r="H16" s="143">
        <f>ROUND(603081210.21-242492835.9,-3)</f>
        <v>360588000</v>
      </c>
      <c r="I16" s="143">
        <v>363105000</v>
      </c>
      <c r="J16" s="143">
        <v>426830000</v>
      </c>
      <c r="L16" s="1707">
        <f t="shared" si="0"/>
        <v>0.17550019966676311</v>
      </c>
      <c r="M16" s="1707"/>
      <c r="N16" s="647"/>
      <c r="O16" s="637"/>
      <c r="P16" s="637"/>
      <c r="Q16" s="637"/>
      <c r="R16" s="637"/>
      <c r="S16" s="648"/>
      <c r="T16" s="639"/>
      <c r="U16" s="649"/>
      <c r="V16" s="639"/>
      <c r="W16" s="639"/>
      <c r="X16" s="639"/>
      <c r="Y16" s="646"/>
      <c r="Z16" s="639"/>
      <c r="AA16" s="639"/>
      <c r="AB16" s="639"/>
      <c r="AC16" s="639"/>
      <c r="AD16" s="639"/>
      <c r="AE16" s="639"/>
      <c r="AF16" s="639"/>
      <c r="AG16" s="639"/>
      <c r="AH16" s="639"/>
      <c r="AI16" s="639"/>
      <c r="AJ16" s="639"/>
      <c r="AK16" s="639"/>
      <c r="AL16" s="639"/>
      <c r="AM16" s="639"/>
      <c r="AN16" s="639"/>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46"/>
      <c r="DX16" s="146"/>
      <c r="DY16" s="146"/>
      <c r="DZ16" s="146"/>
      <c r="EA16" s="146"/>
      <c r="EB16" s="146"/>
      <c r="EC16" s="146"/>
      <c r="ED16" s="146"/>
      <c r="EE16" s="146"/>
      <c r="EF16" s="146"/>
      <c r="EG16" s="146"/>
      <c r="EH16" s="146"/>
      <c r="EI16" s="146"/>
      <c r="EJ16" s="146"/>
      <c r="EK16" s="146"/>
      <c r="EL16" s="146"/>
      <c r="EM16" s="146"/>
      <c r="EN16" s="146"/>
      <c r="EO16" s="146"/>
      <c r="EP16" s="146"/>
      <c r="EQ16" s="146"/>
      <c r="ER16" s="146"/>
      <c r="ES16" s="146"/>
      <c r="ET16" s="146"/>
      <c r="EU16" s="146"/>
      <c r="EV16" s="146"/>
      <c r="EW16" s="146"/>
      <c r="EX16" s="146"/>
      <c r="EY16" s="146"/>
      <c r="EZ16" s="146"/>
      <c r="FA16" s="146"/>
      <c r="FB16" s="146"/>
      <c r="FC16" s="146"/>
      <c r="FD16" s="146"/>
      <c r="FE16" s="146"/>
      <c r="FF16" s="146"/>
      <c r="FG16" s="146"/>
      <c r="FH16" s="146"/>
      <c r="FI16" s="146"/>
      <c r="FJ16" s="146"/>
      <c r="FK16" s="146"/>
      <c r="FL16" s="146"/>
      <c r="FM16" s="146"/>
      <c r="FN16" s="146"/>
      <c r="FO16" s="146"/>
      <c r="FP16" s="146"/>
      <c r="FQ16" s="146"/>
      <c r="FR16" s="146"/>
      <c r="FS16" s="146"/>
      <c r="FT16" s="146"/>
      <c r="FU16" s="146"/>
      <c r="FV16" s="146"/>
      <c r="FW16" s="146"/>
      <c r="FX16" s="146"/>
      <c r="FY16" s="146"/>
      <c r="FZ16" s="146"/>
      <c r="GA16" s="146"/>
      <c r="GB16" s="146"/>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c r="HC16" s="146"/>
      <c r="HD16" s="146"/>
      <c r="HE16" s="146"/>
      <c r="HF16" s="146"/>
      <c r="HG16" s="146"/>
      <c r="HH16" s="146"/>
      <c r="HI16" s="146"/>
      <c r="HJ16" s="146"/>
      <c r="HK16" s="146"/>
      <c r="HL16" s="146"/>
      <c r="HM16" s="146"/>
      <c r="HN16" s="146"/>
      <c r="HO16" s="146"/>
      <c r="HP16" s="146"/>
      <c r="HQ16" s="146"/>
      <c r="HR16" s="146"/>
      <c r="HS16" s="146"/>
      <c r="HT16" s="146"/>
      <c r="HU16" s="146"/>
      <c r="HV16" s="146"/>
      <c r="HW16" s="146"/>
      <c r="HX16" s="146"/>
      <c r="HY16" s="146"/>
      <c r="HZ16" s="146"/>
      <c r="IA16" s="146"/>
      <c r="IB16" s="146"/>
      <c r="IC16" s="146"/>
      <c r="ID16" s="146"/>
      <c r="IE16" s="146"/>
    </row>
    <row r="17" spans="1:239" ht="6" customHeight="1">
      <c r="A17" s="145"/>
      <c r="B17" s="1043"/>
      <c r="C17" s="1043"/>
      <c r="D17" s="1043"/>
      <c r="E17" s="1043"/>
      <c r="F17" s="1043"/>
      <c r="G17" s="1043"/>
      <c r="H17" s="1043"/>
      <c r="L17" s="1708"/>
      <c r="M17" s="1708"/>
      <c r="N17" s="637"/>
      <c r="O17" s="637"/>
      <c r="P17" s="637"/>
      <c r="Q17" s="637"/>
      <c r="R17" s="637"/>
      <c r="S17" s="648"/>
      <c r="T17" s="639"/>
      <c r="U17" s="649"/>
      <c r="V17" s="639"/>
      <c r="W17" s="639"/>
      <c r="X17" s="639"/>
      <c r="Y17" s="639"/>
      <c r="Z17" s="639"/>
      <c r="AA17" s="639"/>
      <c r="AB17" s="639"/>
      <c r="AC17" s="639"/>
      <c r="AD17" s="639"/>
      <c r="AE17" s="639"/>
      <c r="AF17" s="639"/>
      <c r="AG17" s="639"/>
      <c r="AH17" s="639"/>
      <c r="AI17" s="639"/>
      <c r="AJ17" s="639"/>
      <c r="AK17" s="639"/>
      <c r="AL17" s="639"/>
      <c r="AM17" s="639"/>
      <c r="AN17" s="639"/>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46"/>
      <c r="FB17" s="146"/>
      <c r="FC17" s="146"/>
      <c r="FD17" s="146"/>
      <c r="FE17" s="146"/>
      <c r="FF17" s="146"/>
      <c r="FG17" s="146"/>
      <c r="FH17" s="146"/>
      <c r="FI17" s="146"/>
      <c r="FJ17" s="146"/>
      <c r="FK17" s="146"/>
      <c r="FL17" s="146"/>
      <c r="FM17" s="146"/>
      <c r="FN17" s="146"/>
      <c r="FO17" s="146"/>
      <c r="FP17" s="146"/>
      <c r="FQ17" s="146"/>
      <c r="FR17" s="146"/>
      <c r="FS17" s="146"/>
      <c r="FT17" s="146"/>
      <c r="FU17" s="146"/>
      <c r="FV17" s="146"/>
      <c r="FW17" s="146"/>
      <c r="FX17" s="146"/>
      <c r="FY17" s="146"/>
      <c r="FZ17" s="146"/>
      <c r="GA17" s="146"/>
      <c r="GB17" s="146"/>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c r="HC17" s="146"/>
      <c r="HD17" s="146"/>
      <c r="HE17" s="146"/>
      <c r="HF17" s="146"/>
      <c r="HG17" s="146"/>
      <c r="HH17" s="146"/>
      <c r="HI17" s="146"/>
      <c r="HJ17" s="146"/>
      <c r="HK17" s="146"/>
      <c r="HL17" s="146"/>
      <c r="HM17" s="146"/>
      <c r="HN17" s="146"/>
      <c r="HO17" s="146"/>
      <c r="HP17" s="146"/>
      <c r="HQ17" s="146"/>
      <c r="HR17" s="146"/>
      <c r="HS17" s="146"/>
      <c r="HT17" s="146"/>
      <c r="HU17" s="146"/>
      <c r="HV17" s="146"/>
      <c r="HW17" s="146"/>
      <c r="HX17" s="146"/>
      <c r="HY17" s="146"/>
      <c r="HZ17" s="146"/>
      <c r="IA17" s="146"/>
      <c r="IB17" s="146"/>
      <c r="IC17" s="146"/>
      <c r="ID17" s="146"/>
      <c r="IE17" s="146"/>
    </row>
    <row r="18" spans="1:239" ht="15.65" customHeight="1">
      <c r="A18" s="148" t="s">
        <v>266</v>
      </c>
      <c r="B18" s="1171">
        <v>15733790000</v>
      </c>
      <c r="C18" s="1171">
        <v>17069018000</v>
      </c>
      <c r="D18" s="1171">
        <v>17348564000</v>
      </c>
      <c r="E18" s="1171">
        <v>18001810000</v>
      </c>
      <c r="F18" s="1171">
        <v>19188948000</v>
      </c>
      <c r="G18" s="1171">
        <f>SUM(G7:G16)</f>
        <v>20553037000</v>
      </c>
      <c r="H18" s="1171">
        <f>SUM(H7:H16)</f>
        <v>20943678000</v>
      </c>
      <c r="I18" s="1709">
        <f>SUM(I7:I16)</f>
        <v>23992451000</v>
      </c>
      <c r="J18" s="1709">
        <f>SUM(J7:J16)</f>
        <v>27976482000</v>
      </c>
      <c r="K18" s="151"/>
      <c r="L18" s="1710">
        <f>(J18/I18)-1</f>
        <v>0.16605352241836391</v>
      </c>
      <c r="M18" s="1710"/>
      <c r="N18" s="647"/>
      <c r="O18" s="637"/>
      <c r="P18" s="637"/>
      <c r="Q18" s="637"/>
      <c r="R18" s="637"/>
      <c r="S18" s="648"/>
      <c r="T18" s="639"/>
      <c r="U18" s="649"/>
      <c r="V18" s="639"/>
      <c r="W18" s="639"/>
      <c r="X18" s="639"/>
      <c r="Y18" s="639"/>
      <c r="Z18" s="639"/>
      <c r="AA18" s="639"/>
      <c r="AB18" s="639"/>
      <c r="AC18" s="639"/>
      <c r="AD18" s="639"/>
      <c r="AE18" s="639"/>
      <c r="AF18" s="639"/>
      <c r="AG18" s="639"/>
      <c r="AH18" s="639"/>
      <c r="AI18" s="639"/>
      <c r="AJ18" s="639"/>
      <c r="AK18" s="639"/>
      <c r="AL18" s="639"/>
      <c r="AM18" s="639"/>
      <c r="AN18" s="639"/>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c r="FD18" s="146"/>
      <c r="FE18" s="146"/>
      <c r="FF18" s="146"/>
      <c r="FG18" s="146"/>
      <c r="FH18" s="146"/>
      <c r="FI18" s="146"/>
      <c r="FJ18" s="146"/>
      <c r="FK18" s="146"/>
      <c r="FL18" s="146"/>
      <c r="FM18" s="146"/>
      <c r="FN18" s="146"/>
      <c r="FO18" s="146"/>
      <c r="FP18" s="146"/>
      <c r="FQ18" s="146"/>
      <c r="FR18" s="146"/>
      <c r="FS18" s="146"/>
      <c r="FT18" s="146"/>
      <c r="FU18" s="146"/>
      <c r="FV18" s="146"/>
      <c r="FW18" s="146"/>
      <c r="FX18" s="146"/>
      <c r="FY18" s="146"/>
      <c r="FZ18" s="146"/>
      <c r="GA18" s="146"/>
      <c r="GB18" s="146"/>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c r="HC18" s="146"/>
      <c r="HD18" s="146"/>
      <c r="HE18" s="146"/>
      <c r="HF18" s="146"/>
      <c r="HG18" s="146"/>
      <c r="HH18" s="146"/>
      <c r="HI18" s="146"/>
      <c r="HJ18" s="146"/>
      <c r="HK18" s="146"/>
      <c r="HL18" s="146"/>
      <c r="HM18" s="146"/>
      <c r="HN18" s="146"/>
      <c r="HO18" s="146"/>
      <c r="HP18" s="146"/>
      <c r="HQ18" s="146"/>
      <c r="HR18" s="146"/>
      <c r="HS18" s="146"/>
      <c r="HT18" s="146"/>
      <c r="HU18" s="146"/>
      <c r="HV18" s="146"/>
      <c r="HW18" s="146"/>
      <c r="HX18" s="146"/>
      <c r="HY18" s="146"/>
      <c r="HZ18" s="146"/>
      <c r="IA18" s="146"/>
      <c r="IB18" s="146"/>
      <c r="IC18" s="146"/>
      <c r="ID18" s="146"/>
      <c r="IE18" s="146"/>
    </row>
    <row r="19" spans="1:239" ht="12" customHeight="1">
      <c r="A19" s="567"/>
      <c r="B19" s="1040"/>
      <c r="C19" s="1040"/>
      <c r="D19" s="1040"/>
      <c r="E19" s="1040"/>
      <c r="F19" s="1040"/>
      <c r="G19" s="1040"/>
      <c r="H19" s="1040"/>
      <c r="I19" s="238"/>
      <c r="J19" s="238"/>
      <c r="L19" s="1707"/>
      <c r="M19" s="1707"/>
      <c r="N19" s="637"/>
      <c r="O19" s="637"/>
      <c r="P19" s="637"/>
      <c r="Q19" s="637"/>
      <c r="R19" s="637"/>
      <c r="S19" s="648"/>
      <c r="T19" s="639"/>
      <c r="U19" s="639"/>
      <c r="V19" s="639"/>
      <c r="W19" s="639"/>
      <c r="X19" s="639"/>
      <c r="Y19" s="639"/>
      <c r="Z19" s="639"/>
      <c r="AA19" s="639"/>
      <c r="AB19" s="639"/>
      <c r="AC19" s="639"/>
      <c r="AD19" s="639"/>
      <c r="AE19" s="639"/>
      <c r="AF19" s="639"/>
      <c r="AG19" s="639"/>
      <c r="AH19" s="639"/>
      <c r="AI19" s="639"/>
      <c r="AJ19" s="639"/>
      <c r="AK19" s="639"/>
      <c r="AL19" s="639"/>
      <c r="AM19" s="639"/>
      <c r="AN19" s="639"/>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46"/>
      <c r="DI19" s="146"/>
      <c r="DJ19" s="146"/>
      <c r="DK19" s="146"/>
      <c r="DL19" s="146"/>
      <c r="DM19" s="146"/>
      <c r="DN19" s="146"/>
      <c r="DO19" s="146"/>
      <c r="DP19" s="146"/>
      <c r="DQ19" s="146"/>
      <c r="DR19" s="146"/>
      <c r="DS19" s="146"/>
      <c r="DT19" s="146"/>
      <c r="DU19" s="146"/>
      <c r="DV19" s="146"/>
      <c r="DW19" s="146"/>
      <c r="DX19" s="146"/>
      <c r="DY19" s="146"/>
      <c r="DZ19" s="146"/>
      <c r="EA19" s="146"/>
      <c r="EB19" s="146"/>
      <c r="EC19" s="146"/>
      <c r="ED19" s="146"/>
      <c r="EE19" s="146"/>
      <c r="EF19" s="146"/>
      <c r="EG19" s="146"/>
      <c r="EH19" s="146"/>
      <c r="EI19" s="146"/>
      <c r="EJ19" s="146"/>
      <c r="EK19" s="146"/>
      <c r="EL19" s="146"/>
      <c r="EM19" s="146"/>
      <c r="EN19" s="146"/>
      <c r="EO19" s="146"/>
      <c r="EP19" s="146"/>
      <c r="EQ19" s="146"/>
      <c r="ER19" s="146"/>
      <c r="ES19" s="146"/>
      <c r="ET19" s="146"/>
      <c r="EU19" s="146"/>
      <c r="EV19" s="146"/>
      <c r="EW19" s="146"/>
      <c r="EX19" s="146"/>
      <c r="EY19" s="146"/>
      <c r="EZ19" s="146"/>
      <c r="FA19" s="146"/>
      <c r="FB19" s="146"/>
      <c r="FC19" s="146"/>
      <c r="FD19" s="146"/>
      <c r="FE19" s="146"/>
      <c r="FF19" s="146"/>
      <c r="FG19" s="146"/>
      <c r="FH19" s="146"/>
      <c r="FI19" s="146"/>
      <c r="FJ19" s="146"/>
      <c r="FK19" s="146"/>
      <c r="FL19" s="146"/>
      <c r="FM19" s="146"/>
      <c r="FN19" s="146"/>
      <c r="FO19" s="146"/>
      <c r="FP19" s="146"/>
      <c r="FQ19" s="146"/>
      <c r="FR19" s="146"/>
      <c r="FS19" s="146"/>
      <c r="FT19" s="146"/>
      <c r="FU19" s="146"/>
      <c r="FV19" s="146"/>
      <c r="FW19" s="146"/>
      <c r="FX19" s="146"/>
      <c r="FY19" s="146"/>
      <c r="FZ19" s="146"/>
      <c r="GA19" s="146"/>
      <c r="GB19" s="146"/>
      <c r="GC19" s="146"/>
      <c r="GD19" s="146"/>
      <c r="GE19" s="146"/>
      <c r="GF19" s="146"/>
      <c r="GG19" s="146"/>
      <c r="GH19" s="146"/>
      <c r="GI19" s="146"/>
      <c r="GJ19" s="146"/>
      <c r="GK19" s="146"/>
      <c r="GL19" s="146"/>
      <c r="GM19" s="146"/>
      <c r="GN19" s="146"/>
      <c r="GO19" s="146"/>
      <c r="GP19" s="146"/>
      <c r="GQ19" s="146"/>
      <c r="GR19" s="146"/>
      <c r="GS19" s="146"/>
      <c r="GT19" s="146"/>
      <c r="GU19" s="146"/>
      <c r="GV19" s="146"/>
      <c r="GW19" s="146"/>
      <c r="GX19" s="146"/>
      <c r="GY19" s="146"/>
      <c r="GZ19" s="146"/>
      <c r="HA19" s="146"/>
      <c r="HB19" s="146"/>
      <c r="HC19" s="146"/>
      <c r="HD19" s="146"/>
      <c r="HE19" s="146"/>
      <c r="HF19" s="146"/>
      <c r="HG19" s="146"/>
      <c r="HH19" s="146"/>
      <c r="HI19" s="146"/>
      <c r="HJ19" s="146"/>
      <c r="HK19" s="146"/>
      <c r="HL19" s="146"/>
      <c r="HM19" s="146"/>
      <c r="HN19" s="146"/>
      <c r="HO19" s="146"/>
      <c r="HP19" s="146"/>
      <c r="HQ19" s="146"/>
      <c r="HR19" s="146"/>
      <c r="HS19" s="146"/>
      <c r="HT19" s="146"/>
      <c r="HU19" s="146"/>
      <c r="HV19" s="146"/>
      <c r="HW19" s="146"/>
      <c r="HX19" s="146"/>
      <c r="HY19" s="146"/>
      <c r="HZ19" s="146"/>
      <c r="IA19" s="146"/>
      <c r="IB19" s="146"/>
      <c r="IC19" s="146"/>
      <c r="ID19" s="146"/>
      <c r="IE19" s="146"/>
    </row>
    <row r="20" spans="1:239">
      <c r="A20" s="148" t="s">
        <v>722</v>
      </c>
      <c r="B20" s="1040"/>
      <c r="C20" s="1040"/>
      <c r="D20" s="1040"/>
      <c r="E20" s="1040"/>
      <c r="F20" s="1040"/>
      <c r="G20" s="1040"/>
      <c r="H20" s="1040"/>
      <c r="I20" s="143"/>
      <c r="J20" s="143"/>
      <c r="L20" s="1707"/>
      <c r="M20" s="1707"/>
      <c r="N20" s="637"/>
      <c r="O20" s="637"/>
      <c r="P20" s="637"/>
      <c r="Q20" s="637"/>
      <c r="R20" s="637"/>
      <c r="S20" s="638"/>
      <c r="T20" s="639"/>
      <c r="U20" s="639"/>
      <c r="V20" s="639"/>
      <c r="W20" s="639"/>
      <c r="X20" s="639"/>
      <c r="Y20" s="639"/>
      <c r="Z20" s="639"/>
      <c r="AA20" s="639"/>
      <c r="AB20" s="639"/>
      <c r="AC20" s="639"/>
      <c r="AD20" s="639"/>
      <c r="AE20" s="639"/>
      <c r="AF20" s="639"/>
      <c r="AG20" s="639"/>
      <c r="AH20" s="639"/>
      <c r="AI20" s="639"/>
      <c r="AJ20" s="639"/>
      <c r="AK20" s="639"/>
      <c r="AL20" s="639"/>
      <c r="AM20" s="639"/>
      <c r="AN20" s="639"/>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46"/>
      <c r="GI20" s="146"/>
      <c r="GJ20" s="146"/>
      <c r="GK20" s="146"/>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row>
    <row r="21" spans="1:239" ht="15.65" customHeight="1">
      <c r="A21" s="1447" t="s">
        <v>267</v>
      </c>
      <c r="B21" s="1044"/>
      <c r="C21" s="1044"/>
      <c r="D21" s="1044"/>
      <c r="E21" s="1044"/>
      <c r="F21" s="1044"/>
      <c r="G21" s="1044">
        <v>12577000</v>
      </c>
      <c r="H21" s="466">
        <f>ROUND(7557161.83+0,-3)</f>
        <v>7557000</v>
      </c>
      <c r="I21" s="1527">
        <v>7253000</v>
      </c>
      <c r="J21" s="1527">
        <v>8495000</v>
      </c>
      <c r="L21" s="1707">
        <f t="shared" ref="L21:L37" si="1">(J21/I21)-1</f>
        <v>0.17123948710878256</v>
      </c>
      <c r="M21" s="1707"/>
      <c r="N21" s="647"/>
      <c r="O21" s="637"/>
      <c r="P21" s="637"/>
      <c r="Q21" s="637"/>
      <c r="R21" s="637"/>
      <c r="S21" s="638"/>
      <c r="T21" s="639"/>
      <c r="U21" s="639"/>
      <c r="V21" s="639"/>
      <c r="W21" s="639"/>
      <c r="X21" s="639"/>
      <c r="Y21" s="639"/>
      <c r="Z21" s="639"/>
      <c r="AA21" s="639"/>
      <c r="AB21" s="639"/>
      <c r="AC21" s="639"/>
      <c r="AD21" s="639"/>
      <c r="AE21" s="639"/>
      <c r="AF21" s="639"/>
      <c r="AG21" s="639"/>
      <c r="AH21" s="639"/>
      <c r="AI21" s="639"/>
      <c r="AJ21" s="639"/>
      <c r="AK21" s="639"/>
      <c r="AL21" s="639"/>
      <c r="AM21" s="639"/>
      <c r="AN21" s="639"/>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6"/>
      <c r="EU21" s="146"/>
      <c r="EV21" s="146"/>
      <c r="EW21" s="146"/>
      <c r="EX21" s="146"/>
      <c r="EY21" s="146"/>
      <c r="EZ21" s="146"/>
      <c r="FA21" s="146"/>
      <c r="FB21" s="146"/>
      <c r="FC21" s="146"/>
      <c r="FD21" s="146"/>
      <c r="FE21" s="146"/>
      <c r="FF21" s="146"/>
      <c r="FG21" s="146"/>
      <c r="FH21" s="146"/>
      <c r="FI21" s="146"/>
      <c r="FJ21" s="146"/>
      <c r="FK21" s="146"/>
      <c r="FL21" s="146"/>
      <c r="FM21" s="146"/>
      <c r="FN21" s="146"/>
      <c r="FO21" s="146"/>
      <c r="FP21" s="146"/>
      <c r="FQ21" s="146"/>
      <c r="FR21" s="146"/>
      <c r="FS21" s="146"/>
      <c r="FT21" s="146"/>
      <c r="FU21" s="146"/>
      <c r="FV21" s="146"/>
      <c r="FW21" s="146"/>
      <c r="FX21" s="146"/>
      <c r="FY21" s="146"/>
      <c r="FZ21" s="146"/>
      <c r="GA21" s="146"/>
      <c r="GB21" s="146"/>
      <c r="GC21" s="146"/>
      <c r="GD21" s="146"/>
      <c r="GE21" s="146"/>
      <c r="GF21" s="146"/>
      <c r="GG21" s="146"/>
      <c r="GH21" s="146"/>
      <c r="GI21" s="146"/>
      <c r="GJ21" s="146"/>
      <c r="GK21" s="146"/>
      <c r="GL21" s="146"/>
      <c r="GM21" s="146"/>
      <c r="GN21" s="146"/>
      <c r="GO21" s="146"/>
      <c r="GP21" s="146"/>
      <c r="GQ21" s="146"/>
      <c r="GR21" s="146"/>
      <c r="GS21" s="146"/>
      <c r="GT21" s="146"/>
      <c r="GU21" s="146"/>
      <c r="GV21" s="146"/>
      <c r="GW21" s="146"/>
      <c r="GX21" s="146"/>
      <c r="GY21" s="146"/>
      <c r="GZ21" s="146"/>
      <c r="HA21" s="146"/>
      <c r="HB21" s="146"/>
      <c r="HC21" s="146"/>
      <c r="HD21" s="146"/>
      <c r="HE21" s="146"/>
      <c r="HF21" s="146"/>
      <c r="HG21" s="146"/>
      <c r="HH21" s="146"/>
      <c r="HI21" s="146"/>
      <c r="HJ21" s="146"/>
      <c r="HK21" s="146"/>
      <c r="HL21" s="146"/>
      <c r="HM21" s="146"/>
      <c r="HN21" s="146"/>
      <c r="HO21" s="146"/>
      <c r="HP21" s="146"/>
      <c r="HQ21" s="146"/>
      <c r="HR21" s="146"/>
      <c r="HS21" s="146"/>
      <c r="HT21" s="146"/>
      <c r="HU21" s="146"/>
      <c r="HV21" s="146"/>
      <c r="HW21" s="146"/>
      <c r="HX21" s="146"/>
      <c r="HY21" s="146"/>
      <c r="HZ21" s="146"/>
      <c r="IA21" s="146"/>
      <c r="IB21" s="146"/>
      <c r="IC21" s="146"/>
      <c r="ID21" s="146"/>
      <c r="IE21" s="146"/>
    </row>
    <row r="22" spans="1:239" ht="15.65" customHeight="1">
      <c r="A22" s="1447" t="s">
        <v>268</v>
      </c>
      <c r="B22" s="1045"/>
      <c r="C22" s="1045"/>
      <c r="D22" s="1045"/>
      <c r="E22" s="1045"/>
      <c r="F22" s="1045"/>
      <c r="G22" s="1045">
        <v>129451000</v>
      </c>
      <c r="H22" s="1448">
        <f>ROUND(131950330.82,-3)</f>
        <v>131950000</v>
      </c>
      <c r="I22" s="1527">
        <v>234194000</v>
      </c>
      <c r="J22" s="1527">
        <v>219818000</v>
      </c>
      <c r="L22" s="1707">
        <f t="shared" si="1"/>
        <v>-6.1385005593653119E-2</v>
      </c>
      <c r="M22" s="1707"/>
      <c r="N22" s="647"/>
      <c r="O22" s="637"/>
      <c r="P22" s="637"/>
      <c r="Q22" s="637"/>
      <c r="R22" s="637"/>
      <c r="S22" s="648"/>
      <c r="T22" s="639"/>
      <c r="U22" s="649"/>
      <c r="V22" s="639"/>
      <c r="W22" s="639"/>
      <c r="X22" s="639"/>
      <c r="Y22" s="639"/>
      <c r="Z22" s="639"/>
      <c r="AA22" s="639"/>
      <c r="AB22" s="639"/>
      <c r="AC22" s="639"/>
      <c r="AD22" s="639"/>
      <c r="AE22" s="639"/>
      <c r="AF22" s="639"/>
      <c r="AG22" s="639"/>
      <c r="AH22" s="639"/>
      <c r="AI22" s="639"/>
      <c r="AJ22" s="639"/>
      <c r="AK22" s="639"/>
      <c r="AL22" s="639"/>
      <c r="AM22" s="639"/>
      <c r="AN22" s="639"/>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row>
    <row r="23" spans="1:239" ht="15.65" customHeight="1">
      <c r="A23" s="1447" t="s">
        <v>269</v>
      </c>
      <c r="B23" s="1045"/>
      <c r="C23" s="1045"/>
      <c r="D23" s="1045"/>
      <c r="E23" s="1045"/>
      <c r="F23" s="1045"/>
      <c r="G23" s="1045">
        <v>21838000</v>
      </c>
      <c r="H23" s="1448">
        <f>ROUND(21687544.8,-3)</f>
        <v>21688000</v>
      </c>
      <c r="I23" s="1527">
        <v>52438000</v>
      </c>
      <c r="J23" s="1527">
        <v>58809000</v>
      </c>
      <c r="L23" s="1707">
        <f t="shared" si="1"/>
        <v>0.12149586177962557</v>
      </c>
      <c r="M23" s="1707"/>
      <c r="N23" s="647"/>
      <c r="O23" s="637"/>
      <c r="P23" s="637"/>
      <c r="Q23" s="637"/>
      <c r="R23" s="637"/>
      <c r="S23" s="648"/>
      <c r="T23" s="639"/>
      <c r="U23" s="649"/>
      <c r="V23" s="639"/>
      <c r="W23" s="639"/>
      <c r="X23" s="639"/>
      <c r="Y23" s="639"/>
      <c r="Z23" s="639"/>
      <c r="AA23" s="639"/>
      <c r="AB23" s="639"/>
      <c r="AC23" s="639"/>
      <c r="AD23" s="639"/>
      <c r="AE23" s="639"/>
      <c r="AF23" s="639"/>
      <c r="AG23" s="639"/>
      <c r="AH23" s="639"/>
      <c r="AI23" s="639"/>
      <c r="AJ23" s="639"/>
      <c r="AK23" s="639"/>
      <c r="AL23" s="639"/>
      <c r="AM23" s="639"/>
      <c r="AN23" s="639"/>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row>
    <row r="24" spans="1:239" ht="15.65" customHeight="1">
      <c r="A24" s="1447" t="s">
        <v>270</v>
      </c>
      <c r="B24" s="1046"/>
      <c r="C24" s="1046"/>
      <c r="D24" s="1046"/>
      <c r="E24" s="1046"/>
      <c r="F24" s="1046"/>
      <c r="G24" s="1046">
        <v>205000</v>
      </c>
      <c r="H24" s="143">
        <f>ROUND(207801.87+0,-3)</f>
        <v>208000</v>
      </c>
      <c r="I24" s="1527">
        <v>195000</v>
      </c>
      <c r="J24" s="1527">
        <v>202000</v>
      </c>
      <c r="L24" s="1707">
        <f t="shared" si="1"/>
        <v>3.5897435897435992E-2</v>
      </c>
      <c r="M24" s="1707"/>
      <c r="N24" s="647"/>
      <c r="O24" s="637"/>
      <c r="P24" s="637"/>
      <c r="Q24" s="637"/>
      <c r="R24" s="637"/>
      <c r="S24" s="648"/>
      <c r="T24" s="639"/>
      <c r="U24" s="649"/>
      <c r="V24" s="639"/>
      <c r="W24" s="639"/>
      <c r="X24" s="639"/>
      <c r="Y24" s="639"/>
      <c r="Z24" s="639"/>
      <c r="AA24" s="639"/>
      <c r="AB24" s="639"/>
      <c r="AC24" s="639"/>
      <c r="AD24" s="639"/>
      <c r="AE24" s="639"/>
      <c r="AF24" s="639"/>
      <c r="AG24" s="639"/>
      <c r="AH24" s="639"/>
      <c r="AI24" s="639"/>
      <c r="AJ24" s="639"/>
      <c r="AK24" s="639"/>
      <c r="AL24" s="639"/>
      <c r="AM24" s="639"/>
      <c r="AN24" s="639"/>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6"/>
      <c r="GB24" s="146"/>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row>
    <row r="25" spans="1:239" ht="15.65" customHeight="1">
      <c r="A25" s="1447" t="s">
        <v>271</v>
      </c>
      <c r="B25" s="1046"/>
      <c r="C25" s="1046"/>
      <c r="D25" s="1046"/>
      <c r="E25" s="1046"/>
      <c r="F25" s="1046"/>
      <c r="G25" s="1046">
        <v>2604000</v>
      </c>
      <c r="H25" s="143">
        <f>ROUND(1840522.66+614428.88, -3)</f>
        <v>2455000</v>
      </c>
      <c r="I25" s="1527">
        <v>2400000</v>
      </c>
      <c r="J25" s="1527">
        <v>2576000</v>
      </c>
      <c r="L25" s="1707">
        <f t="shared" si="1"/>
        <v>7.333333333333325E-2</v>
      </c>
      <c r="M25" s="1707"/>
      <c r="N25" s="647"/>
      <c r="O25" s="637"/>
      <c r="P25" s="637"/>
      <c r="Q25" s="637"/>
      <c r="R25" s="637"/>
      <c r="S25" s="648"/>
      <c r="T25" s="639"/>
      <c r="U25" s="649"/>
      <c r="V25" s="639"/>
      <c r="W25" s="639"/>
      <c r="X25" s="639"/>
      <c r="Y25" s="639"/>
      <c r="Z25" s="639"/>
      <c r="AA25" s="639"/>
      <c r="AB25" s="639"/>
      <c r="AC25" s="639"/>
      <c r="AD25" s="639"/>
      <c r="AE25" s="639"/>
      <c r="AF25" s="639"/>
      <c r="AG25" s="639"/>
      <c r="AH25" s="639"/>
      <c r="AI25" s="639"/>
      <c r="AJ25" s="639"/>
      <c r="AK25" s="639"/>
      <c r="AL25" s="639"/>
      <c r="AM25" s="639"/>
      <c r="AN25" s="639"/>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6"/>
      <c r="GB25" s="146"/>
      <c r="GC25" s="146"/>
      <c r="GD25" s="146"/>
      <c r="GE25" s="146"/>
      <c r="GF25" s="146"/>
      <c r="GG25" s="146"/>
      <c r="GH25" s="146"/>
      <c r="GI25" s="146"/>
      <c r="GJ25" s="146"/>
      <c r="GK25" s="146"/>
      <c r="GL25" s="146"/>
      <c r="GM25" s="146"/>
      <c r="GN25" s="146"/>
      <c r="GO25" s="146"/>
      <c r="GP25" s="146"/>
      <c r="GQ25" s="146"/>
      <c r="GR25" s="146"/>
      <c r="GS25" s="146"/>
      <c r="GT25" s="146"/>
      <c r="GU25" s="146"/>
      <c r="GV25" s="146"/>
      <c r="GW25" s="146"/>
      <c r="GX25" s="146"/>
      <c r="GY25" s="146"/>
      <c r="GZ25" s="146"/>
      <c r="HA25" s="146"/>
      <c r="HB25" s="146"/>
      <c r="HC25" s="146"/>
      <c r="HD25" s="146"/>
      <c r="HE25" s="146"/>
      <c r="HF25" s="146"/>
      <c r="HG25" s="146"/>
      <c r="HH25" s="146"/>
      <c r="HI25" s="146"/>
      <c r="HJ25" s="146"/>
      <c r="HK25" s="146"/>
      <c r="HL25" s="146"/>
      <c r="HM25" s="146"/>
      <c r="HN25" s="146"/>
      <c r="HO25" s="146"/>
      <c r="HP25" s="146"/>
      <c r="HQ25" s="146"/>
      <c r="HR25" s="146"/>
      <c r="HS25" s="146"/>
      <c r="HT25" s="146"/>
      <c r="HU25" s="146"/>
      <c r="HV25" s="146"/>
      <c r="HW25" s="146"/>
      <c r="HX25" s="146"/>
      <c r="HY25" s="146"/>
      <c r="HZ25" s="146"/>
      <c r="IA25" s="146"/>
      <c r="IB25" s="146"/>
      <c r="IC25" s="146"/>
      <c r="ID25" s="146"/>
      <c r="IE25" s="146"/>
    </row>
    <row r="26" spans="1:239" ht="15.65" customHeight="1">
      <c r="A26" s="1447" t="s">
        <v>272</v>
      </c>
      <c r="B26" s="1046"/>
      <c r="C26" s="1046"/>
      <c r="D26" s="1046"/>
      <c r="E26" s="1046"/>
      <c r="F26" s="1046"/>
      <c r="G26" s="1046">
        <v>309000</v>
      </c>
      <c r="H26" s="143">
        <f>ROUND(365532.86,-3)</f>
        <v>366000</v>
      </c>
      <c r="I26" s="1527">
        <v>353000</v>
      </c>
      <c r="J26" s="1527">
        <v>376000</v>
      </c>
      <c r="L26" s="1707">
        <f t="shared" si="1"/>
        <v>6.5155807365439022E-2</v>
      </c>
      <c r="M26" s="1707"/>
      <c r="N26" s="647"/>
      <c r="O26" s="637"/>
      <c r="P26" s="637"/>
      <c r="Q26" s="637"/>
      <c r="R26" s="637"/>
      <c r="S26" s="648"/>
      <c r="T26" s="639"/>
      <c r="U26" s="649"/>
      <c r="V26" s="639"/>
      <c r="W26" s="639"/>
      <c r="X26" s="639"/>
      <c r="Y26" s="639"/>
      <c r="Z26" s="639"/>
      <c r="AA26" s="639"/>
      <c r="AB26" s="639"/>
      <c r="AC26" s="639"/>
      <c r="AD26" s="639"/>
      <c r="AE26" s="639"/>
      <c r="AF26" s="639"/>
      <c r="AG26" s="639"/>
      <c r="AH26" s="639"/>
      <c r="AI26" s="639"/>
      <c r="AJ26" s="639"/>
      <c r="AK26" s="639"/>
      <c r="AL26" s="639"/>
      <c r="AM26" s="639"/>
      <c r="AN26" s="639"/>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c r="GS26" s="146"/>
      <c r="GT26" s="146"/>
      <c r="GU26" s="146"/>
      <c r="GV26" s="146"/>
      <c r="GW26" s="146"/>
      <c r="GX26" s="146"/>
      <c r="GY26" s="146"/>
      <c r="GZ26" s="146"/>
      <c r="HA26" s="146"/>
      <c r="HB26" s="146"/>
      <c r="HC26" s="146"/>
      <c r="HD26" s="146"/>
      <c r="HE26" s="146"/>
      <c r="HF26" s="146"/>
      <c r="HG26" s="146"/>
      <c r="HH26" s="146"/>
      <c r="HI26" s="146"/>
      <c r="HJ26" s="146"/>
      <c r="HK26" s="146"/>
      <c r="HL26" s="146"/>
      <c r="HM26" s="146"/>
      <c r="HN26" s="146"/>
      <c r="HO26" s="146"/>
      <c r="HP26" s="146"/>
      <c r="HQ26" s="146"/>
      <c r="HR26" s="146"/>
      <c r="HS26" s="146"/>
      <c r="HT26" s="146"/>
      <c r="HU26" s="146"/>
      <c r="HV26" s="146"/>
      <c r="HW26" s="146"/>
      <c r="HX26" s="146"/>
      <c r="HY26" s="146"/>
      <c r="HZ26" s="146"/>
      <c r="IA26" s="146"/>
      <c r="IB26" s="146"/>
      <c r="IC26" s="146"/>
      <c r="ID26" s="146"/>
      <c r="IE26" s="146"/>
    </row>
    <row r="27" spans="1:239" ht="15.65" customHeight="1">
      <c r="A27" s="1447" t="s">
        <v>273</v>
      </c>
      <c r="B27" s="1046"/>
      <c r="C27" s="1046"/>
      <c r="D27" s="1046"/>
      <c r="E27" s="1046"/>
      <c r="F27" s="1046"/>
      <c r="G27" s="1046">
        <v>1050000</v>
      </c>
      <c r="H27" s="143">
        <f>ROUND(934707.14+0,-3)</f>
        <v>935000</v>
      </c>
      <c r="I27" s="1527">
        <v>1363000</v>
      </c>
      <c r="J27" s="1527">
        <v>1744000</v>
      </c>
      <c r="L27" s="1707">
        <f t="shared" si="1"/>
        <v>0.27953044754218626</v>
      </c>
      <c r="M27" s="1707"/>
      <c r="N27" s="647"/>
      <c r="O27" s="637"/>
      <c r="P27" s="637"/>
      <c r="Q27" s="637"/>
      <c r="R27" s="637"/>
      <c r="S27" s="648"/>
      <c r="T27" s="639"/>
      <c r="U27" s="649"/>
      <c r="V27" s="639"/>
      <c r="W27" s="639"/>
      <c r="X27" s="639"/>
      <c r="Y27" s="639"/>
      <c r="Z27" s="639"/>
      <c r="AA27" s="639"/>
      <c r="AB27" s="639"/>
      <c r="AC27" s="639"/>
      <c r="AD27" s="639"/>
      <c r="AE27" s="639"/>
      <c r="AF27" s="639"/>
      <c r="AG27" s="639"/>
      <c r="AH27" s="639"/>
      <c r="AI27" s="639"/>
      <c r="AJ27" s="639"/>
      <c r="AK27" s="639"/>
      <c r="AL27" s="639"/>
      <c r="AM27" s="639"/>
      <c r="AN27" s="639"/>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6"/>
      <c r="GB27" s="146"/>
      <c r="GC27" s="146"/>
      <c r="GD27" s="146"/>
      <c r="GE27" s="146"/>
      <c r="GF27" s="146"/>
      <c r="GG27" s="146"/>
      <c r="GH27" s="146"/>
      <c r="GI27" s="146"/>
      <c r="GJ27" s="146"/>
      <c r="GK27" s="146"/>
      <c r="GL27" s="146"/>
      <c r="GM27" s="146"/>
      <c r="GN27" s="146"/>
      <c r="GO27" s="146"/>
      <c r="GP27" s="146"/>
      <c r="GQ27" s="146"/>
      <c r="GR27" s="146"/>
      <c r="GS27" s="146"/>
      <c r="GT27" s="146"/>
      <c r="GU27" s="146"/>
      <c r="GV27" s="146"/>
      <c r="GW27" s="146"/>
      <c r="GX27" s="146"/>
      <c r="GY27" s="146"/>
      <c r="GZ27" s="146"/>
      <c r="HA27" s="146"/>
      <c r="HB27" s="146"/>
      <c r="HC27" s="146"/>
      <c r="HD27" s="146"/>
      <c r="HE27" s="146"/>
      <c r="HF27" s="146"/>
      <c r="HG27" s="146"/>
      <c r="HH27" s="146"/>
      <c r="HI27" s="146"/>
      <c r="HJ27" s="146"/>
      <c r="HK27" s="146"/>
      <c r="HL27" s="146"/>
      <c r="HM27" s="146"/>
      <c r="HN27" s="146"/>
      <c r="HO27" s="146"/>
      <c r="HP27" s="146"/>
      <c r="HQ27" s="146"/>
      <c r="HR27" s="146"/>
      <c r="HS27" s="146"/>
      <c r="HT27" s="146"/>
      <c r="HU27" s="146"/>
      <c r="HV27" s="146"/>
      <c r="HW27" s="146"/>
      <c r="HX27" s="146"/>
      <c r="HY27" s="146"/>
      <c r="HZ27" s="146"/>
      <c r="IA27" s="146"/>
      <c r="IB27" s="146"/>
      <c r="IC27" s="146"/>
      <c r="ID27" s="146"/>
      <c r="IE27" s="146"/>
    </row>
    <row r="28" spans="1:239" ht="15.65" customHeight="1">
      <c r="A28" s="1447" t="s">
        <v>1343</v>
      </c>
      <c r="B28" s="1040"/>
      <c r="C28" s="1040"/>
      <c r="D28" s="1040"/>
      <c r="E28" s="1040"/>
      <c r="F28" s="1040"/>
      <c r="G28" s="1040">
        <v>649451000</v>
      </c>
      <c r="H28" s="143">
        <f>SUM('4.1'!$C$15:$G$15)</f>
        <v>1123440000</v>
      </c>
      <c r="I28" s="1527">
        <f>'4.1'!$C$16</f>
        <v>1264050000</v>
      </c>
      <c r="J28" s="1527">
        <f>'4.1'!$C$17</f>
        <v>1368275000</v>
      </c>
      <c r="L28" s="1707">
        <f t="shared" si="1"/>
        <v>8.245322574265268E-2</v>
      </c>
      <c r="M28" s="1707"/>
      <c r="N28" s="647"/>
      <c r="O28" s="637"/>
      <c r="P28" s="637"/>
      <c r="Q28" s="637"/>
      <c r="R28" s="637"/>
      <c r="S28" s="648"/>
      <c r="T28" s="639"/>
      <c r="U28" s="649"/>
      <c r="V28" s="639"/>
      <c r="W28" s="639"/>
      <c r="X28" s="639"/>
      <c r="Y28" s="639"/>
      <c r="Z28" s="639"/>
      <c r="AA28" s="639"/>
      <c r="AB28" s="639"/>
      <c r="AC28" s="639"/>
      <c r="AD28" s="639"/>
      <c r="AE28" s="639"/>
      <c r="AF28" s="639"/>
      <c r="AG28" s="639"/>
      <c r="AH28" s="639"/>
      <c r="AI28" s="639"/>
      <c r="AJ28" s="639"/>
      <c r="AK28" s="639"/>
      <c r="AL28" s="639"/>
      <c r="AM28" s="639"/>
      <c r="AN28" s="639"/>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6"/>
      <c r="GB28" s="146"/>
      <c r="GC28" s="146"/>
      <c r="GD28" s="146"/>
      <c r="GE28" s="146"/>
      <c r="GF28" s="146"/>
      <c r="GG28" s="146"/>
      <c r="GH28" s="146"/>
      <c r="GI28" s="146"/>
      <c r="GJ28" s="146"/>
      <c r="GK28" s="146"/>
      <c r="GL28" s="146"/>
      <c r="GM28" s="146"/>
      <c r="GN28" s="146"/>
      <c r="GO28" s="146"/>
      <c r="GP28" s="146"/>
      <c r="GQ28" s="146"/>
      <c r="GR28" s="146"/>
      <c r="GS28" s="146"/>
      <c r="GT28" s="146"/>
      <c r="GU28" s="146"/>
      <c r="GV28" s="146"/>
      <c r="GW28" s="146"/>
      <c r="GX28" s="146"/>
      <c r="GY28" s="146"/>
      <c r="GZ28" s="146"/>
      <c r="HA28" s="146"/>
      <c r="HB28" s="146"/>
      <c r="HC28" s="146"/>
      <c r="HD28" s="146"/>
      <c r="HE28" s="146"/>
      <c r="HF28" s="146"/>
      <c r="HG28" s="146"/>
      <c r="HH28" s="146"/>
      <c r="HI28" s="146"/>
      <c r="HJ28" s="146"/>
      <c r="HK28" s="146"/>
      <c r="HL28" s="146"/>
      <c r="HM28" s="146"/>
      <c r="HN28" s="146"/>
      <c r="HO28" s="146"/>
      <c r="HP28" s="146"/>
      <c r="HQ28" s="146"/>
      <c r="HR28" s="146"/>
      <c r="HS28" s="146"/>
      <c r="HT28" s="146"/>
      <c r="HU28" s="146"/>
      <c r="HV28" s="146"/>
      <c r="HW28" s="146"/>
      <c r="HX28" s="146"/>
      <c r="HY28" s="146"/>
      <c r="HZ28" s="146"/>
      <c r="IA28" s="146"/>
      <c r="IB28" s="146"/>
      <c r="IC28" s="146"/>
      <c r="ID28" s="146"/>
      <c r="IE28" s="146"/>
    </row>
    <row r="29" spans="1:239" ht="15.65" customHeight="1">
      <c r="A29" s="145" t="s">
        <v>274</v>
      </c>
      <c r="B29" s="1046"/>
      <c r="C29" s="1046"/>
      <c r="D29" s="1046"/>
      <c r="E29" s="1046"/>
      <c r="F29" s="1046"/>
      <c r="G29" s="1046">
        <v>3060000</v>
      </c>
      <c r="H29" s="143">
        <f>ROUND(3214035.05+0,-3)</f>
        <v>3214000</v>
      </c>
      <c r="I29" s="1527">
        <v>2893000</v>
      </c>
      <c r="J29" s="1527">
        <v>3195000</v>
      </c>
      <c r="L29" s="1707">
        <f t="shared" si="1"/>
        <v>0.10438990667127546</v>
      </c>
      <c r="M29" s="1707"/>
      <c r="N29" s="647"/>
      <c r="O29" s="637"/>
      <c r="P29" s="637"/>
      <c r="Q29" s="637"/>
      <c r="R29" s="637"/>
      <c r="S29" s="648"/>
      <c r="T29" s="639"/>
      <c r="U29" s="639"/>
      <c r="V29" s="646"/>
      <c r="W29" s="651"/>
      <c r="X29" s="639"/>
      <c r="Y29" s="639"/>
      <c r="Z29" s="639"/>
      <c r="AA29" s="639"/>
      <c r="AB29" s="639"/>
      <c r="AC29" s="639"/>
      <c r="AD29" s="639"/>
      <c r="AE29" s="639"/>
      <c r="AF29" s="639"/>
      <c r="AG29" s="639"/>
      <c r="AH29" s="639"/>
      <c r="AI29" s="639"/>
      <c r="AJ29" s="639"/>
      <c r="AK29" s="639"/>
      <c r="AL29" s="639"/>
      <c r="AM29" s="639"/>
      <c r="AN29" s="639"/>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46"/>
      <c r="EP29" s="146"/>
      <c r="EQ29" s="146"/>
      <c r="ER29" s="146"/>
      <c r="ES29" s="146"/>
      <c r="ET29" s="146"/>
      <c r="EU29" s="146"/>
      <c r="EV29" s="146"/>
      <c r="EW29" s="146"/>
      <c r="EX29" s="146"/>
      <c r="EY29" s="146"/>
      <c r="EZ29" s="146"/>
      <c r="FA29" s="146"/>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6"/>
      <c r="GB29" s="146"/>
      <c r="GC29" s="146"/>
      <c r="GD29" s="146"/>
      <c r="GE29" s="146"/>
      <c r="GF29" s="146"/>
      <c r="GG29" s="146"/>
      <c r="GH29" s="146"/>
      <c r="GI29" s="146"/>
      <c r="GJ29" s="146"/>
      <c r="GK29" s="146"/>
      <c r="GL29" s="146"/>
      <c r="GM29" s="146"/>
      <c r="GN29" s="146"/>
      <c r="GO29" s="146"/>
      <c r="GP29" s="146"/>
      <c r="GQ29" s="146"/>
      <c r="GR29" s="146"/>
      <c r="GS29" s="146"/>
      <c r="GT29" s="146"/>
      <c r="GU29" s="146"/>
      <c r="GV29" s="146"/>
      <c r="GW29" s="146"/>
      <c r="GX29" s="146"/>
      <c r="GY29" s="146"/>
      <c r="GZ29" s="146"/>
      <c r="HA29" s="146"/>
      <c r="HB29" s="146"/>
      <c r="HC29" s="146"/>
      <c r="HD29" s="146"/>
      <c r="HE29" s="146"/>
      <c r="HF29" s="146"/>
      <c r="HG29" s="146"/>
      <c r="HH29" s="146"/>
      <c r="HI29" s="146"/>
      <c r="HJ29" s="146"/>
      <c r="HK29" s="146"/>
      <c r="HL29" s="146"/>
      <c r="HM29" s="146"/>
      <c r="HN29" s="146"/>
      <c r="HO29" s="146"/>
      <c r="HP29" s="146"/>
      <c r="HQ29" s="146"/>
      <c r="HR29" s="146"/>
      <c r="HS29" s="146"/>
      <c r="HT29" s="146"/>
      <c r="HU29" s="146"/>
      <c r="HV29" s="146"/>
      <c r="HW29" s="146"/>
      <c r="HX29" s="146"/>
      <c r="HY29" s="146"/>
      <c r="HZ29" s="146"/>
      <c r="IA29" s="146"/>
      <c r="IB29" s="146"/>
      <c r="IC29" s="146"/>
      <c r="ID29" s="146"/>
      <c r="IE29" s="146"/>
    </row>
    <row r="30" spans="1:239" ht="15.65" customHeight="1">
      <c r="A30" s="145" t="s">
        <v>276</v>
      </c>
      <c r="B30" s="1046"/>
      <c r="C30" s="1046"/>
      <c r="D30" s="1046"/>
      <c r="E30" s="1046"/>
      <c r="F30" s="1046"/>
      <c r="G30" s="1046">
        <v>398000</v>
      </c>
      <c r="H30" s="143">
        <f>ROUND(460022.04+0,-3)</f>
        <v>460000</v>
      </c>
      <c r="I30" s="1527">
        <v>435000</v>
      </c>
      <c r="J30" s="1527">
        <v>557000</v>
      </c>
      <c r="L30" s="1707">
        <f t="shared" si="1"/>
        <v>0.2804597701149425</v>
      </c>
      <c r="M30" s="1707"/>
      <c r="N30" s="647"/>
      <c r="O30" s="637"/>
      <c r="P30" s="637"/>
      <c r="Q30" s="637"/>
      <c r="R30" s="637"/>
      <c r="S30" s="648"/>
      <c r="T30" s="639"/>
      <c r="U30" s="639"/>
      <c r="V30" s="646"/>
      <c r="W30" s="651"/>
      <c r="X30" s="639"/>
      <c r="Y30" s="639"/>
      <c r="Z30" s="639"/>
      <c r="AA30" s="639"/>
      <c r="AB30" s="639"/>
      <c r="AC30" s="639"/>
      <c r="AD30" s="639"/>
      <c r="AE30" s="639"/>
      <c r="AF30" s="639"/>
      <c r="AG30" s="639"/>
      <c r="AH30" s="639"/>
      <c r="AI30" s="639"/>
      <c r="AJ30" s="639"/>
      <c r="AK30" s="639"/>
      <c r="AL30" s="639"/>
      <c r="AM30" s="639"/>
      <c r="AN30" s="639"/>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6"/>
      <c r="GB30" s="146"/>
      <c r="GC30" s="146"/>
      <c r="GD30" s="146"/>
      <c r="GE30" s="146"/>
      <c r="GF30" s="146"/>
      <c r="GG30" s="146"/>
      <c r="GH30" s="146"/>
      <c r="GI30" s="146"/>
      <c r="GJ30" s="146"/>
      <c r="GK30" s="146"/>
      <c r="GL30" s="146"/>
      <c r="GM30" s="146"/>
      <c r="GN30" s="146"/>
      <c r="GO30" s="146"/>
      <c r="GP30" s="146"/>
      <c r="GQ30" s="146"/>
      <c r="GR30" s="146"/>
      <c r="GS30" s="146"/>
      <c r="GT30" s="146"/>
      <c r="GU30" s="146"/>
      <c r="GV30" s="146"/>
      <c r="GW30" s="146"/>
      <c r="GX30" s="146"/>
      <c r="GY30" s="146"/>
      <c r="GZ30" s="146"/>
      <c r="HA30" s="146"/>
      <c r="HB30" s="146"/>
      <c r="HC30" s="146"/>
      <c r="HD30" s="146"/>
      <c r="HE30" s="146"/>
      <c r="HF30" s="146"/>
      <c r="HG30" s="146"/>
      <c r="HH30" s="146"/>
      <c r="HI30" s="146"/>
      <c r="HJ30" s="146"/>
      <c r="HK30" s="146"/>
      <c r="HL30" s="146"/>
      <c r="HM30" s="146"/>
      <c r="HN30" s="146"/>
      <c r="HO30" s="146"/>
      <c r="HP30" s="146"/>
      <c r="HQ30" s="146"/>
      <c r="HR30" s="146"/>
      <c r="HS30" s="146"/>
      <c r="HT30" s="146"/>
      <c r="HU30" s="146"/>
      <c r="HV30" s="146"/>
      <c r="HW30" s="146"/>
      <c r="HX30" s="146"/>
      <c r="HY30" s="146"/>
      <c r="HZ30" s="146"/>
      <c r="IA30" s="146"/>
      <c r="IB30" s="146"/>
      <c r="IC30" s="146"/>
      <c r="ID30" s="146"/>
      <c r="IE30" s="146"/>
    </row>
    <row r="31" spans="1:239" ht="15.65" customHeight="1">
      <c r="A31" s="145" t="s">
        <v>277</v>
      </c>
      <c r="B31" s="1046"/>
      <c r="C31" s="1046"/>
      <c r="D31" s="1046"/>
      <c r="E31" s="1046"/>
      <c r="F31" s="1046"/>
      <c r="G31" s="1046">
        <v>179000</v>
      </c>
      <c r="H31" s="143">
        <f>ROUND(142617.3+0,-3)</f>
        <v>143000</v>
      </c>
      <c r="I31" s="1527">
        <v>205000</v>
      </c>
      <c r="J31" s="1527">
        <v>159000</v>
      </c>
      <c r="L31" s="1707">
        <f t="shared" si="1"/>
        <v>-0.224390243902439</v>
      </c>
      <c r="M31" s="1707"/>
      <c r="N31" s="647"/>
      <c r="O31" s="637"/>
      <c r="P31" s="637"/>
      <c r="Q31" s="637"/>
      <c r="R31" s="637"/>
      <c r="S31" s="648"/>
      <c r="V31" s="646"/>
      <c r="W31" s="651"/>
      <c r="X31" s="639"/>
      <c r="Y31" s="639"/>
      <c r="Z31" s="639"/>
      <c r="AA31" s="639"/>
      <c r="AB31" s="639"/>
      <c r="AC31" s="639"/>
      <c r="AD31" s="639"/>
      <c r="AE31" s="639"/>
      <c r="AF31" s="639"/>
      <c r="AG31" s="639"/>
      <c r="AH31" s="639"/>
      <c r="AI31" s="639"/>
      <c r="AJ31" s="639"/>
      <c r="AK31" s="639"/>
      <c r="AL31" s="639"/>
      <c r="AM31" s="639"/>
      <c r="AN31" s="639"/>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row>
    <row r="32" spans="1:239" ht="15.65" customHeight="1">
      <c r="A32" s="145" t="s">
        <v>257</v>
      </c>
      <c r="B32" s="1046"/>
      <c r="C32" s="1046"/>
      <c r="D32" s="1046"/>
      <c r="E32" s="1046"/>
      <c r="F32" s="1046"/>
      <c r="G32" s="1046">
        <v>12000</v>
      </c>
      <c r="H32" s="143">
        <f>ROUND(12296.11+0,-3)</f>
        <v>12000</v>
      </c>
      <c r="I32" s="1527">
        <v>13000</v>
      </c>
      <c r="J32" s="1527">
        <v>16000</v>
      </c>
      <c r="L32" s="1707">
        <f t="shared" si="1"/>
        <v>0.23076923076923084</v>
      </c>
      <c r="M32" s="1707"/>
      <c r="N32" s="647"/>
      <c r="O32" s="637"/>
      <c r="P32" s="637"/>
      <c r="Q32" s="637"/>
      <c r="R32" s="637"/>
      <c r="S32" s="648"/>
      <c r="T32" s="639"/>
      <c r="U32" s="639"/>
      <c r="V32" s="646"/>
      <c r="W32" s="651"/>
      <c r="X32" s="639"/>
      <c r="Y32" s="639"/>
      <c r="Z32" s="639"/>
      <c r="AA32" s="639"/>
      <c r="AB32" s="639"/>
      <c r="AC32" s="639"/>
      <c r="AD32" s="639"/>
      <c r="AE32" s="639"/>
      <c r="AF32" s="639"/>
      <c r="AG32" s="639"/>
      <c r="AH32" s="639"/>
      <c r="AI32" s="639"/>
      <c r="AJ32" s="639"/>
      <c r="AK32" s="639"/>
      <c r="AL32" s="639"/>
      <c r="AM32" s="639"/>
      <c r="AN32" s="639"/>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6"/>
      <c r="EU32" s="146"/>
      <c r="EV32" s="146"/>
      <c r="EW32" s="146"/>
      <c r="EX32" s="146"/>
      <c r="EY32" s="146"/>
      <c r="EZ32" s="146"/>
      <c r="FA32" s="146"/>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6"/>
      <c r="GB32" s="146"/>
      <c r="GC32" s="146"/>
      <c r="GD32" s="146"/>
      <c r="GE32" s="146"/>
      <c r="GF32" s="146"/>
      <c r="GG32" s="146"/>
      <c r="GH32" s="146"/>
      <c r="GI32" s="146"/>
      <c r="GJ32" s="146"/>
      <c r="GK32" s="146"/>
      <c r="GL32" s="146"/>
      <c r="GM32" s="146"/>
      <c r="GN32" s="146"/>
      <c r="GO32" s="146"/>
      <c r="GP32" s="146"/>
      <c r="GQ32" s="146"/>
      <c r="GR32" s="146"/>
      <c r="GS32" s="146"/>
      <c r="GT32" s="146"/>
      <c r="GU32" s="146"/>
      <c r="GV32" s="146"/>
      <c r="GW32" s="146"/>
      <c r="GX32" s="146"/>
      <c r="GY32" s="146"/>
      <c r="GZ32" s="146"/>
      <c r="HA32" s="146"/>
      <c r="HB32" s="146"/>
      <c r="HC32" s="146"/>
      <c r="HD32" s="146"/>
      <c r="HE32" s="146"/>
      <c r="HF32" s="146"/>
      <c r="HG32" s="146"/>
      <c r="HH32" s="146"/>
      <c r="HI32" s="146"/>
      <c r="HJ32" s="146"/>
      <c r="HK32" s="146"/>
      <c r="HL32" s="146"/>
      <c r="HM32" s="146"/>
      <c r="HN32" s="146"/>
      <c r="HO32" s="146"/>
      <c r="HP32" s="146"/>
      <c r="HQ32" s="146"/>
      <c r="HR32" s="146"/>
      <c r="HS32" s="146"/>
      <c r="HT32" s="146"/>
      <c r="HU32" s="146"/>
      <c r="HV32" s="146"/>
      <c r="HW32" s="146"/>
      <c r="HX32" s="146"/>
      <c r="HY32" s="146"/>
      <c r="HZ32" s="146"/>
      <c r="IA32" s="146"/>
      <c r="IB32" s="146"/>
      <c r="IC32" s="146"/>
      <c r="ID32" s="146"/>
      <c r="IE32" s="146"/>
    </row>
    <row r="33" spans="1:239" ht="15.65" customHeight="1">
      <c r="A33" s="145" t="s">
        <v>278</v>
      </c>
      <c r="B33" s="1046"/>
      <c r="C33" s="1046"/>
      <c r="D33" s="1046"/>
      <c r="E33" s="1046"/>
      <c r="F33" s="1046"/>
      <c r="G33" s="1046">
        <v>664000</v>
      </c>
      <c r="H33" s="143">
        <f>ROUND(878294.38+0,-3)</f>
        <v>878000</v>
      </c>
      <c r="I33" s="1527">
        <v>1597000</v>
      </c>
      <c r="J33" s="1527">
        <v>2314000</v>
      </c>
      <c r="L33" s="1707">
        <f t="shared" si="1"/>
        <v>0.44896681277395123</v>
      </c>
      <c r="M33" s="1707"/>
      <c r="N33" s="647"/>
      <c r="O33" s="637"/>
      <c r="P33" s="637"/>
      <c r="Q33" s="637"/>
      <c r="R33" s="637"/>
      <c r="S33" s="648"/>
      <c r="T33" s="639"/>
      <c r="U33" s="649"/>
      <c r="V33" s="639"/>
      <c r="W33" s="639"/>
      <c r="X33" s="639"/>
      <c r="Y33" s="639"/>
      <c r="Z33" s="639"/>
      <c r="AA33" s="639"/>
      <c r="AB33" s="639"/>
      <c r="AC33" s="639"/>
      <c r="AD33" s="639"/>
      <c r="AE33" s="639"/>
      <c r="AF33" s="639"/>
      <c r="AG33" s="639"/>
      <c r="AH33" s="639"/>
      <c r="AI33" s="639"/>
      <c r="AJ33" s="639"/>
      <c r="AK33" s="639"/>
      <c r="AL33" s="639"/>
      <c r="AM33" s="639"/>
      <c r="AN33" s="639"/>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46"/>
      <c r="DP33" s="146"/>
      <c r="DQ33" s="146"/>
      <c r="DR33" s="146"/>
      <c r="DS33" s="146"/>
      <c r="DT33" s="146"/>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6"/>
      <c r="EU33" s="146"/>
      <c r="EV33" s="146"/>
      <c r="EW33" s="146"/>
      <c r="EX33" s="146"/>
      <c r="EY33" s="146"/>
      <c r="EZ33" s="146"/>
      <c r="FA33" s="146"/>
      <c r="FB33" s="146"/>
      <c r="FC33" s="146"/>
      <c r="FD33" s="146"/>
      <c r="FE33" s="146"/>
      <c r="FF33" s="146"/>
      <c r="FG33" s="146"/>
      <c r="FH33" s="146"/>
      <c r="FI33" s="146"/>
      <c r="FJ33" s="146"/>
      <c r="FK33" s="146"/>
      <c r="FL33" s="146"/>
      <c r="FM33" s="146"/>
      <c r="FN33" s="146"/>
      <c r="FO33" s="146"/>
      <c r="FP33" s="146"/>
      <c r="FQ33" s="146"/>
      <c r="FR33" s="146"/>
      <c r="FS33" s="146"/>
      <c r="FT33" s="146"/>
      <c r="FU33" s="146"/>
      <c r="FV33" s="146"/>
      <c r="FW33" s="146"/>
      <c r="FX33" s="146"/>
      <c r="FY33" s="146"/>
      <c r="FZ33" s="146"/>
      <c r="GA33" s="146"/>
      <c r="GB33" s="146"/>
      <c r="GC33" s="146"/>
      <c r="GD33" s="146"/>
      <c r="GE33" s="146"/>
      <c r="GF33" s="146"/>
      <c r="GG33" s="146"/>
      <c r="GH33" s="146"/>
      <c r="GI33" s="146"/>
      <c r="GJ33" s="146"/>
      <c r="GK33" s="146"/>
      <c r="GL33" s="146"/>
      <c r="GM33" s="146"/>
      <c r="GN33" s="146"/>
      <c r="GO33" s="146"/>
      <c r="GP33" s="146"/>
      <c r="GQ33" s="146"/>
      <c r="GR33" s="146"/>
      <c r="GS33" s="146"/>
      <c r="GT33" s="146"/>
      <c r="GU33" s="146"/>
      <c r="GV33" s="146"/>
      <c r="GW33" s="146"/>
      <c r="GX33" s="146"/>
      <c r="GY33" s="146"/>
      <c r="GZ33" s="146"/>
      <c r="HA33" s="146"/>
      <c r="HB33" s="146"/>
      <c r="HC33" s="146"/>
      <c r="HD33" s="146"/>
      <c r="HE33" s="146"/>
      <c r="HF33" s="146"/>
      <c r="HG33" s="146"/>
      <c r="HH33" s="146"/>
      <c r="HI33" s="146"/>
      <c r="HJ33" s="146"/>
      <c r="HK33" s="146"/>
      <c r="HL33" s="146"/>
      <c r="HM33" s="146"/>
      <c r="HN33" s="146"/>
      <c r="HO33" s="146"/>
      <c r="HP33" s="146"/>
      <c r="HQ33" s="146"/>
      <c r="HR33" s="146"/>
      <c r="HS33" s="146"/>
      <c r="HT33" s="146"/>
      <c r="HU33" s="146"/>
      <c r="HV33" s="146"/>
      <c r="HW33" s="146"/>
      <c r="HX33" s="146"/>
      <c r="HY33" s="146"/>
      <c r="HZ33" s="146"/>
      <c r="IA33" s="146"/>
      <c r="IB33" s="146"/>
      <c r="IC33" s="146"/>
      <c r="ID33" s="146"/>
      <c r="IE33" s="146"/>
    </row>
    <row r="34" spans="1:239" ht="15.65" customHeight="1">
      <c r="A34" s="145" t="s">
        <v>279</v>
      </c>
      <c r="B34" s="1046"/>
      <c r="C34" s="1046"/>
      <c r="D34" s="1046"/>
      <c r="E34" s="1046"/>
      <c r="F34" s="1046"/>
      <c r="G34" s="1046">
        <v>175000</v>
      </c>
      <c r="H34" s="143">
        <f>ROUND(216842.49+0,-3)</f>
        <v>217000</v>
      </c>
      <c r="I34" s="1527">
        <v>233000</v>
      </c>
      <c r="J34" s="1527">
        <v>229000</v>
      </c>
      <c r="L34" s="1707">
        <f t="shared" si="1"/>
        <v>-1.7167381974248941E-2</v>
      </c>
      <c r="M34" s="1707"/>
      <c r="N34" s="647"/>
      <c r="O34" s="637"/>
      <c r="P34" s="637"/>
      <c r="Q34" s="637"/>
      <c r="R34" s="637"/>
      <c r="S34" s="648"/>
      <c r="T34" s="639"/>
      <c r="U34" s="649"/>
      <c r="V34" s="639"/>
      <c r="W34" s="639"/>
      <c r="X34" s="639"/>
      <c r="Y34" s="639"/>
      <c r="Z34" s="639"/>
      <c r="AA34" s="639"/>
      <c r="AB34" s="639"/>
      <c r="AC34" s="639"/>
      <c r="AD34" s="639"/>
      <c r="AE34" s="639"/>
      <c r="AF34" s="639"/>
      <c r="AG34" s="639"/>
      <c r="AH34" s="639"/>
      <c r="AI34" s="639"/>
      <c r="AJ34" s="639"/>
      <c r="AK34" s="639"/>
      <c r="AL34" s="639"/>
      <c r="AM34" s="639"/>
      <c r="AN34" s="639"/>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46"/>
      <c r="GK34" s="146"/>
      <c r="GL34" s="146"/>
      <c r="GM34" s="146"/>
      <c r="GN34" s="146"/>
      <c r="GO34" s="146"/>
      <c r="GP34" s="146"/>
      <c r="GQ34" s="146"/>
      <c r="GR34" s="146"/>
      <c r="GS34" s="146"/>
      <c r="GT34" s="146"/>
      <c r="GU34" s="146"/>
      <c r="GV34" s="146"/>
      <c r="GW34" s="146"/>
      <c r="GX34" s="146"/>
      <c r="GY34" s="146"/>
      <c r="GZ34" s="146"/>
      <c r="HA34" s="146"/>
      <c r="HB34" s="146"/>
      <c r="HC34" s="146"/>
      <c r="HD34" s="146"/>
      <c r="HE34" s="146"/>
      <c r="HF34" s="146"/>
      <c r="HG34" s="146"/>
      <c r="HH34" s="146"/>
      <c r="HI34" s="146"/>
      <c r="HJ34" s="146"/>
      <c r="HK34" s="146"/>
      <c r="HL34" s="146"/>
      <c r="HM34" s="146"/>
      <c r="HN34" s="146"/>
      <c r="HO34" s="146"/>
      <c r="HP34" s="146"/>
      <c r="HQ34" s="146"/>
      <c r="HR34" s="146"/>
      <c r="HS34" s="146"/>
      <c r="HT34" s="146"/>
      <c r="HU34" s="146"/>
      <c r="HV34" s="146"/>
      <c r="HW34" s="146"/>
      <c r="HX34" s="146"/>
      <c r="HY34" s="146"/>
      <c r="HZ34" s="146"/>
      <c r="IA34" s="146"/>
      <c r="IB34" s="146"/>
      <c r="IC34" s="146"/>
      <c r="ID34" s="146"/>
      <c r="IE34" s="146"/>
    </row>
    <row r="35" spans="1:239" ht="15.65" customHeight="1">
      <c r="A35" s="145" t="s">
        <v>256</v>
      </c>
      <c r="B35" s="1046"/>
      <c r="C35" s="1046"/>
      <c r="D35" s="1046"/>
      <c r="E35" s="1046"/>
      <c r="F35" s="1046"/>
      <c r="G35" s="1046">
        <v>178000</v>
      </c>
      <c r="H35" s="143">
        <f>ROUND(218257.13,-3)</f>
        <v>218000</v>
      </c>
      <c r="I35" s="1527">
        <v>114000</v>
      </c>
      <c r="J35" s="1527">
        <v>159000</v>
      </c>
      <c r="L35" s="1707">
        <f t="shared" si="1"/>
        <v>0.39473684210526305</v>
      </c>
      <c r="M35" s="1707"/>
      <c r="N35" s="647"/>
      <c r="O35" s="637"/>
      <c r="P35" s="637"/>
      <c r="Q35" s="637"/>
      <c r="R35" s="637"/>
      <c r="S35" s="648"/>
      <c r="T35" s="639"/>
      <c r="U35" s="649"/>
      <c r="W35" s="639"/>
      <c r="X35" s="639"/>
      <c r="Y35" s="639"/>
      <c r="Z35" s="639"/>
      <c r="AA35" s="639"/>
      <c r="AB35" s="639"/>
      <c r="AC35" s="639"/>
      <c r="AD35" s="639"/>
      <c r="AE35" s="639"/>
      <c r="AF35" s="639"/>
      <c r="AG35" s="639"/>
      <c r="AH35" s="639"/>
      <c r="AI35" s="639"/>
      <c r="AJ35" s="639"/>
      <c r="AK35" s="639"/>
      <c r="AL35" s="639"/>
      <c r="AM35" s="639"/>
      <c r="AN35" s="639"/>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6"/>
      <c r="EU35" s="146"/>
      <c r="EV35" s="146"/>
      <c r="EW35" s="146"/>
      <c r="EX35" s="146"/>
      <c r="EY35" s="146"/>
      <c r="EZ35" s="146"/>
      <c r="FA35" s="146"/>
      <c r="FB35" s="146"/>
      <c r="FC35" s="146"/>
      <c r="FD35" s="146"/>
      <c r="FE35" s="146"/>
      <c r="FF35" s="146"/>
      <c r="FG35" s="146"/>
      <c r="FH35" s="146"/>
      <c r="FI35" s="146"/>
      <c r="FJ35" s="146"/>
      <c r="FK35" s="146"/>
      <c r="FL35" s="146"/>
      <c r="FM35" s="146"/>
      <c r="FN35" s="146"/>
      <c r="FO35" s="146"/>
      <c r="FP35" s="146"/>
      <c r="FQ35" s="146"/>
      <c r="FR35" s="146"/>
      <c r="FS35" s="146"/>
      <c r="FT35" s="146"/>
      <c r="FU35" s="146"/>
      <c r="FV35" s="146"/>
      <c r="FW35" s="146"/>
      <c r="FX35" s="146"/>
      <c r="FY35" s="146"/>
      <c r="FZ35" s="146"/>
      <c r="GA35" s="146"/>
      <c r="GB35" s="146"/>
      <c r="GC35" s="146"/>
      <c r="GD35" s="146"/>
      <c r="GE35" s="146"/>
      <c r="GF35" s="146"/>
      <c r="GG35" s="146"/>
      <c r="GH35" s="146"/>
      <c r="GI35" s="146"/>
      <c r="GJ35" s="146"/>
      <c r="GK35" s="146"/>
      <c r="GL35" s="146"/>
      <c r="GM35" s="146"/>
      <c r="GN35" s="146"/>
      <c r="GO35" s="146"/>
      <c r="GP35" s="146"/>
      <c r="GQ35" s="146"/>
      <c r="GR35" s="146"/>
      <c r="GS35" s="146"/>
      <c r="GT35" s="146"/>
      <c r="GU35" s="146"/>
      <c r="GV35" s="146"/>
      <c r="GW35" s="146"/>
      <c r="GX35" s="146"/>
      <c r="GY35" s="146"/>
      <c r="GZ35" s="146"/>
      <c r="HA35" s="146"/>
      <c r="HB35" s="146"/>
      <c r="HC35" s="146"/>
      <c r="HD35" s="146"/>
      <c r="HE35" s="146"/>
      <c r="HF35" s="146"/>
      <c r="HG35" s="146"/>
      <c r="HH35" s="146"/>
      <c r="HI35" s="146"/>
      <c r="HJ35" s="146"/>
      <c r="HK35" s="146"/>
      <c r="HL35" s="146"/>
      <c r="HM35" s="146"/>
      <c r="HN35" s="146"/>
      <c r="HO35" s="146"/>
      <c r="HP35" s="146"/>
      <c r="HQ35" s="146"/>
      <c r="HR35" s="146"/>
      <c r="HS35" s="146"/>
      <c r="HT35" s="146"/>
      <c r="HU35" s="146"/>
      <c r="HV35" s="146"/>
      <c r="HW35" s="146"/>
      <c r="HX35" s="146"/>
      <c r="HY35" s="146"/>
      <c r="HZ35" s="146"/>
      <c r="IA35" s="146"/>
      <c r="IB35" s="146"/>
      <c r="IC35" s="146"/>
      <c r="ID35" s="146"/>
      <c r="IE35" s="146"/>
    </row>
    <row r="36" spans="1:239" ht="15.65" customHeight="1">
      <c r="A36" s="145" t="s">
        <v>255</v>
      </c>
      <c r="B36" s="1046"/>
      <c r="C36" s="1046"/>
      <c r="D36" s="1046"/>
      <c r="E36" s="1046"/>
      <c r="F36" s="1046"/>
      <c r="G36" s="1046">
        <v>90000</v>
      </c>
      <c r="H36" s="143">
        <f>ROUND(87968.28,-3)</f>
        <v>88000</v>
      </c>
      <c r="I36" s="1527">
        <v>82000</v>
      </c>
      <c r="J36" s="1527">
        <v>109000</v>
      </c>
      <c r="L36" s="1707">
        <f t="shared" si="1"/>
        <v>0.3292682926829269</v>
      </c>
      <c r="M36" s="1707"/>
      <c r="N36" s="647"/>
      <c r="O36" s="637"/>
      <c r="P36" s="637"/>
      <c r="Q36" s="637"/>
      <c r="R36" s="637"/>
      <c r="S36" s="648"/>
      <c r="T36" s="639"/>
      <c r="U36" s="649"/>
      <c r="V36" s="639"/>
      <c r="W36" s="639"/>
      <c r="X36" s="639"/>
      <c r="Y36" s="639"/>
      <c r="Z36" s="639"/>
      <c r="AA36" s="639"/>
      <c r="AB36" s="639"/>
      <c r="AC36" s="639"/>
      <c r="AD36" s="639"/>
      <c r="AE36" s="639"/>
      <c r="AF36" s="639"/>
      <c r="AG36" s="639"/>
      <c r="AH36" s="639"/>
      <c r="AI36" s="639"/>
      <c r="AJ36" s="639"/>
      <c r="AK36" s="639"/>
      <c r="AL36" s="639"/>
      <c r="AM36" s="639"/>
      <c r="AN36" s="639"/>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6"/>
      <c r="ED36" s="146"/>
      <c r="EE36" s="146"/>
      <c r="EF36" s="146"/>
      <c r="EG36" s="146"/>
      <c r="EH36" s="146"/>
      <c r="EI36" s="146"/>
      <c r="EJ36" s="146"/>
      <c r="EK36" s="146"/>
      <c r="EL36" s="146"/>
      <c r="EM36" s="146"/>
      <c r="EN36" s="146"/>
      <c r="EO36" s="146"/>
      <c r="EP36" s="146"/>
      <c r="EQ36" s="146"/>
      <c r="ER36" s="146"/>
      <c r="ES36" s="146"/>
      <c r="ET36" s="146"/>
      <c r="EU36" s="146"/>
      <c r="EV36" s="146"/>
      <c r="EW36" s="146"/>
      <c r="EX36" s="146"/>
      <c r="EY36" s="146"/>
      <c r="EZ36" s="146"/>
      <c r="FA36" s="146"/>
      <c r="FB36" s="146"/>
      <c r="FC36" s="146"/>
      <c r="FD36" s="146"/>
      <c r="FE36" s="146"/>
      <c r="FF36" s="146"/>
      <c r="FG36" s="146"/>
      <c r="FH36" s="146"/>
      <c r="FI36" s="146"/>
      <c r="FJ36" s="146"/>
      <c r="FK36" s="146"/>
      <c r="FL36" s="146"/>
      <c r="FM36" s="146"/>
      <c r="FN36" s="146"/>
      <c r="FO36" s="146"/>
      <c r="FP36" s="146"/>
      <c r="FQ36" s="146"/>
      <c r="FR36" s="146"/>
      <c r="FS36" s="146"/>
      <c r="FT36" s="146"/>
      <c r="FU36" s="146"/>
      <c r="FV36" s="146"/>
      <c r="FW36" s="146"/>
      <c r="FX36" s="146"/>
      <c r="FY36" s="146"/>
      <c r="FZ36" s="146"/>
      <c r="GA36" s="146"/>
      <c r="GB36" s="146"/>
      <c r="GC36" s="146"/>
      <c r="GD36" s="146"/>
      <c r="GE36" s="146"/>
      <c r="GF36" s="146"/>
      <c r="GG36" s="146"/>
      <c r="GH36" s="146"/>
      <c r="GI36" s="146"/>
      <c r="GJ36" s="146"/>
      <c r="GK36" s="146"/>
      <c r="GL36" s="146"/>
      <c r="GM36" s="146"/>
      <c r="GN36" s="146"/>
      <c r="GO36" s="146"/>
      <c r="GP36" s="146"/>
      <c r="GQ36" s="146"/>
      <c r="GR36" s="146"/>
      <c r="GS36" s="146"/>
      <c r="GT36" s="146"/>
      <c r="GU36" s="146"/>
      <c r="GV36" s="146"/>
      <c r="GW36" s="146"/>
      <c r="GX36" s="146"/>
      <c r="GY36" s="146"/>
      <c r="GZ36" s="146"/>
      <c r="HA36" s="146"/>
      <c r="HB36" s="146"/>
      <c r="HC36" s="146"/>
      <c r="HD36" s="146"/>
      <c r="HE36" s="146"/>
      <c r="HF36" s="146"/>
      <c r="HG36" s="146"/>
      <c r="HH36" s="146"/>
      <c r="HI36" s="146"/>
      <c r="HJ36" s="146"/>
      <c r="HK36" s="146"/>
      <c r="HL36" s="146"/>
      <c r="HM36" s="146"/>
      <c r="HN36" s="146"/>
      <c r="HO36" s="146"/>
      <c r="HP36" s="146"/>
      <c r="HQ36" s="146"/>
      <c r="HR36" s="146"/>
      <c r="HS36" s="146"/>
      <c r="HT36" s="146"/>
      <c r="HU36" s="146"/>
      <c r="HV36" s="146"/>
      <c r="HW36" s="146"/>
      <c r="HX36" s="146"/>
      <c r="HY36" s="146"/>
      <c r="HZ36" s="146"/>
      <c r="IA36" s="146"/>
      <c r="IB36" s="146"/>
      <c r="IC36" s="146"/>
      <c r="ID36" s="146"/>
      <c r="IE36" s="146"/>
    </row>
    <row r="37" spans="1:239" ht="15.65" customHeight="1">
      <c r="A37" s="145" t="s">
        <v>1358</v>
      </c>
      <c r="B37" s="1046"/>
      <c r="C37" s="1046"/>
      <c r="D37" s="1046"/>
      <c r="E37" s="1046"/>
      <c r="F37" s="1046"/>
      <c r="G37" s="1046">
        <v>136140.20000000001</v>
      </c>
      <c r="H37" s="143">
        <v>340628.13</v>
      </c>
      <c r="I37" s="1527">
        <v>353000</v>
      </c>
      <c r="J37" s="1527">
        <v>349000</v>
      </c>
      <c r="L37" s="1707">
        <f t="shared" si="1"/>
        <v>-1.1331444759206777E-2</v>
      </c>
      <c r="M37" s="1707"/>
      <c r="N37" s="647"/>
      <c r="O37" s="637"/>
      <c r="P37" s="637"/>
      <c r="Q37" s="637"/>
      <c r="R37" s="637"/>
      <c r="S37" s="648"/>
      <c r="T37" s="639"/>
      <c r="U37" s="649"/>
      <c r="V37" s="639"/>
      <c r="W37" s="639"/>
      <c r="X37" s="639"/>
      <c r="Y37" s="639"/>
      <c r="Z37" s="639"/>
      <c r="AA37" s="639"/>
      <c r="AB37" s="639"/>
      <c r="AC37" s="639"/>
      <c r="AD37" s="639"/>
      <c r="AE37" s="639"/>
      <c r="AF37" s="639"/>
      <c r="AG37" s="639"/>
      <c r="AH37" s="639"/>
      <c r="AI37" s="639"/>
      <c r="AJ37" s="639"/>
      <c r="AK37" s="639"/>
      <c r="AL37" s="639"/>
      <c r="AM37" s="639"/>
      <c r="AN37" s="639"/>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46"/>
      <c r="DP37" s="146"/>
      <c r="DQ37" s="146"/>
      <c r="DR37" s="146"/>
      <c r="DS37" s="146"/>
      <c r="DT37" s="146"/>
      <c r="DU37" s="146"/>
      <c r="DV37" s="146"/>
      <c r="DW37" s="146"/>
      <c r="DX37" s="146"/>
      <c r="DY37" s="146"/>
      <c r="DZ37" s="146"/>
      <c r="EA37" s="146"/>
      <c r="EB37" s="146"/>
      <c r="EC37" s="146"/>
      <c r="ED37" s="146"/>
      <c r="EE37" s="146"/>
      <c r="EF37" s="146"/>
      <c r="EG37" s="146"/>
      <c r="EH37" s="146"/>
      <c r="EI37" s="146"/>
      <c r="EJ37" s="146"/>
      <c r="EK37" s="146"/>
      <c r="EL37" s="146"/>
      <c r="EM37" s="146"/>
      <c r="EN37" s="146"/>
      <c r="EO37" s="146"/>
      <c r="EP37" s="146"/>
      <c r="EQ37" s="146"/>
      <c r="ER37" s="146"/>
      <c r="ES37" s="146"/>
      <c r="ET37" s="146"/>
      <c r="EU37" s="146"/>
      <c r="EV37" s="146"/>
      <c r="EW37" s="146"/>
      <c r="EX37" s="146"/>
      <c r="EY37" s="146"/>
      <c r="EZ37" s="146"/>
      <c r="FA37" s="146"/>
      <c r="FB37" s="146"/>
      <c r="FC37" s="146"/>
      <c r="FD37" s="146"/>
      <c r="FE37" s="146"/>
      <c r="FF37" s="146"/>
      <c r="FG37" s="146"/>
      <c r="FH37" s="146"/>
      <c r="FI37" s="146"/>
      <c r="FJ37" s="146"/>
      <c r="FK37" s="146"/>
      <c r="FL37" s="146"/>
      <c r="FM37" s="146"/>
      <c r="FN37" s="146"/>
      <c r="FO37" s="146"/>
      <c r="FP37" s="146"/>
      <c r="FQ37" s="146"/>
      <c r="FR37" s="146"/>
      <c r="FS37" s="146"/>
      <c r="FT37" s="146"/>
      <c r="FU37" s="146"/>
      <c r="FV37" s="146"/>
      <c r="FW37" s="146"/>
      <c r="FX37" s="146"/>
      <c r="FY37" s="146"/>
      <c r="FZ37" s="146"/>
      <c r="GA37" s="146"/>
      <c r="GB37" s="146"/>
      <c r="GC37" s="146"/>
      <c r="GD37" s="146"/>
      <c r="GE37" s="146"/>
      <c r="GF37" s="146"/>
      <c r="GG37" s="146"/>
      <c r="GH37" s="146"/>
      <c r="GI37" s="146"/>
      <c r="GJ37" s="146"/>
      <c r="GK37" s="146"/>
      <c r="GL37" s="146"/>
      <c r="GM37" s="146"/>
      <c r="GN37" s="146"/>
      <c r="GO37" s="146"/>
      <c r="GP37" s="146"/>
      <c r="GQ37" s="146"/>
      <c r="GR37" s="146"/>
      <c r="GS37" s="146"/>
      <c r="GT37" s="146"/>
      <c r="GU37" s="146"/>
      <c r="GV37" s="146"/>
      <c r="GW37" s="146"/>
      <c r="GX37" s="146"/>
      <c r="GY37" s="146"/>
      <c r="GZ37" s="146"/>
      <c r="HA37" s="146"/>
      <c r="HB37" s="146"/>
      <c r="HC37" s="146"/>
      <c r="HD37" s="146"/>
      <c r="HE37" s="146"/>
      <c r="HF37" s="146"/>
      <c r="HG37" s="146"/>
      <c r="HH37" s="146"/>
      <c r="HI37" s="146"/>
      <c r="HJ37" s="146"/>
      <c r="HK37" s="146"/>
      <c r="HL37" s="146"/>
      <c r="HM37" s="146"/>
      <c r="HN37" s="146"/>
      <c r="HO37" s="146"/>
      <c r="HP37" s="146"/>
      <c r="HQ37" s="146"/>
      <c r="HR37" s="146"/>
      <c r="HS37" s="146"/>
      <c r="HT37" s="146"/>
      <c r="HU37" s="146"/>
      <c r="HV37" s="146"/>
      <c r="HW37" s="146"/>
      <c r="HX37" s="146"/>
      <c r="HY37" s="146"/>
      <c r="HZ37" s="146"/>
      <c r="IA37" s="146"/>
      <c r="IB37" s="146"/>
      <c r="IC37" s="146"/>
      <c r="ID37" s="146"/>
      <c r="IE37" s="146"/>
    </row>
    <row r="38" spans="1:239" ht="6" customHeight="1">
      <c r="B38" s="1047"/>
      <c r="C38" s="1047"/>
      <c r="D38" s="1047"/>
      <c r="E38" s="1047"/>
      <c r="F38" s="1047"/>
      <c r="G38" s="1047"/>
      <c r="H38" s="1047"/>
      <c r="L38" s="147"/>
      <c r="M38" s="147"/>
      <c r="N38" s="647"/>
      <c r="O38" s="637"/>
      <c r="P38" s="637"/>
      <c r="Q38" s="637"/>
      <c r="R38" s="637"/>
      <c r="S38" s="648"/>
      <c r="T38" s="639"/>
      <c r="U38" s="649"/>
      <c r="W38" s="639"/>
      <c r="X38" s="639"/>
      <c r="Y38" s="639"/>
      <c r="Z38" s="639"/>
      <c r="AA38" s="639"/>
      <c r="AB38" s="639"/>
      <c r="AC38" s="639"/>
      <c r="AD38" s="639"/>
      <c r="AE38" s="639"/>
      <c r="AF38" s="639"/>
      <c r="AG38" s="639"/>
      <c r="AH38" s="639"/>
      <c r="AI38" s="639"/>
      <c r="AJ38" s="639"/>
      <c r="AK38" s="639"/>
      <c r="AL38" s="639"/>
      <c r="AM38" s="639"/>
      <c r="AN38" s="639"/>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c r="GS38" s="146"/>
      <c r="GT38" s="146"/>
      <c r="GU38" s="146"/>
      <c r="GV38" s="146"/>
      <c r="GW38" s="146"/>
      <c r="GX38" s="146"/>
      <c r="GY38" s="146"/>
      <c r="GZ38" s="146"/>
      <c r="HA38" s="146"/>
      <c r="HB38" s="146"/>
      <c r="HC38" s="146"/>
      <c r="HD38" s="146"/>
      <c r="HE38" s="146"/>
      <c r="HF38" s="146"/>
      <c r="HG38" s="146"/>
      <c r="HH38" s="146"/>
      <c r="HI38" s="146"/>
      <c r="HJ38" s="146"/>
      <c r="HK38" s="146"/>
      <c r="HL38" s="146"/>
      <c r="HM38" s="146"/>
      <c r="HN38" s="146"/>
      <c r="HO38" s="146"/>
      <c r="HP38" s="146"/>
      <c r="HQ38" s="146"/>
      <c r="HR38" s="146"/>
      <c r="HS38" s="146"/>
      <c r="HT38" s="146"/>
      <c r="HU38" s="146"/>
      <c r="HV38" s="146"/>
      <c r="HW38" s="146"/>
      <c r="HX38" s="146"/>
      <c r="HY38" s="146"/>
      <c r="HZ38" s="146"/>
      <c r="IA38" s="146"/>
      <c r="IB38" s="146"/>
      <c r="IC38" s="146"/>
      <c r="ID38" s="146"/>
      <c r="IE38" s="146"/>
    </row>
    <row r="39" spans="1:239" ht="15.65" customHeight="1">
      <c r="A39" s="148" t="s">
        <v>723</v>
      </c>
      <c r="B39" s="1709">
        <f t="shared" ref="B39:I39" si="2">SUM(B21:B37)</f>
        <v>0</v>
      </c>
      <c r="C39" s="1709">
        <f t="shared" si="2"/>
        <v>0</v>
      </c>
      <c r="D39" s="1709">
        <f t="shared" si="2"/>
        <v>0</v>
      </c>
      <c r="E39" s="1709">
        <f t="shared" si="2"/>
        <v>0</v>
      </c>
      <c r="F39" s="1709">
        <f t="shared" si="2"/>
        <v>0</v>
      </c>
      <c r="G39" s="1709">
        <f t="shared" si="2"/>
        <v>822377140.20000005</v>
      </c>
      <c r="H39" s="1709">
        <f t="shared" si="2"/>
        <v>1294169628.1300001</v>
      </c>
      <c r="I39" s="1709">
        <f t="shared" si="2"/>
        <v>1568171000</v>
      </c>
      <c r="J39" s="1709">
        <f>SUM(J21:J37)</f>
        <v>1667382000</v>
      </c>
      <c r="K39" s="151"/>
      <c r="L39" s="1710">
        <f>(J39/I39)-1</f>
        <v>6.3265421946968825E-2</v>
      </c>
      <c r="M39" s="1710"/>
      <c r="N39" s="637"/>
      <c r="O39" s="637"/>
      <c r="P39" s="637"/>
      <c r="Q39" s="637"/>
      <c r="R39" s="637"/>
      <c r="S39" s="648"/>
      <c r="T39" s="639"/>
      <c r="U39" s="649"/>
      <c r="V39" s="639"/>
      <c r="W39" s="639"/>
      <c r="X39" s="639"/>
      <c r="Y39" s="639"/>
      <c r="Z39" s="639"/>
      <c r="AA39" s="639"/>
      <c r="AB39" s="639"/>
      <c r="AC39" s="639"/>
      <c r="AD39" s="639"/>
      <c r="AE39" s="639"/>
      <c r="AF39" s="639"/>
      <c r="AG39" s="639"/>
      <c r="AH39" s="639"/>
      <c r="AI39" s="639"/>
      <c r="AJ39" s="639"/>
      <c r="AK39" s="639"/>
      <c r="AL39" s="639"/>
      <c r="AM39" s="639"/>
      <c r="AN39" s="639"/>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146"/>
      <c r="DH39" s="146"/>
      <c r="DI39" s="146"/>
      <c r="DJ39" s="146"/>
      <c r="DK39" s="146"/>
      <c r="DL39" s="146"/>
      <c r="DM39" s="146"/>
      <c r="DN39" s="146"/>
      <c r="DO39" s="146"/>
      <c r="DP39" s="146"/>
      <c r="DQ39" s="146"/>
      <c r="DR39" s="146"/>
      <c r="DS39" s="146"/>
      <c r="DT39" s="146"/>
      <c r="DU39" s="146"/>
      <c r="DV39" s="146"/>
      <c r="DW39" s="146"/>
      <c r="DX39" s="146"/>
      <c r="DY39" s="146"/>
      <c r="DZ39" s="146"/>
      <c r="EA39" s="146"/>
      <c r="EB39" s="146"/>
      <c r="EC39" s="146"/>
      <c r="ED39" s="146"/>
      <c r="EE39" s="146"/>
      <c r="EF39" s="146"/>
      <c r="EG39" s="146"/>
      <c r="EH39" s="146"/>
      <c r="EI39" s="146"/>
      <c r="EJ39" s="146"/>
      <c r="EK39" s="146"/>
      <c r="EL39" s="146"/>
      <c r="EM39" s="146"/>
      <c r="EN39" s="146"/>
      <c r="EO39" s="146"/>
      <c r="EP39" s="146"/>
      <c r="EQ39" s="146"/>
      <c r="ER39" s="146"/>
      <c r="ES39" s="146"/>
      <c r="ET39" s="146"/>
      <c r="EU39" s="146"/>
      <c r="EV39" s="146"/>
      <c r="EW39" s="146"/>
      <c r="EX39" s="146"/>
      <c r="EY39" s="146"/>
      <c r="EZ39" s="146"/>
      <c r="FA39" s="146"/>
      <c r="FB39" s="146"/>
      <c r="FC39" s="146"/>
      <c r="FD39" s="146"/>
      <c r="FE39" s="146"/>
      <c r="FF39" s="146"/>
      <c r="FG39" s="146"/>
      <c r="FH39" s="146"/>
      <c r="FI39" s="146"/>
      <c r="FJ39" s="146"/>
      <c r="FK39" s="146"/>
      <c r="FL39" s="146"/>
      <c r="FM39" s="146"/>
      <c r="FN39" s="146"/>
      <c r="FO39" s="146"/>
      <c r="FP39" s="146"/>
      <c r="FQ39" s="146"/>
      <c r="FR39" s="146"/>
      <c r="FS39" s="146"/>
      <c r="FT39" s="146"/>
      <c r="FU39" s="146"/>
      <c r="FV39" s="146"/>
      <c r="FW39" s="146"/>
      <c r="FX39" s="146"/>
      <c r="FY39" s="146"/>
      <c r="FZ39" s="146"/>
      <c r="GA39" s="146"/>
      <c r="GB39" s="146"/>
      <c r="GC39" s="146"/>
      <c r="GD39" s="146"/>
      <c r="GE39" s="146"/>
      <c r="GF39" s="146"/>
      <c r="GG39" s="146"/>
      <c r="GH39" s="146"/>
      <c r="GI39" s="146"/>
      <c r="GJ39" s="146"/>
      <c r="GK39" s="146"/>
      <c r="GL39" s="146"/>
      <c r="GM39" s="146"/>
      <c r="GN39" s="146"/>
      <c r="GO39" s="146"/>
      <c r="GP39" s="146"/>
      <c r="GQ39" s="146"/>
      <c r="GR39" s="146"/>
      <c r="GS39" s="146"/>
      <c r="GT39" s="146"/>
      <c r="GU39" s="146"/>
      <c r="GV39" s="146"/>
      <c r="GW39" s="146"/>
      <c r="GX39" s="146"/>
      <c r="GY39" s="146"/>
      <c r="GZ39" s="146"/>
      <c r="HA39" s="146"/>
      <c r="HB39" s="146"/>
      <c r="HC39" s="146"/>
      <c r="HD39" s="146"/>
      <c r="HE39" s="146"/>
      <c r="HF39" s="146"/>
      <c r="HG39" s="146"/>
      <c r="HH39" s="146"/>
      <c r="HI39" s="146"/>
      <c r="HJ39" s="146"/>
      <c r="HK39" s="146"/>
      <c r="HL39" s="146"/>
      <c r="HM39" s="146"/>
      <c r="HN39" s="146"/>
      <c r="HO39" s="146"/>
      <c r="HP39" s="146"/>
      <c r="HQ39" s="146"/>
      <c r="HR39" s="146"/>
      <c r="HS39" s="146"/>
      <c r="HT39" s="146"/>
      <c r="HU39" s="146"/>
      <c r="HV39" s="146"/>
      <c r="HW39" s="146"/>
      <c r="HX39" s="146"/>
      <c r="HY39" s="146"/>
      <c r="HZ39" s="146"/>
      <c r="IA39" s="146"/>
      <c r="IB39" s="146"/>
      <c r="IC39" s="146"/>
      <c r="ID39" s="146"/>
      <c r="IE39" s="146"/>
    </row>
    <row r="40" spans="1:239" ht="6" customHeight="1">
      <c r="A40" s="153"/>
      <c r="B40" s="1172"/>
      <c r="C40" s="1172"/>
      <c r="D40" s="1172"/>
      <c r="E40" s="1172"/>
      <c r="F40" s="1172"/>
      <c r="G40" s="1172"/>
      <c r="H40" s="1172"/>
      <c r="I40" s="1711"/>
      <c r="J40" s="1711"/>
      <c r="K40" s="154"/>
      <c r="L40" s="1712"/>
      <c r="M40" s="1712"/>
      <c r="N40" s="647"/>
      <c r="O40" s="637"/>
      <c r="P40" s="637"/>
      <c r="Q40" s="637"/>
      <c r="R40" s="637"/>
      <c r="S40" s="648"/>
      <c r="T40" s="639"/>
      <c r="U40" s="649"/>
      <c r="V40" s="639"/>
      <c r="W40" s="639"/>
      <c r="X40" s="639"/>
      <c r="Y40" s="639"/>
      <c r="Z40" s="639"/>
      <c r="AA40" s="639"/>
      <c r="AB40" s="639"/>
      <c r="AC40" s="639"/>
      <c r="AD40" s="639"/>
      <c r="AE40" s="639"/>
      <c r="AF40" s="639"/>
      <c r="AG40" s="639"/>
      <c r="AH40" s="639"/>
      <c r="AI40" s="639"/>
      <c r="AJ40" s="639"/>
      <c r="AK40" s="639"/>
      <c r="AL40" s="639"/>
      <c r="AM40" s="639"/>
      <c r="AN40" s="639"/>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6"/>
      <c r="DZ40" s="146"/>
      <c r="EA40" s="146"/>
      <c r="EB40" s="146"/>
      <c r="EC40" s="146"/>
      <c r="ED40" s="146"/>
      <c r="EE40" s="146"/>
      <c r="EF40" s="146"/>
      <c r="EG40" s="146"/>
      <c r="EH40" s="146"/>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6"/>
      <c r="FI40" s="146"/>
      <c r="FJ40" s="146"/>
      <c r="FK40" s="146"/>
      <c r="FL40" s="146"/>
      <c r="FM40" s="146"/>
      <c r="FN40" s="146"/>
      <c r="FO40" s="146"/>
      <c r="FP40" s="146"/>
      <c r="FQ40" s="146"/>
      <c r="FR40" s="146"/>
      <c r="FS40" s="146"/>
      <c r="FT40" s="146"/>
      <c r="FU40" s="146"/>
      <c r="FV40" s="146"/>
      <c r="FW40" s="146"/>
      <c r="FX40" s="146"/>
      <c r="FY40" s="146"/>
      <c r="FZ40" s="146"/>
      <c r="GA40" s="146"/>
      <c r="GB40" s="146"/>
      <c r="GC40" s="146"/>
      <c r="GD40" s="146"/>
      <c r="GE40" s="146"/>
      <c r="GF40" s="146"/>
      <c r="GG40" s="146"/>
      <c r="GH40" s="146"/>
      <c r="GI40" s="146"/>
      <c r="GJ40" s="146"/>
      <c r="GK40" s="146"/>
      <c r="GL40" s="146"/>
      <c r="GM40" s="146"/>
      <c r="GN40" s="146"/>
      <c r="GO40" s="146"/>
      <c r="GP40" s="146"/>
      <c r="GQ40" s="146"/>
      <c r="GR40" s="146"/>
      <c r="GS40" s="146"/>
      <c r="GT40" s="146"/>
      <c r="GU40" s="146"/>
      <c r="GV40" s="146"/>
      <c r="GW40" s="146"/>
      <c r="GX40" s="146"/>
      <c r="GY40" s="146"/>
      <c r="GZ40" s="146"/>
      <c r="HA40" s="146"/>
      <c r="HB40" s="146"/>
      <c r="HC40" s="146"/>
      <c r="HD40" s="146"/>
      <c r="HE40" s="146"/>
      <c r="HF40" s="146"/>
      <c r="HG40" s="146"/>
      <c r="HH40" s="146"/>
      <c r="HI40" s="146"/>
      <c r="HJ40" s="146"/>
      <c r="HK40" s="146"/>
      <c r="HL40" s="146"/>
      <c r="HM40" s="146"/>
      <c r="HN40" s="146"/>
      <c r="HO40" s="146"/>
      <c r="HP40" s="146"/>
      <c r="HQ40" s="146"/>
      <c r="HR40" s="146"/>
      <c r="HS40" s="146"/>
      <c r="HT40" s="146"/>
      <c r="HU40" s="146"/>
      <c r="HV40" s="146"/>
      <c r="HW40" s="146"/>
      <c r="HX40" s="146"/>
      <c r="HY40" s="146"/>
      <c r="HZ40" s="146"/>
      <c r="IA40" s="146"/>
      <c r="IB40" s="146"/>
      <c r="IC40" s="146"/>
      <c r="ID40" s="146"/>
      <c r="IE40" s="146"/>
    </row>
    <row r="41" spans="1:239">
      <c r="A41" s="155" t="s">
        <v>0</v>
      </c>
      <c r="B41" s="1173">
        <f t="shared" ref="B41:F41" si="3">SUM(B18,B39)</f>
        <v>15733790000</v>
      </c>
      <c r="C41" s="1173">
        <f t="shared" si="3"/>
        <v>17069018000</v>
      </c>
      <c r="D41" s="1173">
        <f t="shared" si="3"/>
        <v>17348564000</v>
      </c>
      <c r="E41" s="1173">
        <f t="shared" si="3"/>
        <v>18001810000</v>
      </c>
      <c r="F41" s="1173">
        <f t="shared" si="3"/>
        <v>19188948000</v>
      </c>
      <c r="G41" s="1173">
        <f>SUM(G18,G39)</f>
        <v>21375414140.200001</v>
      </c>
      <c r="H41" s="1173">
        <f>SUM(H18,H39)</f>
        <v>22237847628.130001</v>
      </c>
      <c r="I41" s="1713">
        <f>SUM(I18,I39)</f>
        <v>25560622000</v>
      </c>
      <c r="J41" s="1713">
        <f>SUM(J18,J39)</f>
        <v>29643864000</v>
      </c>
      <c r="K41" s="156"/>
      <c r="L41" s="1714">
        <f>(J41/I41)-1</f>
        <v>0.15974736452031557</v>
      </c>
      <c r="M41" s="1883"/>
      <c r="N41" s="637"/>
      <c r="O41" s="637"/>
      <c r="P41" s="637"/>
      <c r="Q41" s="637"/>
      <c r="R41" s="637"/>
      <c r="S41" s="648"/>
      <c r="T41" s="639"/>
      <c r="U41" s="649"/>
      <c r="V41" s="639"/>
      <c r="W41" s="639"/>
      <c r="X41" s="639"/>
      <c r="Y41" s="639"/>
      <c r="Z41" s="639"/>
      <c r="AA41" s="639"/>
      <c r="AB41" s="639"/>
      <c r="AC41" s="639"/>
      <c r="AD41" s="639"/>
      <c r="AE41" s="639"/>
      <c r="AF41" s="639"/>
      <c r="AG41" s="639"/>
      <c r="AH41" s="639"/>
      <c r="AI41" s="639"/>
      <c r="AJ41" s="639"/>
      <c r="AK41" s="639"/>
      <c r="AL41" s="639"/>
      <c r="AM41" s="639"/>
      <c r="AN41" s="639"/>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c r="DN41" s="146"/>
      <c r="DO41" s="146"/>
      <c r="DP41" s="146"/>
      <c r="DQ41" s="146"/>
      <c r="DR41" s="146"/>
      <c r="DS41" s="146"/>
      <c r="DT41" s="146"/>
      <c r="DU41" s="146"/>
      <c r="DV41" s="146"/>
      <c r="DW41" s="146"/>
      <c r="DX41" s="146"/>
      <c r="DY41" s="146"/>
      <c r="DZ41" s="146"/>
      <c r="EA41" s="146"/>
      <c r="EB41" s="146"/>
      <c r="EC41" s="146"/>
      <c r="ED41" s="146"/>
      <c r="EE41" s="146"/>
      <c r="EF41" s="146"/>
      <c r="EG41" s="146"/>
      <c r="EH41" s="146"/>
      <c r="EI41" s="146"/>
      <c r="EJ41" s="146"/>
      <c r="EK41" s="146"/>
      <c r="EL41" s="146"/>
      <c r="EM41" s="146"/>
      <c r="EN41" s="146"/>
      <c r="EO41" s="146"/>
      <c r="EP41" s="146"/>
      <c r="EQ41" s="146"/>
      <c r="ER41" s="146"/>
      <c r="ES41" s="146"/>
      <c r="ET41" s="146"/>
      <c r="EU41" s="146"/>
      <c r="EV41" s="146"/>
      <c r="EW41" s="146"/>
      <c r="EX41" s="146"/>
      <c r="EY41" s="146"/>
      <c r="EZ41" s="146"/>
      <c r="FA41" s="146"/>
      <c r="FB41" s="146"/>
      <c r="FC41" s="146"/>
      <c r="FD41" s="146"/>
      <c r="FE41" s="146"/>
      <c r="FF41" s="146"/>
      <c r="FG41" s="146"/>
      <c r="FH41" s="146"/>
      <c r="FI41" s="146"/>
      <c r="FJ41" s="146"/>
      <c r="FK41" s="146"/>
      <c r="FL41" s="146"/>
      <c r="FM41" s="146"/>
      <c r="FN41" s="146"/>
      <c r="FO41" s="146"/>
      <c r="FP41" s="146"/>
      <c r="FQ41" s="146"/>
      <c r="FR41" s="146"/>
      <c r="FS41" s="146"/>
      <c r="FT41" s="146"/>
      <c r="FU41" s="146"/>
      <c r="FV41" s="146"/>
      <c r="FW41" s="146"/>
      <c r="FX41" s="146"/>
      <c r="FY41" s="146"/>
      <c r="FZ41" s="146"/>
      <c r="GA41" s="146"/>
      <c r="GB41" s="146"/>
      <c r="GC41" s="146"/>
      <c r="GD41" s="146"/>
      <c r="GE41" s="146"/>
      <c r="GF41" s="146"/>
      <c r="GG41" s="146"/>
      <c r="GH41" s="146"/>
      <c r="GI41" s="146"/>
      <c r="GJ41" s="146"/>
      <c r="GK41" s="146"/>
      <c r="GL41" s="146"/>
      <c r="GM41" s="146"/>
      <c r="GN41" s="146"/>
      <c r="GO41" s="146"/>
      <c r="GP41" s="146"/>
      <c r="GQ41" s="146"/>
      <c r="GR41" s="146"/>
      <c r="GS41" s="146"/>
      <c r="GT41" s="146"/>
      <c r="GU41" s="146"/>
      <c r="GV41" s="146"/>
      <c r="GW41" s="146"/>
      <c r="GX41" s="146"/>
      <c r="GY41" s="146"/>
      <c r="GZ41" s="146"/>
      <c r="HA41" s="146"/>
      <c r="HB41" s="146"/>
      <c r="HC41" s="146"/>
      <c r="HD41" s="146"/>
      <c r="HE41" s="146"/>
      <c r="HF41" s="146"/>
      <c r="HG41" s="146"/>
      <c r="HH41" s="146"/>
      <c r="HI41" s="146"/>
      <c r="HJ41" s="146"/>
      <c r="HK41" s="146"/>
      <c r="HL41" s="146"/>
      <c r="HM41" s="146"/>
      <c r="HN41" s="146"/>
      <c r="HO41" s="146"/>
      <c r="HP41" s="146"/>
      <c r="HQ41" s="146"/>
      <c r="HR41" s="146"/>
      <c r="HS41" s="146"/>
      <c r="HT41" s="146"/>
      <c r="HU41" s="146"/>
      <c r="HV41" s="146"/>
      <c r="HW41" s="146"/>
      <c r="HX41" s="146"/>
      <c r="HY41" s="146"/>
      <c r="HZ41" s="146"/>
      <c r="IA41" s="146"/>
      <c r="IB41" s="146"/>
      <c r="IC41" s="146"/>
      <c r="ID41" s="146"/>
      <c r="IE41" s="146"/>
    </row>
    <row r="42" spans="1:239" ht="6" customHeight="1">
      <c r="N42" s="637"/>
      <c r="O42" s="637"/>
      <c r="P42" s="637"/>
      <c r="Q42" s="637"/>
      <c r="R42" s="637"/>
      <c r="S42" s="648"/>
      <c r="T42" s="639"/>
      <c r="U42" s="639"/>
      <c r="V42" s="639"/>
      <c r="W42" s="639"/>
      <c r="X42" s="639"/>
      <c r="Y42" s="646"/>
      <c r="Z42" s="639"/>
      <c r="AA42" s="639"/>
      <c r="AB42" s="639"/>
      <c r="AC42" s="639"/>
      <c r="AD42" s="639"/>
      <c r="AE42" s="639"/>
      <c r="AF42" s="639"/>
      <c r="AG42" s="639"/>
      <c r="AH42" s="639"/>
      <c r="AI42" s="639"/>
      <c r="AJ42" s="639"/>
      <c r="AK42" s="639"/>
      <c r="AL42" s="639"/>
      <c r="AM42" s="639"/>
      <c r="AN42" s="639"/>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c r="FG42" s="146"/>
      <c r="FH42" s="146"/>
      <c r="FI42" s="146"/>
      <c r="FJ42" s="146"/>
      <c r="FK42" s="146"/>
      <c r="FL42" s="146"/>
      <c r="FM42" s="146"/>
      <c r="FN42" s="146"/>
      <c r="FO42" s="146"/>
      <c r="FP42" s="146"/>
      <c r="FQ42" s="146"/>
      <c r="FR42" s="146"/>
      <c r="FS42" s="146"/>
      <c r="FT42" s="146"/>
      <c r="FU42" s="146"/>
      <c r="FV42" s="146"/>
      <c r="FW42" s="146"/>
      <c r="FX42" s="146"/>
      <c r="FY42" s="146"/>
      <c r="FZ42" s="146"/>
      <c r="GA42" s="146"/>
      <c r="GB42" s="146"/>
      <c r="GC42" s="146"/>
      <c r="GD42" s="146"/>
      <c r="GE42" s="146"/>
      <c r="GF42" s="146"/>
      <c r="GG42" s="146"/>
      <c r="GH42" s="146"/>
      <c r="GI42" s="146"/>
      <c r="GJ42" s="146"/>
      <c r="GK42" s="146"/>
      <c r="GL42" s="146"/>
      <c r="GM42" s="146"/>
      <c r="GN42" s="146"/>
      <c r="GO42" s="146"/>
      <c r="GP42" s="146"/>
      <c r="GQ42" s="146"/>
      <c r="GR42" s="146"/>
      <c r="GS42" s="146"/>
      <c r="GT42" s="146"/>
      <c r="GU42" s="146"/>
      <c r="GV42" s="146"/>
      <c r="GW42" s="146"/>
      <c r="GX42" s="146"/>
      <c r="GY42" s="146"/>
      <c r="GZ42" s="146"/>
      <c r="HA42" s="146"/>
      <c r="HB42" s="146"/>
      <c r="HC42" s="146"/>
      <c r="HD42" s="146"/>
      <c r="HE42" s="146"/>
      <c r="HF42" s="146"/>
      <c r="HG42" s="146"/>
      <c r="HH42" s="146"/>
      <c r="HI42" s="146"/>
      <c r="HJ42" s="146"/>
      <c r="HK42" s="146"/>
      <c r="HL42" s="146"/>
      <c r="HM42" s="146"/>
      <c r="HN42" s="146"/>
      <c r="HO42" s="146"/>
      <c r="HP42" s="146"/>
      <c r="HQ42" s="146"/>
      <c r="HR42" s="146"/>
      <c r="HS42" s="146"/>
      <c r="HT42" s="146"/>
      <c r="HU42" s="146"/>
      <c r="HV42" s="146"/>
      <c r="HW42" s="146"/>
      <c r="HX42" s="146"/>
      <c r="HY42" s="146"/>
      <c r="HZ42" s="146"/>
      <c r="IA42" s="146"/>
      <c r="IB42" s="146"/>
      <c r="IC42" s="146"/>
      <c r="ID42" s="146"/>
      <c r="IE42" s="146"/>
    </row>
    <row r="43" spans="1:239" ht="6" customHeight="1">
      <c r="A43" s="157"/>
      <c r="B43" s="158"/>
      <c r="C43" s="158"/>
      <c r="D43" s="158"/>
      <c r="E43" s="158"/>
      <c r="F43" s="158"/>
      <c r="G43" s="158"/>
      <c r="H43" s="158"/>
      <c r="I43" s="242"/>
      <c r="J43" s="242"/>
      <c r="K43" s="154"/>
      <c r="L43" s="1168"/>
      <c r="M43" s="1168"/>
      <c r="N43" s="637"/>
      <c r="O43" s="637"/>
      <c r="P43" s="637"/>
      <c r="Q43" s="637"/>
      <c r="R43" s="637"/>
      <c r="S43" s="638"/>
      <c r="T43" s="639"/>
      <c r="U43" s="639"/>
      <c r="V43" s="639"/>
      <c r="W43" s="639"/>
      <c r="X43" s="639"/>
      <c r="Y43" s="639"/>
      <c r="Z43" s="639"/>
      <c r="AA43" s="639"/>
      <c r="AB43" s="639"/>
      <c r="AC43" s="639"/>
      <c r="AD43" s="639"/>
      <c r="AE43" s="639"/>
      <c r="AF43" s="639"/>
      <c r="AG43" s="639"/>
      <c r="AH43" s="639"/>
      <c r="AI43" s="639"/>
      <c r="AJ43" s="639"/>
      <c r="AK43" s="639"/>
      <c r="AL43" s="639"/>
      <c r="AM43" s="639"/>
      <c r="AN43" s="639"/>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46"/>
      <c r="GF43" s="146"/>
      <c r="GG43" s="146"/>
      <c r="GH43" s="146"/>
      <c r="GI43" s="146"/>
      <c r="GJ43" s="146"/>
      <c r="GK43" s="146"/>
      <c r="GL43" s="146"/>
      <c r="GM43" s="146"/>
      <c r="GN43" s="146"/>
      <c r="GO43" s="146"/>
      <c r="GP43" s="146"/>
      <c r="GQ43" s="146"/>
      <c r="GR43" s="146"/>
      <c r="GS43" s="146"/>
      <c r="GT43" s="146"/>
      <c r="GU43" s="146"/>
      <c r="GV43" s="146"/>
      <c r="GW43" s="146"/>
      <c r="GX43" s="146"/>
      <c r="GY43" s="146"/>
      <c r="GZ43" s="146"/>
      <c r="HA43" s="146"/>
      <c r="HB43" s="146"/>
      <c r="HC43" s="146"/>
      <c r="HD43" s="146"/>
      <c r="HE43" s="146"/>
      <c r="HF43" s="146"/>
      <c r="HG43" s="146"/>
      <c r="HH43" s="146"/>
      <c r="HI43" s="146"/>
      <c r="HJ43" s="146"/>
      <c r="HK43" s="146"/>
      <c r="HL43" s="146"/>
      <c r="HM43" s="146"/>
      <c r="HN43" s="146"/>
      <c r="HO43" s="146"/>
      <c r="HP43" s="146"/>
      <c r="HQ43" s="146"/>
      <c r="HR43" s="146"/>
      <c r="HS43" s="146"/>
      <c r="HT43" s="146"/>
      <c r="HU43" s="146"/>
      <c r="HV43" s="146"/>
      <c r="HW43" s="146"/>
      <c r="HX43" s="146"/>
      <c r="HY43" s="146"/>
      <c r="HZ43" s="146"/>
      <c r="IA43" s="146"/>
      <c r="IB43" s="146"/>
      <c r="IC43" s="146"/>
      <c r="ID43" s="146"/>
      <c r="IE43" s="146"/>
    </row>
    <row r="44" spans="1:239" s="1240" customFormat="1" ht="10" customHeight="1">
      <c r="A44" s="1230" t="s">
        <v>1</v>
      </c>
      <c r="B44" s="1231"/>
      <c r="C44" s="1231"/>
      <c r="D44" s="1231"/>
      <c r="E44" s="1231"/>
      <c r="F44" s="1231"/>
      <c r="G44" s="1231"/>
      <c r="H44" s="1232"/>
      <c r="I44" s="1232"/>
      <c r="J44" s="1231"/>
      <c r="K44" s="1233"/>
      <c r="L44" s="1234"/>
      <c r="M44" s="1234"/>
      <c r="N44" s="1235"/>
      <c r="O44" s="1235"/>
      <c r="P44" s="1235"/>
      <c r="Q44" s="1235"/>
      <c r="R44" s="1235"/>
      <c r="S44" s="1236"/>
      <c r="T44" s="1237"/>
      <c r="U44" s="1237"/>
      <c r="V44" s="1238"/>
      <c r="W44" s="1238"/>
      <c r="X44" s="1239"/>
      <c r="Y44" s="1239"/>
      <c r="Z44" s="1239"/>
      <c r="AA44" s="1239"/>
      <c r="AB44" s="1239"/>
      <c r="AC44" s="1237"/>
      <c r="AD44" s="1237"/>
      <c r="AE44" s="1237"/>
      <c r="AF44" s="1237"/>
      <c r="AG44" s="1237"/>
      <c r="AH44" s="1237"/>
      <c r="AI44" s="1237"/>
      <c r="AJ44" s="1237"/>
      <c r="AK44" s="1237"/>
      <c r="AL44" s="1237"/>
      <c r="AM44" s="1237"/>
      <c r="AN44" s="1237"/>
    </row>
    <row r="45" spans="1:239" s="1240" customFormat="1" ht="10" customHeight="1">
      <c r="A45" s="1241" t="s">
        <v>794</v>
      </c>
      <c r="B45" s="1242"/>
      <c r="C45" s="1242"/>
      <c r="D45" s="1242"/>
      <c r="E45" s="1242"/>
      <c r="F45" s="1242"/>
      <c r="G45" s="1242"/>
      <c r="H45" s="1242"/>
      <c r="I45" s="1242"/>
      <c r="J45" s="1242"/>
      <c r="K45" s="1233"/>
      <c r="L45" s="1243"/>
      <c r="M45" s="1243"/>
      <c r="N45" s="1244"/>
      <c r="O45" s="1244"/>
      <c r="P45" s="1244"/>
      <c r="Q45" s="1244"/>
      <c r="R45" s="1235"/>
      <c r="S45" s="1245"/>
      <c r="T45" s="1237"/>
      <c r="U45" s="1237"/>
      <c r="V45" s="1237"/>
      <c r="W45" s="1238"/>
      <c r="X45" s="1239"/>
      <c r="Y45" s="1239"/>
      <c r="Z45" s="1239"/>
      <c r="AA45" s="1239"/>
      <c r="AB45" s="1239"/>
      <c r="AC45" s="1237"/>
      <c r="AD45" s="1237"/>
      <c r="AE45" s="1237"/>
      <c r="AF45" s="1237"/>
      <c r="AG45" s="1237"/>
      <c r="AH45" s="1237"/>
      <c r="AI45" s="1237"/>
      <c r="AJ45" s="1237"/>
      <c r="AK45" s="1237"/>
      <c r="AL45" s="1237"/>
      <c r="AM45" s="1237"/>
      <c r="AN45" s="1237"/>
    </row>
    <row r="46" spans="1:239" s="1240" customFormat="1" ht="10" customHeight="1">
      <c r="A46" s="1241" t="s">
        <v>29</v>
      </c>
      <c r="B46" s="1242"/>
      <c r="C46" s="1242"/>
      <c r="D46" s="1242"/>
      <c r="E46" s="1242"/>
      <c r="F46" s="1242"/>
      <c r="G46" s="1242"/>
      <c r="H46" s="1242"/>
      <c r="I46" s="1242"/>
      <c r="J46" s="1242"/>
      <c r="K46" s="1233"/>
      <c r="L46" s="1243"/>
      <c r="M46" s="1243"/>
      <c r="N46" s="1244"/>
      <c r="O46" s="1244"/>
      <c r="P46" s="1244"/>
      <c r="Q46" s="1244"/>
      <c r="R46" s="1235"/>
      <c r="S46" s="1245"/>
      <c r="T46" s="1237"/>
      <c r="U46" s="1237"/>
      <c r="V46" s="1237"/>
      <c r="W46" s="1246"/>
      <c r="X46" s="1246"/>
      <c r="Y46" s="1246"/>
      <c r="Z46" s="1246"/>
      <c r="AA46" s="1246"/>
      <c r="AB46" s="1246"/>
      <c r="AC46" s="1237"/>
      <c r="AD46" s="1237"/>
      <c r="AE46" s="1237"/>
      <c r="AF46" s="1237"/>
      <c r="AG46" s="1237"/>
      <c r="AH46" s="1237"/>
      <c r="AI46" s="1237"/>
      <c r="AJ46" s="1237"/>
      <c r="AK46" s="1237"/>
      <c r="AL46" s="1237"/>
      <c r="AM46" s="1237"/>
      <c r="AN46" s="1237"/>
    </row>
    <row r="47" spans="1:239" s="1240" customFormat="1" ht="10" customHeight="1">
      <c r="A47" s="1241" t="s">
        <v>30</v>
      </c>
      <c r="B47" s="1242"/>
      <c r="C47" s="1242"/>
      <c r="D47" s="1242"/>
      <c r="E47" s="1242"/>
      <c r="F47" s="1242"/>
      <c r="G47" s="1242"/>
      <c r="H47" s="1242"/>
      <c r="I47" s="1242"/>
      <c r="J47" s="1242"/>
      <c r="K47" s="1233"/>
      <c r="L47" s="1243"/>
      <c r="M47" s="1243"/>
      <c r="N47" s="1244"/>
      <c r="O47" s="1244"/>
      <c r="P47" s="1244"/>
      <c r="Q47" s="1244"/>
      <c r="R47" s="1235"/>
      <c r="S47" s="1245"/>
      <c r="T47" s="1237"/>
      <c r="U47" s="1237"/>
      <c r="V47" s="1237"/>
      <c r="W47" s="1237"/>
      <c r="X47" s="1237"/>
      <c r="Y47" s="1247"/>
      <c r="Z47" s="1237"/>
      <c r="AA47" s="1237"/>
      <c r="AB47" s="1237"/>
      <c r="AC47" s="1237"/>
      <c r="AD47" s="1237"/>
      <c r="AE47" s="1237"/>
      <c r="AF47" s="1237"/>
      <c r="AG47" s="1237"/>
      <c r="AH47" s="1237"/>
      <c r="AI47" s="1237"/>
      <c r="AJ47" s="1237"/>
      <c r="AK47" s="1237"/>
      <c r="AL47" s="1237"/>
      <c r="AM47" s="1237"/>
      <c r="AN47" s="1237"/>
    </row>
    <row r="48" spans="1:239" s="1240" customFormat="1" ht="10" customHeight="1">
      <c r="A48" s="1248" t="s">
        <v>898</v>
      </c>
      <c r="B48" s="1249"/>
      <c r="C48" s="1249"/>
      <c r="D48" s="1249"/>
      <c r="E48" s="1249"/>
      <c r="F48" s="1249"/>
      <c r="G48" s="1249"/>
      <c r="H48" s="1249"/>
      <c r="I48" s="1249"/>
      <c r="J48" s="1249"/>
      <c r="K48" s="1249"/>
      <c r="L48" s="1250"/>
      <c r="M48" s="1250"/>
      <c r="N48" s="1250"/>
      <c r="O48" s="1250"/>
      <c r="P48" s="1244"/>
      <c r="Q48" s="1244"/>
      <c r="R48" s="1235"/>
      <c r="S48" s="1245"/>
      <c r="T48" s="1237"/>
      <c r="U48" s="1237"/>
      <c r="V48" s="1251"/>
      <c r="W48" s="1251"/>
      <c r="X48" s="1237"/>
      <c r="Y48" s="1237"/>
      <c r="Z48" s="1237"/>
      <c r="AA48" s="1237"/>
      <c r="AB48" s="1237"/>
      <c r="AC48" s="1237"/>
      <c r="AD48" s="1237"/>
      <c r="AE48" s="1237"/>
      <c r="AF48" s="1237"/>
      <c r="AG48" s="1237"/>
      <c r="AH48" s="1237"/>
      <c r="AI48" s="1237"/>
      <c r="AJ48" s="1237"/>
      <c r="AK48" s="1237"/>
      <c r="AL48" s="1237"/>
      <c r="AM48" s="1237"/>
      <c r="AN48" s="1237"/>
    </row>
    <row r="49" spans="1:239" s="1240" customFormat="1" ht="10" customHeight="1">
      <c r="A49" s="1241" t="s">
        <v>1334</v>
      </c>
      <c r="B49" s="1252"/>
      <c r="C49" s="1252"/>
      <c r="D49" s="1252"/>
      <c r="E49" s="1252"/>
      <c r="F49" s="1252"/>
      <c r="G49" s="1252"/>
      <c r="H49" s="1252"/>
      <c r="I49" s="1253"/>
      <c r="J49" s="1253"/>
      <c r="K49" s="1252"/>
      <c r="L49" s="1254"/>
      <c r="M49" s="1254"/>
      <c r="N49" s="1254"/>
      <c r="O49" s="1254"/>
      <c r="P49" s="1254"/>
      <c r="Q49" s="1254"/>
      <c r="R49" s="1235"/>
      <c r="S49" s="1245"/>
      <c r="T49" s="1237"/>
      <c r="U49" s="1237"/>
      <c r="V49" s="1251"/>
      <c r="W49" s="1251"/>
      <c r="X49" s="1237"/>
      <c r="Y49" s="1237"/>
      <c r="Z49" s="1237"/>
      <c r="AA49" s="1237"/>
      <c r="AB49" s="1237"/>
      <c r="AC49" s="1237"/>
      <c r="AD49" s="1237"/>
      <c r="AE49" s="1237"/>
      <c r="AF49" s="1237"/>
      <c r="AG49" s="1237"/>
      <c r="AH49" s="1237"/>
      <c r="AI49" s="1237"/>
      <c r="AJ49" s="1237"/>
      <c r="AK49" s="1237"/>
      <c r="AL49" s="1237"/>
      <c r="AM49" s="1237"/>
      <c r="AN49" s="1237"/>
    </row>
    <row r="50" spans="1:239" s="1240" customFormat="1" ht="10" customHeight="1">
      <c r="A50" s="1241" t="s">
        <v>1339</v>
      </c>
      <c r="B50" s="1255"/>
      <c r="C50" s="1255"/>
      <c r="D50" s="1255"/>
      <c r="E50" s="1255"/>
      <c r="F50" s="1255"/>
      <c r="G50" s="1255"/>
      <c r="H50" s="1255"/>
      <c r="I50" s="1255"/>
      <c r="J50" s="1255"/>
      <c r="K50" s="1255"/>
      <c r="L50" s="1256"/>
      <c r="M50" s="1256"/>
      <c r="N50" s="1256"/>
      <c r="O50" s="1256"/>
      <c r="P50" s="1244"/>
      <c r="Q50" s="1244"/>
      <c r="R50" s="1235"/>
      <c r="S50" s="1245"/>
      <c r="T50" s="1237"/>
      <c r="U50" s="1237"/>
      <c r="V50" s="1237"/>
      <c r="W50" s="1237"/>
      <c r="X50" s="1237"/>
      <c r="Y50" s="1237"/>
      <c r="Z50" s="1237"/>
      <c r="AA50" s="1237"/>
      <c r="AB50" s="1237"/>
      <c r="AC50" s="1237"/>
      <c r="AD50" s="1237"/>
      <c r="AE50" s="1237"/>
      <c r="AF50" s="1237"/>
      <c r="AG50" s="1237"/>
      <c r="AH50" s="1237"/>
      <c r="AI50" s="1237"/>
      <c r="AJ50" s="1237"/>
      <c r="AK50" s="1237"/>
      <c r="AL50" s="1237"/>
      <c r="AM50" s="1237"/>
      <c r="AN50" s="1237"/>
    </row>
    <row r="51" spans="1:239" s="1240" customFormat="1" ht="10" customHeight="1">
      <c r="A51" s="1450" t="s">
        <v>1274</v>
      </c>
      <c r="B51" s="1255"/>
      <c r="C51" s="1255"/>
      <c r="D51" s="1255"/>
      <c r="E51" s="1255"/>
      <c r="F51" s="1255"/>
      <c r="G51" s="1255"/>
      <c r="H51" s="1255"/>
      <c r="I51" s="1255"/>
      <c r="J51" s="1255"/>
      <c r="K51" s="1255"/>
      <c r="L51" s="1256"/>
      <c r="M51" s="1256"/>
      <c r="N51" s="1256"/>
      <c r="O51" s="1256"/>
      <c r="P51" s="1244"/>
      <c r="Q51" s="1244"/>
      <c r="R51" s="1235"/>
      <c r="S51" s="1245"/>
      <c r="T51" s="1237"/>
      <c r="U51" s="1237"/>
      <c r="V51" s="1237"/>
      <c r="W51" s="1237"/>
      <c r="X51" s="1237"/>
      <c r="Y51" s="1237"/>
      <c r="Z51" s="1237"/>
      <c r="AA51" s="1237"/>
      <c r="AB51" s="1237"/>
      <c r="AC51" s="1237"/>
      <c r="AD51" s="1237"/>
      <c r="AE51" s="1237"/>
      <c r="AF51" s="1237"/>
      <c r="AG51" s="1237"/>
      <c r="AH51" s="1237"/>
      <c r="AI51" s="1237"/>
      <c r="AJ51" s="1237"/>
      <c r="AK51" s="1237"/>
      <c r="AL51" s="1237"/>
      <c r="AM51" s="1237"/>
      <c r="AN51" s="1237"/>
    </row>
    <row r="52" spans="1:239" s="1240" customFormat="1" ht="10" customHeight="1">
      <c r="A52" s="1882" t="s">
        <v>1361</v>
      </c>
      <c r="B52" s="1881"/>
      <c r="C52" s="1881"/>
      <c r="D52" s="1881"/>
      <c r="E52" s="1881"/>
      <c r="F52" s="1881"/>
      <c r="G52" s="1881"/>
      <c r="H52" s="1881"/>
      <c r="I52" s="1881"/>
      <c r="J52" s="1255"/>
      <c r="K52" s="1255"/>
      <c r="L52" s="1256"/>
      <c r="M52" s="1256"/>
      <c r="N52" s="1256"/>
      <c r="O52" s="1256"/>
      <c r="P52" s="1244"/>
      <c r="Q52" s="1244"/>
      <c r="R52" s="1235"/>
      <c r="S52" s="1245"/>
      <c r="T52" s="1237"/>
      <c r="U52" s="1237"/>
      <c r="V52" s="1237"/>
      <c r="W52" s="1237"/>
      <c r="X52" s="1237"/>
      <c r="Y52" s="1237"/>
      <c r="Z52" s="1237"/>
      <c r="AA52" s="1237"/>
      <c r="AB52" s="1237"/>
      <c r="AC52" s="1237"/>
      <c r="AD52" s="1237"/>
      <c r="AE52" s="1237"/>
      <c r="AF52" s="1237"/>
      <c r="AG52" s="1237"/>
      <c r="AH52" s="1237"/>
      <c r="AI52" s="1237"/>
      <c r="AJ52" s="1237"/>
      <c r="AK52" s="1237"/>
      <c r="AL52" s="1237"/>
      <c r="AM52" s="1237"/>
      <c r="AN52" s="1237"/>
    </row>
    <row r="53" spans="1:239" s="772" customFormat="1" ht="12.75" customHeight="1">
      <c r="A53" s="862" t="s">
        <v>990</v>
      </c>
      <c r="B53" s="773"/>
      <c r="C53" s="773"/>
      <c r="D53" s="773"/>
      <c r="E53" s="774"/>
      <c r="L53" s="1169"/>
      <c r="M53" s="1169"/>
    </row>
    <row r="54" spans="1:239" s="1670" customFormat="1" ht="14.15" customHeight="1">
      <c r="B54" s="1671"/>
      <c r="C54" s="1671"/>
      <c r="D54" s="1671"/>
      <c r="E54" s="1671"/>
      <c r="F54" s="1671"/>
      <c r="G54" s="1671"/>
      <c r="H54" s="1672">
        <f>H13+H28</f>
        <v>4830257000</v>
      </c>
      <c r="I54" s="1672">
        <f>I13+I28</f>
        <v>5430232000</v>
      </c>
      <c r="J54" s="1672">
        <f>J13+J28</f>
        <v>5926357000</v>
      </c>
      <c r="K54" s="1673"/>
      <c r="L54" s="1674"/>
      <c r="M54" s="1674"/>
      <c r="N54" s="1675"/>
      <c r="O54" s="1675"/>
      <c r="P54" s="1675"/>
      <c r="Q54" s="1675"/>
      <c r="R54" s="1675"/>
      <c r="S54" s="1676"/>
      <c r="X54" s="1677"/>
      <c r="Y54" s="1677"/>
      <c r="Z54" s="1677"/>
      <c r="AA54" s="1677"/>
      <c r="AB54" s="1677"/>
      <c r="AC54" s="1677"/>
      <c r="AD54" s="1677"/>
      <c r="AE54" s="1677"/>
      <c r="AF54" s="1677"/>
      <c r="AG54" s="1677"/>
      <c r="AH54" s="1677"/>
      <c r="AI54" s="1677"/>
      <c r="AJ54" s="1677"/>
      <c r="AK54" s="1677"/>
      <c r="AL54" s="1677"/>
      <c r="AM54" s="1677"/>
      <c r="AN54" s="1677"/>
      <c r="AO54" s="1677"/>
      <c r="AP54" s="1677"/>
      <c r="AQ54" s="1677"/>
      <c r="AR54" s="1677"/>
      <c r="AS54" s="1677"/>
      <c r="AT54" s="1677"/>
      <c r="AU54" s="1677"/>
      <c r="AV54" s="1677"/>
      <c r="AW54" s="1677"/>
      <c r="AX54" s="1677"/>
      <c r="AY54" s="1677"/>
      <c r="AZ54" s="1677"/>
      <c r="BA54" s="1677"/>
      <c r="BB54" s="1677"/>
      <c r="BC54" s="1677"/>
      <c r="BD54" s="1677"/>
      <c r="BE54" s="1677"/>
      <c r="BF54" s="1677"/>
      <c r="BG54" s="1677"/>
      <c r="BH54" s="1677"/>
      <c r="BI54" s="1677"/>
      <c r="BJ54" s="1677"/>
      <c r="BK54" s="1677"/>
      <c r="BL54" s="1677"/>
      <c r="BM54" s="1677"/>
      <c r="BN54" s="1677"/>
      <c r="BO54" s="1677"/>
      <c r="BP54" s="1677"/>
      <c r="BQ54" s="1677"/>
      <c r="BR54" s="1677"/>
      <c r="BS54" s="1677"/>
      <c r="BT54" s="1677"/>
      <c r="BU54" s="1677"/>
      <c r="BV54" s="1677"/>
      <c r="BW54" s="1677"/>
      <c r="BX54" s="1677"/>
      <c r="BY54" s="1677"/>
      <c r="BZ54" s="1677"/>
      <c r="CA54" s="1677"/>
      <c r="CB54" s="1677"/>
      <c r="CC54" s="1677"/>
      <c r="CD54" s="1677"/>
      <c r="CE54" s="1677"/>
      <c r="CF54" s="1677"/>
      <c r="CG54" s="1677"/>
      <c r="CH54" s="1677"/>
      <c r="CI54" s="1677"/>
      <c r="CJ54" s="1677"/>
      <c r="CK54" s="1677"/>
      <c r="CL54" s="1677"/>
      <c r="CM54" s="1677"/>
      <c r="CN54" s="1677"/>
      <c r="CO54" s="1677"/>
      <c r="CP54" s="1677"/>
      <c r="CQ54" s="1677"/>
      <c r="CR54" s="1677"/>
      <c r="CS54" s="1677"/>
      <c r="CT54" s="1677"/>
      <c r="CU54" s="1677"/>
      <c r="CV54" s="1677"/>
      <c r="CW54" s="1677"/>
      <c r="CX54" s="1677"/>
      <c r="CY54" s="1677"/>
      <c r="CZ54" s="1677"/>
      <c r="DA54" s="1677"/>
      <c r="DB54" s="1677"/>
      <c r="DC54" s="1677"/>
      <c r="DD54" s="1677"/>
      <c r="DE54" s="1677"/>
      <c r="DF54" s="1677"/>
      <c r="DG54" s="1677"/>
      <c r="DH54" s="1677"/>
      <c r="DI54" s="1677"/>
      <c r="DJ54" s="1677"/>
      <c r="DK54" s="1677"/>
      <c r="DL54" s="1677"/>
      <c r="DM54" s="1677"/>
      <c r="DN54" s="1677"/>
      <c r="DO54" s="1677"/>
      <c r="DP54" s="1677"/>
      <c r="DQ54" s="1677"/>
      <c r="DR54" s="1677"/>
      <c r="DS54" s="1677"/>
      <c r="DT54" s="1677"/>
      <c r="DU54" s="1677"/>
      <c r="DV54" s="1677"/>
      <c r="DW54" s="1677"/>
      <c r="DX54" s="1677"/>
      <c r="DY54" s="1677"/>
      <c r="DZ54" s="1677"/>
      <c r="EA54" s="1677"/>
      <c r="EB54" s="1677"/>
      <c r="EC54" s="1677"/>
      <c r="ED54" s="1677"/>
      <c r="EE54" s="1677"/>
      <c r="EF54" s="1677"/>
      <c r="EG54" s="1677"/>
      <c r="EH54" s="1677"/>
      <c r="EI54" s="1677"/>
      <c r="EJ54" s="1677"/>
      <c r="EK54" s="1677"/>
      <c r="EL54" s="1677"/>
      <c r="EM54" s="1677"/>
      <c r="EN54" s="1677"/>
      <c r="EO54" s="1677"/>
      <c r="EP54" s="1677"/>
      <c r="EQ54" s="1677"/>
      <c r="ER54" s="1677"/>
      <c r="ES54" s="1677"/>
      <c r="ET54" s="1677"/>
      <c r="EU54" s="1677"/>
      <c r="EV54" s="1677"/>
      <c r="EW54" s="1677"/>
      <c r="EX54" s="1677"/>
      <c r="EY54" s="1677"/>
      <c r="EZ54" s="1677"/>
      <c r="FA54" s="1677"/>
      <c r="FB54" s="1677"/>
      <c r="FC54" s="1677"/>
      <c r="FD54" s="1677"/>
      <c r="FE54" s="1677"/>
      <c r="FF54" s="1677"/>
      <c r="FG54" s="1677"/>
      <c r="FH54" s="1677"/>
      <c r="FI54" s="1677"/>
      <c r="FJ54" s="1677"/>
      <c r="FK54" s="1677"/>
      <c r="FL54" s="1677"/>
      <c r="FM54" s="1677"/>
      <c r="FN54" s="1677"/>
      <c r="FO54" s="1677"/>
      <c r="FP54" s="1677"/>
      <c r="FQ54" s="1677"/>
      <c r="FR54" s="1677"/>
      <c r="FS54" s="1677"/>
      <c r="FT54" s="1677"/>
      <c r="FU54" s="1677"/>
      <c r="FV54" s="1677"/>
      <c r="FW54" s="1677"/>
      <c r="FX54" s="1677"/>
      <c r="FY54" s="1677"/>
      <c r="FZ54" s="1677"/>
      <c r="GA54" s="1677"/>
      <c r="GB54" s="1677"/>
      <c r="GC54" s="1677"/>
      <c r="GD54" s="1677"/>
      <c r="GE54" s="1677"/>
      <c r="GF54" s="1677"/>
      <c r="GG54" s="1677"/>
      <c r="GH54" s="1677"/>
      <c r="GI54" s="1677"/>
      <c r="GJ54" s="1677"/>
      <c r="GK54" s="1677"/>
      <c r="GL54" s="1677"/>
      <c r="GM54" s="1677"/>
      <c r="GN54" s="1677"/>
      <c r="GO54" s="1677"/>
      <c r="GP54" s="1677"/>
      <c r="GQ54" s="1677"/>
      <c r="GR54" s="1677"/>
      <c r="GS54" s="1677"/>
      <c r="GT54" s="1677"/>
      <c r="GU54" s="1677"/>
      <c r="GV54" s="1677"/>
      <c r="GW54" s="1677"/>
      <c r="GX54" s="1677"/>
      <c r="GY54" s="1677"/>
      <c r="GZ54" s="1677"/>
      <c r="HA54" s="1677"/>
      <c r="HB54" s="1677"/>
      <c r="HC54" s="1677"/>
      <c r="HD54" s="1677"/>
      <c r="HE54" s="1677"/>
      <c r="HF54" s="1677"/>
      <c r="HG54" s="1677"/>
      <c r="HH54" s="1677"/>
      <c r="HI54" s="1677"/>
      <c r="HJ54" s="1677"/>
      <c r="HK54" s="1677"/>
      <c r="HL54" s="1677"/>
      <c r="HM54" s="1677"/>
      <c r="HN54" s="1677"/>
      <c r="HO54" s="1677"/>
      <c r="HP54" s="1677"/>
      <c r="HQ54" s="1677"/>
      <c r="HR54" s="1677"/>
      <c r="HS54" s="1677"/>
      <c r="HT54" s="1677"/>
      <c r="HU54" s="1677"/>
      <c r="HV54" s="1677"/>
      <c r="HW54" s="1677"/>
      <c r="HX54" s="1677"/>
      <c r="HY54" s="1677"/>
      <c r="HZ54" s="1677"/>
      <c r="IA54" s="1677"/>
      <c r="IB54" s="1677"/>
      <c r="IC54" s="1677"/>
      <c r="ID54" s="1677"/>
      <c r="IE54" s="1677"/>
    </row>
    <row r="55" spans="1:239" s="1670" customFormat="1" ht="14.15" customHeight="1">
      <c r="A55" s="1677"/>
      <c r="B55" s="1671"/>
      <c r="C55" s="1671"/>
      <c r="D55" s="1671"/>
      <c r="E55" s="1671"/>
      <c r="F55" s="1671"/>
      <c r="G55" s="1671"/>
      <c r="H55" s="1671"/>
      <c r="I55" s="1678"/>
      <c r="J55" s="1678"/>
      <c r="K55" s="1673"/>
      <c r="L55" s="1674"/>
      <c r="M55" s="1674"/>
      <c r="N55" s="1677"/>
      <c r="O55" s="1677"/>
      <c r="P55" s="1677"/>
      <c r="Q55" s="1677"/>
      <c r="R55" s="1679"/>
      <c r="S55" s="1676"/>
      <c r="X55" s="1677"/>
      <c r="Y55" s="1677"/>
      <c r="Z55" s="1677"/>
      <c r="AA55" s="1677"/>
      <c r="AB55" s="1677"/>
      <c r="AC55" s="1677"/>
      <c r="AD55" s="1677"/>
      <c r="AE55" s="1677"/>
      <c r="AF55" s="1677"/>
      <c r="AG55" s="1677"/>
      <c r="AH55" s="1677"/>
      <c r="AI55" s="1677"/>
      <c r="AJ55" s="1677"/>
      <c r="AK55" s="1677"/>
      <c r="AL55" s="1677"/>
      <c r="AM55" s="1677"/>
      <c r="AN55" s="1677"/>
      <c r="AO55" s="1677"/>
      <c r="AP55" s="1677"/>
      <c r="AQ55" s="1677"/>
      <c r="AR55" s="1677"/>
      <c r="AS55" s="1677"/>
      <c r="AT55" s="1677"/>
      <c r="AU55" s="1677"/>
      <c r="AV55" s="1677"/>
      <c r="AW55" s="1677"/>
      <c r="AX55" s="1677"/>
      <c r="AY55" s="1677"/>
      <c r="AZ55" s="1677"/>
      <c r="BA55" s="1677"/>
      <c r="BB55" s="1677"/>
      <c r="BC55" s="1677"/>
      <c r="BD55" s="1677"/>
      <c r="BE55" s="1677"/>
      <c r="BF55" s="1677"/>
      <c r="BG55" s="1677"/>
      <c r="BH55" s="1677"/>
      <c r="BI55" s="1677"/>
      <c r="BJ55" s="1677"/>
      <c r="BK55" s="1677"/>
      <c r="BL55" s="1677"/>
      <c r="BM55" s="1677"/>
      <c r="BN55" s="1677"/>
      <c r="BO55" s="1677"/>
      <c r="BP55" s="1677"/>
      <c r="BQ55" s="1677"/>
      <c r="BR55" s="1677"/>
      <c r="BS55" s="1677"/>
      <c r="BT55" s="1677"/>
      <c r="BU55" s="1677"/>
      <c r="BV55" s="1677"/>
      <c r="BW55" s="1677"/>
      <c r="BX55" s="1677"/>
      <c r="BY55" s="1677"/>
      <c r="BZ55" s="1677"/>
      <c r="CA55" s="1677"/>
      <c r="CB55" s="1677"/>
      <c r="CC55" s="1677"/>
      <c r="CD55" s="1677"/>
      <c r="CE55" s="1677"/>
      <c r="CF55" s="1677"/>
      <c r="CG55" s="1677"/>
      <c r="CH55" s="1677"/>
      <c r="CI55" s="1677"/>
      <c r="CJ55" s="1677"/>
      <c r="CK55" s="1677"/>
      <c r="CL55" s="1677"/>
      <c r="CM55" s="1677"/>
      <c r="CN55" s="1677"/>
      <c r="CO55" s="1677"/>
      <c r="CP55" s="1677"/>
      <c r="CQ55" s="1677"/>
      <c r="CR55" s="1677"/>
      <c r="CS55" s="1677"/>
      <c r="CT55" s="1677"/>
      <c r="CU55" s="1677"/>
      <c r="CV55" s="1677"/>
      <c r="CW55" s="1677"/>
      <c r="CX55" s="1677"/>
      <c r="CY55" s="1677"/>
      <c r="CZ55" s="1677"/>
      <c r="DA55" s="1677"/>
      <c r="DB55" s="1677"/>
      <c r="DC55" s="1677"/>
      <c r="DD55" s="1677"/>
      <c r="DE55" s="1677"/>
      <c r="DF55" s="1677"/>
      <c r="DG55" s="1677"/>
      <c r="DH55" s="1677"/>
      <c r="DI55" s="1677"/>
      <c r="DJ55" s="1677"/>
      <c r="DK55" s="1677"/>
      <c r="DL55" s="1677"/>
      <c r="DM55" s="1677"/>
      <c r="DN55" s="1677"/>
      <c r="DO55" s="1677"/>
      <c r="DP55" s="1677"/>
      <c r="DQ55" s="1677"/>
      <c r="DR55" s="1677"/>
      <c r="DS55" s="1677"/>
      <c r="DT55" s="1677"/>
      <c r="DU55" s="1677"/>
      <c r="DV55" s="1677"/>
      <c r="DW55" s="1677"/>
      <c r="DX55" s="1677"/>
      <c r="DY55" s="1677"/>
      <c r="DZ55" s="1677"/>
      <c r="EA55" s="1677"/>
      <c r="EB55" s="1677"/>
      <c r="EC55" s="1677"/>
      <c r="ED55" s="1677"/>
      <c r="EE55" s="1677"/>
      <c r="EF55" s="1677"/>
      <c r="EG55" s="1677"/>
      <c r="EH55" s="1677"/>
      <c r="EI55" s="1677"/>
      <c r="EJ55" s="1677"/>
      <c r="EK55" s="1677"/>
      <c r="EL55" s="1677"/>
      <c r="EM55" s="1677"/>
      <c r="EN55" s="1677"/>
      <c r="EO55" s="1677"/>
      <c r="EP55" s="1677"/>
      <c r="EQ55" s="1677"/>
      <c r="ER55" s="1677"/>
      <c r="ES55" s="1677"/>
      <c r="ET55" s="1677"/>
      <c r="EU55" s="1677"/>
      <c r="EV55" s="1677"/>
      <c r="EW55" s="1677"/>
      <c r="EX55" s="1677"/>
      <c r="EY55" s="1677"/>
      <c r="EZ55" s="1677"/>
      <c r="FA55" s="1677"/>
      <c r="FB55" s="1677"/>
      <c r="FC55" s="1677"/>
      <c r="FD55" s="1677"/>
      <c r="FE55" s="1677"/>
      <c r="FF55" s="1677"/>
      <c r="FG55" s="1677"/>
      <c r="FH55" s="1677"/>
      <c r="FI55" s="1677"/>
      <c r="FJ55" s="1677"/>
      <c r="FK55" s="1677"/>
      <c r="FL55" s="1677"/>
      <c r="FM55" s="1677"/>
      <c r="FN55" s="1677"/>
      <c r="FO55" s="1677"/>
      <c r="FP55" s="1677"/>
      <c r="FQ55" s="1677"/>
      <c r="FR55" s="1677"/>
      <c r="FS55" s="1677"/>
      <c r="FT55" s="1677"/>
      <c r="FU55" s="1677"/>
      <c r="FV55" s="1677"/>
      <c r="FW55" s="1677"/>
      <c r="FX55" s="1677"/>
      <c r="FY55" s="1677"/>
      <c r="FZ55" s="1677"/>
      <c r="GA55" s="1677"/>
      <c r="GB55" s="1677"/>
      <c r="GC55" s="1677"/>
      <c r="GD55" s="1677"/>
      <c r="GE55" s="1677"/>
      <c r="GF55" s="1677"/>
      <c r="GG55" s="1677"/>
      <c r="GH55" s="1677"/>
      <c r="GI55" s="1677"/>
      <c r="GJ55" s="1677"/>
      <c r="GK55" s="1677"/>
      <c r="GL55" s="1677"/>
      <c r="GM55" s="1677"/>
      <c r="GN55" s="1677"/>
      <c r="GO55" s="1677"/>
      <c r="GP55" s="1677"/>
      <c r="GQ55" s="1677"/>
      <c r="GR55" s="1677"/>
      <c r="GS55" s="1677"/>
      <c r="GT55" s="1677"/>
      <c r="GU55" s="1677"/>
      <c r="GV55" s="1677"/>
      <c r="GW55" s="1677"/>
      <c r="GX55" s="1677"/>
      <c r="GY55" s="1677"/>
      <c r="GZ55" s="1677"/>
      <c r="HA55" s="1677"/>
      <c r="HB55" s="1677"/>
      <c r="HC55" s="1677"/>
      <c r="HD55" s="1677"/>
      <c r="HE55" s="1677"/>
      <c r="HF55" s="1677"/>
      <c r="HG55" s="1677"/>
      <c r="HH55" s="1677"/>
      <c r="HI55" s="1677"/>
      <c r="HJ55" s="1677"/>
      <c r="HK55" s="1677"/>
      <c r="HL55" s="1677"/>
      <c r="HM55" s="1677"/>
      <c r="HN55" s="1677"/>
      <c r="HO55" s="1677"/>
      <c r="HP55" s="1677"/>
      <c r="HQ55" s="1677"/>
      <c r="HR55" s="1677"/>
      <c r="HS55" s="1677"/>
      <c r="HT55" s="1677"/>
      <c r="HU55" s="1677"/>
      <c r="HV55" s="1677"/>
      <c r="HW55" s="1677"/>
      <c r="HX55" s="1677"/>
      <c r="HY55" s="1677"/>
      <c r="HZ55" s="1677"/>
      <c r="IA55" s="1677"/>
      <c r="IB55" s="1677"/>
      <c r="IC55" s="1677"/>
      <c r="ID55" s="1677"/>
      <c r="IE55" s="1677"/>
    </row>
    <row r="56" spans="1:239" s="1670" customFormat="1" ht="14.15" customHeight="1">
      <c r="A56" s="1677"/>
      <c r="B56" s="1671"/>
      <c r="C56" s="1671"/>
      <c r="D56" s="1671"/>
      <c r="E56" s="1671"/>
      <c r="F56" s="1671"/>
      <c r="G56" s="1671"/>
      <c r="H56" s="1671"/>
      <c r="I56" s="1678"/>
      <c r="J56" s="1678"/>
      <c r="K56" s="1673"/>
      <c r="L56" s="1674"/>
      <c r="M56" s="1674"/>
      <c r="N56" s="1677"/>
      <c r="O56" s="1677"/>
      <c r="P56" s="1677"/>
      <c r="Q56" s="1677"/>
      <c r="R56" s="1679"/>
      <c r="S56" s="1676"/>
      <c r="X56" s="1677"/>
      <c r="Y56" s="1677"/>
      <c r="Z56" s="1677"/>
      <c r="AA56" s="1677"/>
      <c r="AB56" s="1677"/>
      <c r="AC56" s="1677"/>
      <c r="AD56" s="1677"/>
      <c r="AE56" s="1677"/>
      <c r="AF56" s="1677"/>
      <c r="AG56" s="1677"/>
      <c r="AH56" s="1677"/>
      <c r="AI56" s="1677"/>
      <c r="AJ56" s="1677"/>
      <c r="AK56" s="1677"/>
      <c r="AL56" s="1677"/>
      <c r="AM56" s="1677"/>
      <c r="AN56" s="1677"/>
      <c r="AO56" s="1677"/>
      <c r="AP56" s="1677"/>
      <c r="AQ56" s="1677"/>
      <c r="AR56" s="1677"/>
      <c r="AS56" s="1677"/>
      <c r="AT56" s="1677"/>
      <c r="AU56" s="1677"/>
      <c r="AV56" s="1677"/>
      <c r="AW56" s="1677"/>
      <c r="AX56" s="1677"/>
      <c r="AY56" s="1677"/>
      <c r="AZ56" s="1677"/>
      <c r="BA56" s="1677"/>
      <c r="BB56" s="1677"/>
      <c r="BC56" s="1677"/>
      <c r="BD56" s="1677"/>
      <c r="BE56" s="1677"/>
      <c r="BF56" s="1677"/>
      <c r="BG56" s="1677"/>
      <c r="BH56" s="1677"/>
      <c r="BI56" s="1677"/>
      <c r="BJ56" s="1677"/>
      <c r="BK56" s="1677"/>
      <c r="BL56" s="1677"/>
      <c r="BM56" s="1677"/>
      <c r="BN56" s="1677"/>
      <c r="BO56" s="1677"/>
      <c r="BP56" s="1677"/>
      <c r="BQ56" s="1677"/>
      <c r="BR56" s="1677"/>
      <c r="BS56" s="1677"/>
      <c r="BT56" s="1677"/>
      <c r="BU56" s="1677"/>
      <c r="BV56" s="1677"/>
      <c r="BW56" s="1677"/>
      <c r="BX56" s="1677"/>
      <c r="BY56" s="1677"/>
      <c r="BZ56" s="1677"/>
      <c r="CA56" s="1677"/>
      <c r="CB56" s="1677"/>
      <c r="CC56" s="1677"/>
      <c r="CD56" s="1677"/>
      <c r="CE56" s="1677"/>
      <c r="CF56" s="1677"/>
      <c r="CG56" s="1677"/>
      <c r="CH56" s="1677"/>
      <c r="CI56" s="1677"/>
      <c r="CJ56" s="1677"/>
      <c r="CK56" s="1677"/>
      <c r="CL56" s="1677"/>
      <c r="CM56" s="1677"/>
      <c r="CN56" s="1677"/>
      <c r="CO56" s="1677"/>
      <c r="CP56" s="1677"/>
      <c r="CQ56" s="1677"/>
      <c r="CR56" s="1677"/>
      <c r="CS56" s="1677"/>
      <c r="CT56" s="1677"/>
      <c r="CU56" s="1677"/>
      <c r="CV56" s="1677"/>
      <c r="CW56" s="1677"/>
      <c r="CX56" s="1677"/>
      <c r="CY56" s="1677"/>
      <c r="CZ56" s="1677"/>
      <c r="DA56" s="1677"/>
      <c r="DB56" s="1677"/>
      <c r="DC56" s="1677"/>
      <c r="DD56" s="1677"/>
      <c r="DE56" s="1677"/>
      <c r="DF56" s="1677"/>
      <c r="DG56" s="1677"/>
      <c r="DH56" s="1677"/>
      <c r="DI56" s="1677"/>
      <c r="DJ56" s="1677"/>
      <c r="DK56" s="1677"/>
      <c r="DL56" s="1677"/>
      <c r="DM56" s="1677"/>
      <c r="DN56" s="1677"/>
      <c r="DO56" s="1677"/>
      <c r="DP56" s="1677"/>
      <c r="DQ56" s="1677"/>
      <c r="DR56" s="1677"/>
      <c r="DS56" s="1677"/>
      <c r="DT56" s="1677"/>
      <c r="DU56" s="1677"/>
      <c r="DV56" s="1677"/>
      <c r="DW56" s="1677"/>
      <c r="DX56" s="1677"/>
      <c r="DY56" s="1677"/>
      <c r="DZ56" s="1677"/>
      <c r="EA56" s="1677"/>
      <c r="EB56" s="1677"/>
      <c r="EC56" s="1677"/>
      <c r="ED56" s="1677"/>
      <c r="EE56" s="1677"/>
      <c r="EF56" s="1677"/>
      <c r="EG56" s="1677"/>
      <c r="EH56" s="1677"/>
      <c r="EI56" s="1677"/>
      <c r="EJ56" s="1677"/>
      <c r="EK56" s="1677"/>
      <c r="EL56" s="1677"/>
      <c r="EM56" s="1677"/>
      <c r="EN56" s="1677"/>
      <c r="EO56" s="1677"/>
      <c r="EP56" s="1677"/>
      <c r="EQ56" s="1677"/>
      <c r="ER56" s="1677"/>
      <c r="ES56" s="1677"/>
      <c r="ET56" s="1677"/>
      <c r="EU56" s="1677"/>
      <c r="EV56" s="1677"/>
      <c r="EW56" s="1677"/>
      <c r="EX56" s="1677"/>
      <c r="EY56" s="1677"/>
      <c r="EZ56" s="1677"/>
      <c r="FA56" s="1677"/>
      <c r="FB56" s="1677"/>
      <c r="FC56" s="1677"/>
      <c r="FD56" s="1677"/>
      <c r="FE56" s="1677"/>
      <c r="FF56" s="1677"/>
      <c r="FG56" s="1677"/>
      <c r="FH56" s="1677"/>
      <c r="FI56" s="1677"/>
      <c r="FJ56" s="1677"/>
      <c r="FK56" s="1677"/>
      <c r="FL56" s="1677"/>
      <c r="FM56" s="1677"/>
      <c r="FN56" s="1677"/>
      <c r="FO56" s="1677"/>
      <c r="FP56" s="1677"/>
      <c r="FQ56" s="1677"/>
      <c r="FR56" s="1677"/>
      <c r="FS56" s="1677"/>
      <c r="FT56" s="1677"/>
      <c r="FU56" s="1677"/>
      <c r="FV56" s="1677"/>
      <c r="FW56" s="1677"/>
      <c r="FX56" s="1677"/>
      <c r="FY56" s="1677"/>
      <c r="FZ56" s="1677"/>
      <c r="GA56" s="1677"/>
      <c r="GB56" s="1677"/>
      <c r="GC56" s="1677"/>
      <c r="GD56" s="1677"/>
      <c r="GE56" s="1677"/>
      <c r="GF56" s="1677"/>
      <c r="GG56" s="1677"/>
      <c r="GH56" s="1677"/>
      <c r="GI56" s="1677"/>
      <c r="GJ56" s="1677"/>
      <c r="GK56" s="1677"/>
      <c r="GL56" s="1677"/>
      <c r="GM56" s="1677"/>
      <c r="GN56" s="1677"/>
      <c r="GO56" s="1677"/>
      <c r="GP56" s="1677"/>
      <c r="GQ56" s="1677"/>
      <c r="GR56" s="1677"/>
      <c r="GS56" s="1677"/>
      <c r="GT56" s="1677"/>
      <c r="GU56" s="1677"/>
      <c r="GV56" s="1677"/>
      <c r="GW56" s="1677"/>
      <c r="GX56" s="1677"/>
      <c r="GY56" s="1677"/>
      <c r="GZ56" s="1677"/>
      <c r="HA56" s="1677"/>
      <c r="HB56" s="1677"/>
      <c r="HC56" s="1677"/>
      <c r="HD56" s="1677"/>
      <c r="HE56" s="1677"/>
      <c r="HF56" s="1677"/>
      <c r="HG56" s="1677"/>
      <c r="HH56" s="1677"/>
      <c r="HI56" s="1677"/>
      <c r="HJ56" s="1677"/>
      <c r="HK56" s="1677"/>
      <c r="HL56" s="1677"/>
      <c r="HM56" s="1677"/>
      <c r="HN56" s="1677"/>
      <c r="HO56" s="1677"/>
      <c r="HP56" s="1677"/>
      <c r="HQ56" s="1677"/>
      <c r="HR56" s="1677"/>
      <c r="HS56" s="1677"/>
      <c r="HT56" s="1677"/>
      <c r="HU56" s="1677"/>
      <c r="HV56" s="1677"/>
      <c r="HW56" s="1677"/>
      <c r="HX56" s="1677"/>
      <c r="HY56" s="1677"/>
      <c r="HZ56" s="1677"/>
      <c r="IA56" s="1677"/>
      <c r="IB56" s="1677"/>
      <c r="IC56" s="1677"/>
      <c r="ID56" s="1677"/>
      <c r="IE56" s="1677"/>
    </row>
    <row r="57" spans="1:239" s="1670" customFormat="1" ht="14.15" customHeight="1">
      <c r="A57" s="1411" t="s">
        <v>275</v>
      </c>
      <c r="B57" s="1680">
        <f t="shared" ref="B57:J57" si="4">B41-B8-B9-B13</f>
        <v>656495257.90999985</v>
      </c>
      <c r="C57" s="1680">
        <f t="shared" si="4"/>
        <v>672992112.84000015</v>
      </c>
      <c r="D57" s="1680">
        <f t="shared" si="4"/>
        <v>732138986.22999954</v>
      </c>
      <c r="E57" s="1680">
        <f t="shared" si="4"/>
        <v>767401177.69000053</v>
      </c>
      <c r="F57" s="1680">
        <f t="shared" si="4"/>
        <v>763035861.81999969</v>
      </c>
      <c r="G57" s="1680">
        <f t="shared" si="4"/>
        <v>1625197140.2000008</v>
      </c>
      <c r="H57" s="1680">
        <f t="shared" si="4"/>
        <v>2167788628.1300011</v>
      </c>
      <c r="I57" s="1680">
        <f t="shared" si="4"/>
        <v>2641396000</v>
      </c>
      <c r="J57" s="1680">
        <f t="shared" si="4"/>
        <v>2782131000</v>
      </c>
      <c r="K57" s="1673"/>
      <c r="L57" s="1674"/>
      <c r="M57" s="1887">
        <f>J57/$J$41</f>
        <v>9.3851833890480671E-2</v>
      </c>
      <c r="N57" s="1677"/>
      <c r="O57" s="1677"/>
      <c r="P57" s="1677"/>
      <c r="Q57" s="1677"/>
      <c r="R57" s="1679"/>
      <c r="S57" s="1676"/>
      <c r="T57" s="1677"/>
      <c r="U57" s="1677"/>
      <c r="V57" s="1677"/>
      <c r="W57" s="1677"/>
      <c r="X57" s="1677"/>
      <c r="Y57" s="1677"/>
      <c r="Z57" s="1677"/>
      <c r="AA57" s="1677"/>
      <c r="AB57" s="1677"/>
      <c r="AC57" s="1677"/>
      <c r="AD57" s="1677"/>
      <c r="AE57" s="1677"/>
      <c r="AF57" s="1677"/>
      <c r="AG57" s="1677"/>
      <c r="AH57" s="1677"/>
      <c r="AI57" s="1677"/>
      <c r="AJ57" s="1677"/>
      <c r="AK57" s="1677"/>
      <c r="AL57" s="1677"/>
      <c r="AM57" s="1677"/>
      <c r="AN57" s="1677"/>
      <c r="AO57" s="1677"/>
      <c r="AP57" s="1677"/>
      <c r="AQ57" s="1677"/>
      <c r="AR57" s="1677"/>
      <c r="AS57" s="1677"/>
      <c r="AT57" s="1677"/>
      <c r="AU57" s="1677"/>
      <c r="AV57" s="1677"/>
      <c r="AW57" s="1677"/>
      <c r="AX57" s="1677"/>
      <c r="AY57" s="1677"/>
      <c r="AZ57" s="1677"/>
      <c r="BA57" s="1677"/>
      <c r="BB57" s="1677"/>
      <c r="BC57" s="1677"/>
      <c r="BD57" s="1677"/>
      <c r="BE57" s="1677"/>
      <c r="BF57" s="1677"/>
      <c r="BG57" s="1677"/>
      <c r="BH57" s="1677"/>
      <c r="BI57" s="1677"/>
      <c r="BJ57" s="1677"/>
      <c r="BK57" s="1677"/>
      <c r="BL57" s="1677"/>
      <c r="BM57" s="1677"/>
      <c r="BN57" s="1677"/>
      <c r="BO57" s="1677"/>
      <c r="BP57" s="1677"/>
      <c r="BQ57" s="1677"/>
      <c r="BR57" s="1677"/>
      <c r="BS57" s="1677"/>
      <c r="BT57" s="1677"/>
      <c r="BU57" s="1677"/>
      <c r="BV57" s="1677"/>
      <c r="BW57" s="1677"/>
      <c r="BX57" s="1677"/>
      <c r="BY57" s="1677"/>
      <c r="BZ57" s="1677"/>
      <c r="CA57" s="1677"/>
      <c r="CB57" s="1677"/>
      <c r="CC57" s="1677"/>
      <c r="CD57" s="1677"/>
      <c r="CE57" s="1677"/>
      <c r="CF57" s="1677"/>
      <c r="CG57" s="1677"/>
      <c r="CH57" s="1677"/>
      <c r="CI57" s="1677"/>
      <c r="CJ57" s="1677"/>
      <c r="CK57" s="1677"/>
      <c r="CL57" s="1677"/>
      <c r="CM57" s="1677"/>
      <c r="CN57" s="1677"/>
      <c r="CO57" s="1677"/>
      <c r="CP57" s="1677"/>
      <c r="CQ57" s="1677"/>
      <c r="CR57" s="1677"/>
      <c r="CS57" s="1677"/>
      <c r="CT57" s="1677"/>
      <c r="CU57" s="1677"/>
      <c r="CV57" s="1677"/>
      <c r="CW57" s="1677"/>
      <c r="CX57" s="1677"/>
      <c r="CY57" s="1677"/>
      <c r="CZ57" s="1677"/>
      <c r="DA57" s="1677"/>
      <c r="DB57" s="1677"/>
      <c r="DC57" s="1677"/>
      <c r="DD57" s="1677"/>
      <c r="DE57" s="1677"/>
      <c r="DF57" s="1677"/>
      <c r="DG57" s="1677"/>
      <c r="DH57" s="1677"/>
      <c r="DI57" s="1677"/>
      <c r="DJ57" s="1677"/>
      <c r="DK57" s="1677"/>
      <c r="DL57" s="1677"/>
      <c r="DM57" s="1677"/>
      <c r="DN57" s="1677"/>
      <c r="DO57" s="1677"/>
      <c r="DP57" s="1677"/>
      <c r="DQ57" s="1677"/>
      <c r="DR57" s="1677"/>
      <c r="DS57" s="1677"/>
      <c r="DT57" s="1677"/>
      <c r="DU57" s="1677"/>
      <c r="DV57" s="1677"/>
      <c r="DW57" s="1677"/>
      <c r="DX57" s="1677"/>
      <c r="DY57" s="1677"/>
      <c r="DZ57" s="1677"/>
      <c r="EA57" s="1677"/>
      <c r="EB57" s="1677"/>
      <c r="EC57" s="1677"/>
      <c r="ED57" s="1677"/>
      <c r="EE57" s="1677"/>
      <c r="EF57" s="1677"/>
      <c r="EG57" s="1677"/>
      <c r="EH57" s="1677"/>
      <c r="EI57" s="1677"/>
      <c r="EJ57" s="1677"/>
      <c r="EK57" s="1677"/>
      <c r="EL57" s="1677"/>
      <c r="EM57" s="1677"/>
      <c r="EN57" s="1677"/>
      <c r="EO57" s="1677"/>
      <c r="EP57" s="1677"/>
      <c r="EQ57" s="1677"/>
      <c r="ER57" s="1677"/>
      <c r="ES57" s="1677"/>
      <c r="ET57" s="1677"/>
      <c r="EU57" s="1677"/>
      <c r="EV57" s="1677"/>
      <c r="EW57" s="1677"/>
      <c r="EX57" s="1677"/>
      <c r="EY57" s="1677"/>
      <c r="EZ57" s="1677"/>
      <c r="FA57" s="1677"/>
      <c r="FB57" s="1677"/>
      <c r="FC57" s="1677"/>
      <c r="FD57" s="1677"/>
      <c r="FE57" s="1677"/>
      <c r="FF57" s="1677"/>
      <c r="FG57" s="1677"/>
      <c r="FH57" s="1677"/>
      <c r="FI57" s="1677"/>
      <c r="FJ57" s="1677"/>
      <c r="FK57" s="1677"/>
      <c r="FL57" s="1677"/>
      <c r="FM57" s="1677"/>
      <c r="FN57" s="1677"/>
      <c r="FO57" s="1677"/>
      <c r="FP57" s="1677"/>
      <c r="FQ57" s="1677"/>
      <c r="FR57" s="1677"/>
      <c r="FS57" s="1677"/>
      <c r="FT57" s="1677"/>
      <c r="FU57" s="1677"/>
      <c r="FV57" s="1677"/>
      <c r="FW57" s="1677"/>
      <c r="FX57" s="1677"/>
      <c r="FY57" s="1677"/>
      <c r="FZ57" s="1677"/>
      <c r="GA57" s="1677"/>
      <c r="GB57" s="1677"/>
      <c r="GC57" s="1677"/>
      <c r="GD57" s="1677"/>
      <c r="GE57" s="1677"/>
      <c r="GF57" s="1677"/>
      <c r="GG57" s="1677"/>
      <c r="GH57" s="1677"/>
      <c r="GI57" s="1677"/>
      <c r="GJ57" s="1677"/>
      <c r="GK57" s="1677"/>
      <c r="GL57" s="1677"/>
      <c r="GM57" s="1677"/>
      <c r="GN57" s="1677"/>
      <c r="GO57" s="1677"/>
      <c r="GP57" s="1677"/>
      <c r="GQ57" s="1677"/>
      <c r="GR57" s="1677"/>
      <c r="GS57" s="1677"/>
      <c r="GT57" s="1677"/>
      <c r="GU57" s="1677"/>
      <c r="GV57" s="1677"/>
      <c r="GW57" s="1677"/>
      <c r="GX57" s="1677"/>
      <c r="GY57" s="1677"/>
      <c r="GZ57" s="1677"/>
      <c r="HA57" s="1677"/>
      <c r="HB57" s="1677"/>
      <c r="HC57" s="1677"/>
      <c r="HD57" s="1677"/>
      <c r="HE57" s="1677"/>
      <c r="HF57" s="1677"/>
      <c r="HG57" s="1677"/>
      <c r="HH57" s="1677"/>
      <c r="HI57" s="1677"/>
      <c r="HJ57" s="1677"/>
      <c r="HK57" s="1677"/>
      <c r="HL57" s="1677"/>
      <c r="HM57" s="1677"/>
      <c r="HN57" s="1677"/>
      <c r="HO57" s="1677"/>
      <c r="HP57" s="1677"/>
      <c r="HQ57" s="1677"/>
      <c r="HR57" s="1677"/>
      <c r="HS57" s="1677"/>
      <c r="HT57" s="1677"/>
      <c r="HU57" s="1677"/>
      <c r="HV57" s="1677"/>
      <c r="HW57" s="1677"/>
      <c r="HX57" s="1677"/>
      <c r="HY57" s="1677"/>
      <c r="HZ57" s="1677"/>
      <c r="IA57" s="1677"/>
      <c r="IB57" s="1677"/>
      <c r="IC57" s="1677"/>
      <c r="ID57" s="1677"/>
      <c r="IE57" s="1677"/>
    </row>
    <row r="58" spans="1:239" ht="14.15" customHeight="1">
      <c r="A58" s="146"/>
      <c r="B58" s="152"/>
      <c r="C58" s="152"/>
      <c r="D58" s="152"/>
      <c r="E58" s="152"/>
      <c r="F58" s="152"/>
      <c r="G58" s="152"/>
      <c r="H58" s="152"/>
      <c r="I58" s="143"/>
      <c r="J58" s="143"/>
      <c r="L58" s="1170"/>
      <c r="M58" s="1170"/>
      <c r="N58" s="639"/>
      <c r="O58" s="639"/>
      <c r="P58" s="639"/>
      <c r="Q58" s="639"/>
      <c r="S58" s="649"/>
      <c r="T58" s="639"/>
      <c r="U58" s="639"/>
      <c r="V58" s="639"/>
      <c r="W58" s="639"/>
      <c r="X58" s="639"/>
      <c r="Y58" s="639"/>
      <c r="Z58" s="639"/>
      <c r="AA58" s="639"/>
      <c r="AB58" s="639"/>
      <c r="AC58" s="639"/>
      <c r="AD58" s="639"/>
      <c r="AE58" s="639"/>
      <c r="AF58" s="639"/>
      <c r="AG58" s="639"/>
      <c r="AH58" s="639"/>
      <c r="AI58" s="639"/>
      <c r="AJ58" s="639"/>
      <c r="AK58" s="639"/>
      <c r="AL58" s="639"/>
      <c r="AM58" s="639"/>
      <c r="AN58" s="639"/>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6"/>
      <c r="EY58" s="146"/>
      <c r="EZ58" s="146"/>
      <c r="FA58" s="146"/>
      <c r="FB58" s="146"/>
      <c r="FC58" s="146"/>
      <c r="FD58" s="146"/>
      <c r="FE58" s="146"/>
      <c r="FF58" s="146"/>
      <c r="FG58" s="146"/>
      <c r="FH58" s="146"/>
      <c r="FI58" s="146"/>
      <c r="FJ58" s="146"/>
      <c r="FK58" s="146"/>
      <c r="FL58" s="146"/>
      <c r="FM58" s="146"/>
      <c r="FN58" s="146"/>
      <c r="FO58" s="146"/>
      <c r="FP58" s="146"/>
      <c r="FQ58" s="146"/>
      <c r="FR58" s="146"/>
      <c r="FS58" s="146"/>
      <c r="FT58" s="146"/>
      <c r="FU58" s="146"/>
      <c r="FV58" s="146"/>
      <c r="FW58" s="146"/>
      <c r="FX58" s="146"/>
      <c r="FY58" s="146"/>
      <c r="FZ58" s="146"/>
      <c r="GA58" s="146"/>
      <c r="GB58" s="146"/>
      <c r="GC58" s="146"/>
      <c r="GD58" s="146"/>
      <c r="GE58" s="146"/>
      <c r="GF58" s="146"/>
      <c r="GG58" s="146"/>
      <c r="GH58" s="146"/>
      <c r="GI58" s="146"/>
      <c r="GJ58" s="146"/>
      <c r="GK58" s="146"/>
      <c r="GL58" s="146"/>
      <c r="GM58" s="146"/>
      <c r="GN58" s="146"/>
      <c r="GO58" s="146"/>
      <c r="GP58" s="146"/>
      <c r="GQ58" s="146"/>
      <c r="GR58" s="146"/>
      <c r="GS58" s="146"/>
      <c r="GT58" s="146"/>
      <c r="GU58" s="146"/>
      <c r="GV58" s="146"/>
      <c r="GW58" s="146"/>
      <c r="GX58" s="146"/>
      <c r="GY58" s="146"/>
      <c r="GZ58" s="146"/>
      <c r="HA58" s="146"/>
      <c r="HB58" s="146"/>
      <c r="HC58" s="146"/>
      <c r="HD58" s="146"/>
      <c r="HE58" s="146"/>
      <c r="HF58" s="146"/>
      <c r="HG58" s="146"/>
      <c r="HH58" s="146"/>
      <c r="HI58" s="146"/>
      <c r="HJ58" s="146"/>
      <c r="HK58" s="146"/>
      <c r="HL58" s="146"/>
      <c r="HM58" s="146"/>
      <c r="HN58" s="146"/>
      <c r="HO58" s="146"/>
      <c r="HP58" s="146"/>
      <c r="HQ58" s="146"/>
      <c r="HR58" s="146"/>
      <c r="HS58" s="146"/>
      <c r="HT58" s="146"/>
      <c r="HU58" s="146"/>
      <c r="HV58" s="146"/>
      <c r="HW58" s="146"/>
      <c r="HX58" s="146"/>
      <c r="HY58" s="146"/>
      <c r="HZ58" s="146"/>
      <c r="IA58" s="146"/>
      <c r="IB58" s="146"/>
      <c r="IC58" s="146"/>
      <c r="ID58" s="146"/>
      <c r="IE58" s="146"/>
    </row>
    <row r="59" spans="1:239" ht="14.15" customHeight="1">
      <c r="A59" s="146"/>
      <c r="B59" s="152"/>
      <c r="C59" s="152"/>
      <c r="D59" s="152"/>
      <c r="E59" s="152"/>
      <c r="F59" s="152"/>
      <c r="G59" s="152"/>
      <c r="H59" s="152"/>
      <c r="I59" s="143"/>
      <c r="J59" s="143"/>
      <c r="L59" s="1170"/>
      <c r="M59" s="1170"/>
      <c r="N59" s="639"/>
      <c r="O59" s="639"/>
      <c r="P59" s="639"/>
      <c r="Q59" s="639"/>
      <c r="S59" s="649"/>
      <c r="T59" s="639"/>
      <c r="U59" s="639"/>
      <c r="V59" s="639"/>
      <c r="W59" s="639"/>
      <c r="X59" s="639"/>
      <c r="Y59" s="639"/>
      <c r="Z59" s="639"/>
      <c r="AA59" s="639"/>
      <c r="AB59" s="639"/>
      <c r="AC59" s="639"/>
      <c r="AD59" s="639"/>
      <c r="AE59" s="639"/>
      <c r="AF59" s="639"/>
      <c r="AG59" s="639"/>
      <c r="AH59" s="639"/>
      <c r="AI59" s="639"/>
      <c r="AJ59" s="639"/>
      <c r="AK59" s="639"/>
      <c r="AL59" s="639"/>
      <c r="AM59" s="639"/>
      <c r="AN59" s="639"/>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c r="FD59" s="146"/>
      <c r="FE59" s="146"/>
      <c r="FF59" s="146"/>
      <c r="FG59" s="146"/>
      <c r="FH59" s="146"/>
      <c r="FI59" s="146"/>
      <c r="FJ59" s="146"/>
      <c r="FK59" s="146"/>
      <c r="FL59" s="146"/>
      <c r="FM59" s="146"/>
      <c r="FN59" s="146"/>
      <c r="FO59" s="146"/>
      <c r="FP59" s="146"/>
      <c r="FQ59" s="146"/>
      <c r="FR59" s="146"/>
      <c r="FS59" s="146"/>
      <c r="FT59" s="146"/>
      <c r="FU59" s="146"/>
      <c r="FV59" s="146"/>
      <c r="FW59" s="146"/>
      <c r="FX59" s="146"/>
      <c r="FY59" s="146"/>
      <c r="FZ59" s="146"/>
      <c r="GA59" s="146"/>
      <c r="GB59" s="146"/>
      <c r="GC59" s="146"/>
      <c r="GD59" s="146"/>
      <c r="GE59" s="146"/>
      <c r="GF59" s="146"/>
      <c r="GG59" s="146"/>
      <c r="GH59" s="146"/>
      <c r="GI59" s="146"/>
      <c r="GJ59" s="146"/>
      <c r="GK59" s="146"/>
      <c r="GL59" s="146"/>
      <c r="GM59" s="146"/>
      <c r="GN59" s="146"/>
      <c r="GO59" s="146"/>
      <c r="GP59" s="146"/>
      <c r="GQ59" s="146"/>
      <c r="GR59" s="146"/>
      <c r="GS59" s="146"/>
      <c r="GT59" s="146"/>
      <c r="GU59" s="146"/>
      <c r="GV59" s="146"/>
      <c r="GW59" s="146"/>
      <c r="GX59" s="146"/>
      <c r="GY59" s="146"/>
      <c r="GZ59" s="146"/>
      <c r="HA59" s="146"/>
      <c r="HB59" s="146"/>
      <c r="HC59" s="146"/>
      <c r="HD59" s="146"/>
      <c r="HE59" s="146"/>
      <c r="HF59" s="146"/>
      <c r="HG59" s="146"/>
      <c r="HH59" s="146"/>
      <c r="HI59" s="146"/>
      <c r="HJ59" s="146"/>
      <c r="HK59" s="146"/>
      <c r="HL59" s="146"/>
      <c r="HM59" s="146"/>
      <c r="HN59" s="146"/>
      <c r="HO59" s="146"/>
      <c r="HP59" s="146"/>
      <c r="HQ59" s="146"/>
      <c r="HR59" s="146"/>
      <c r="HS59" s="146"/>
      <c r="HT59" s="146"/>
      <c r="HU59" s="146"/>
      <c r="HV59" s="146"/>
      <c r="HW59" s="146"/>
      <c r="HX59" s="146"/>
      <c r="HY59" s="146"/>
      <c r="HZ59" s="146"/>
      <c r="IA59" s="146"/>
      <c r="IB59" s="146"/>
      <c r="IC59" s="146"/>
      <c r="ID59" s="146"/>
      <c r="IE59" s="146"/>
    </row>
    <row r="60" spans="1:239" ht="14.15" customHeight="1">
      <c r="A60" s="146"/>
      <c r="B60" s="152"/>
      <c r="C60" s="152"/>
      <c r="D60" s="152"/>
      <c r="E60" s="152"/>
      <c r="F60" s="152"/>
      <c r="G60" s="152"/>
      <c r="H60" s="152"/>
      <c r="I60" s="143"/>
      <c r="J60" s="143"/>
      <c r="L60" s="1170"/>
      <c r="M60" s="1170"/>
      <c r="N60" s="639"/>
      <c r="O60" s="639"/>
      <c r="P60" s="639"/>
      <c r="Q60" s="639"/>
      <c r="S60" s="649"/>
      <c r="T60" s="639"/>
      <c r="U60" s="639"/>
      <c r="V60" s="639"/>
      <c r="W60" s="639"/>
      <c r="X60" s="639"/>
      <c r="Y60" s="639"/>
      <c r="Z60" s="639"/>
      <c r="AA60" s="639"/>
      <c r="AB60" s="639"/>
      <c r="AC60" s="639"/>
      <c r="AD60" s="639"/>
      <c r="AE60" s="639"/>
      <c r="AF60" s="639"/>
      <c r="AG60" s="639"/>
      <c r="AH60" s="639"/>
      <c r="AI60" s="639"/>
      <c r="AJ60" s="639"/>
      <c r="AK60" s="639"/>
      <c r="AL60" s="639"/>
      <c r="AM60" s="639"/>
      <c r="AN60" s="639"/>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6"/>
      <c r="EU60" s="146"/>
      <c r="EV60" s="146"/>
      <c r="EW60" s="146"/>
      <c r="EX60" s="146"/>
      <c r="EY60" s="146"/>
      <c r="EZ60" s="146"/>
      <c r="FA60" s="146"/>
      <c r="FB60" s="146"/>
      <c r="FC60" s="146"/>
      <c r="FD60" s="146"/>
      <c r="FE60" s="146"/>
      <c r="FF60" s="146"/>
      <c r="FG60" s="146"/>
      <c r="FH60" s="146"/>
      <c r="FI60" s="146"/>
      <c r="FJ60" s="146"/>
      <c r="FK60" s="146"/>
      <c r="FL60" s="146"/>
      <c r="FM60" s="146"/>
      <c r="FN60" s="146"/>
      <c r="FO60" s="146"/>
      <c r="FP60" s="146"/>
      <c r="FQ60" s="146"/>
      <c r="FR60" s="146"/>
      <c r="FS60" s="146"/>
      <c r="FT60" s="146"/>
      <c r="FU60" s="146"/>
      <c r="FV60" s="146"/>
      <c r="FW60" s="146"/>
      <c r="FX60" s="146"/>
      <c r="FY60" s="146"/>
      <c r="FZ60" s="146"/>
      <c r="GA60" s="146"/>
      <c r="GB60" s="146"/>
      <c r="GC60" s="146"/>
      <c r="GD60" s="146"/>
      <c r="GE60" s="146"/>
      <c r="GF60" s="146"/>
      <c r="GG60" s="146"/>
      <c r="GH60" s="146"/>
      <c r="GI60" s="146"/>
      <c r="GJ60" s="146"/>
      <c r="GK60" s="146"/>
      <c r="GL60" s="146"/>
      <c r="GM60" s="146"/>
      <c r="GN60" s="146"/>
      <c r="GO60" s="146"/>
      <c r="GP60" s="146"/>
      <c r="GQ60" s="146"/>
      <c r="GR60" s="146"/>
      <c r="GS60" s="146"/>
      <c r="GT60" s="146"/>
      <c r="GU60" s="146"/>
      <c r="GV60" s="146"/>
      <c r="GW60" s="146"/>
      <c r="GX60" s="146"/>
      <c r="GY60" s="146"/>
      <c r="GZ60" s="146"/>
      <c r="HA60" s="146"/>
      <c r="HB60" s="146"/>
      <c r="HC60" s="146"/>
      <c r="HD60" s="146"/>
      <c r="HE60" s="146"/>
      <c r="HF60" s="146"/>
      <c r="HG60" s="146"/>
      <c r="HH60" s="146"/>
      <c r="HI60" s="146"/>
      <c r="HJ60" s="146"/>
      <c r="HK60" s="146"/>
      <c r="HL60" s="146"/>
      <c r="HM60" s="146"/>
      <c r="HN60" s="146"/>
      <c r="HO60" s="146"/>
      <c r="HP60" s="146"/>
      <c r="HQ60" s="146"/>
      <c r="HR60" s="146"/>
      <c r="HS60" s="146"/>
      <c r="HT60" s="146"/>
      <c r="HU60" s="146"/>
      <c r="HV60" s="146"/>
      <c r="HW60" s="146"/>
      <c r="HX60" s="146"/>
      <c r="HY60" s="146"/>
      <c r="HZ60" s="146"/>
      <c r="IA60" s="146"/>
      <c r="IB60" s="146"/>
      <c r="IC60" s="146"/>
      <c r="ID60" s="146"/>
      <c r="IE60" s="146"/>
    </row>
    <row r="61" spans="1:239" ht="14.15" customHeight="1">
      <c r="A61" s="146"/>
      <c r="B61" s="152"/>
      <c r="C61" s="152"/>
      <c r="D61" s="152"/>
      <c r="E61" s="152"/>
      <c r="F61" s="152"/>
      <c r="G61" s="152"/>
      <c r="H61" s="152"/>
      <c r="I61" s="143"/>
      <c r="J61" s="143"/>
      <c r="L61" s="1170"/>
      <c r="M61" s="1170"/>
      <c r="N61" s="639"/>
      <c r="O61" s="639"/>
      <c r="P61" s="639"/>
      <c r="Q61" s="639"/>
      <c r="S61" s="649"/>
      <c r="T61" s="639"/>
      <c r="U61" s="639"/>
      <c r="V61" s="639"/>
      <c r="W61" s="639"/>
      <c r="X61" s="639"/>
      <c r="Y61" s="639"/>
      <c r="Z61" s="639"/>
      <c r="AA61" s="639"/>
      <c r="AB61" s="639"/>
      <c r="AC61" s="639"/>
      <c r="AD61" s="639"/>
      <c r="AE61" s="639"/>
      <c r="AF61" s="639"/>
      <c r="AG61" s="639"/>
      <c r="AH61" s="639"/>
      <c r="AI61" s="639"/>
      <c r="AJ61" s="639"/>
      <c r="AK61" s="639"/>
      <c r="AL61" s="639"/>
      <c r="AM61" s="639"/>
      <c r="AN61" s="639"/>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6"/>
      <c r="EU61" s="146"/>
      <c r="EV61" s="146"/>
      <c r="EW61" s="146"/>
      <c r="EX61" s="146"/>
      <c r="EY61" s="146"/>
      <c r="EZ61" s="146"/>
      <c r="FA61" s="146"/>
      <c r="FB61" s="146"/>
      <c r="FC61" s="146"/>
      <c r="FD61" s="146"/>
      <c r="FE61" s="146"/>
      <c r="FF61" s="146"/>
      <c r="FG61" s="146"/>
      <c r="FH61" s="146"/>
      <c r="FI61" s="146"/>
      <c r="FJ61" s="146"/>
      <c r="FK61" s="146"/>
      <c r="FL61" s="146"/>
      <c r="FM61" s="146"/>
      <c r="FN61" s="146"/>
      <c r="FO61" s="146"/>
      <c r="FP61" s="146"/>
      <c r="FQ61" s="146"/>
      <c r="FR61" s="146"/>
      <c r="FS61" s="146"/>
      <c r="FT61" s="146"/>
      <c r="FU61" s="146"/>
      <c r="FV61" s="146"/>
      <c r="FW61" s="146"/>
      <c r="FX61" s="146"/>
      <c r="FY61" s="146"/>
      <c r="FZ61" s="146"/>
      <c r="GA61" s="146"/>
      <c r="GB61" s="146"/>
      <c r="GC61" s="146"/>
      <c r="GD61" s="146"/>
      <c r="GE61" s="146"/>
      <c r="GF61" s="146"/>
      <c r="GG61" s="146"/>
      <c r="GH61" s="146"/>
      <c r="GI61" s="146"/>
      <c r="GJ61" s="146"/>
      <c r="GK61" s="146"/>
      <c r="GL61" s="146"/>
      <c r="GM61" s="146"/>
      <c r="GN61" s="146"/>
      <c r="GO61" s="146"/>
      <c r="GP61" s="146"/>
      <c r="GQ61" s="146"/>
      <c r="GR61" s="146"/>
      <c r="GS61" s="146"/>
      <c r="GT61" s="146"/>
      <c r="GU61" s="146"/>
      <c r="GV61" s="146"/>
      <c r="GW61" s="146"/>
      <c r="GX61" s="146"/>
      <c r="GY61" s="146"/>
      <c r="GZ61" s="146"/>
      <c r="HA61" s="146"/>
      <c r="HB61" s="146"/>
      <c r="HC61" s="146"/>
      <c r="HD61" s="146"/>
      <c r="HE61" s="146"/>
      <c r="HF61" s="146"/>
      <c r="HG61" s="146"/>
      <c r="HH61" s="146"/>
      <c r="HI61" s="146"/>
      <c r="HJ61" s="146"/>
      <c r="HK61" s="146"/>
      <c r="HL61" s="146"/>
      <c r="HM61" s="146"/>
      <c r="HN61" s="146"/>
      <c r="HO61" s="146"/>
      <c r="HP61" s="146"/>
      <c r="HQ61" s="146"/>
      <c r="HR61" s="146"/>
      <c r="HS61" s="146"/>
      <c r="HT61" s="146"/>
      <c r="HU61" s="146"/>
      <c r="HV61" s="146"/>
      <c r="HW61" s="146"/>
      <c r="HX61" s="146"/>
      <c r="HY61" s="146"/>
      <c r="HZ61" s="146"/>
      <c r="IA61" s="146"/>
      <c r="IB61" s="146"/>
      <c r="IC61" s="146"/>
      <c r="ID61" s="146"/>
      <c r="IE61" s="146"/>
    </row>
    <row r="62" spans="1:239" ht="14.15" customHeight="1">
      <c r="A62" s="146"/>
      <c r="B62" s="152"/>
      <c r="C62" s="152"/>
      <c r="D62" s="152"/>
      <c r="E62" s="152"/>
      <c r="F62" s="152"/>
      <c r="G62" s="152"/>
      <c r="H62" s="152"/>
      <c r="I62" s="143"/>
      <c r="J62" s="143"/>
      <c r="L62" s="1170"/>
      <c r="M62" s="1170"/>
      <c r="N62" s="639"/>
      <c r="O62" s="639"/>
      <c r="P62" s="639"/>
      <c r="Q62" s="639"/>
      <c r="S62" s="649"/>
      <c r="T62" s="639"/>
      <c r="U62" s="639"/>
      <c r="V62" s="639"/>
      <c r="W62" s="639"/>
      <c r="X62" s="639"/>
      <c r="Y62" s="639"/>
      <c r="Z62" s="639"/>
      <c r="AA62" s="639"/>
      <c r="AB62" s="639"/>
      <c r="AC62" s="639"/>
      <c r="AD62" s="639"/>
      <c r="AE62" s="639"/>
      <c r="AF62" s="639"/>
      <c r="AG62" s="639"/>
      <c r="AH62" s="639"/>
      <c r="AI62" s="639"/>
      <c r="AJ62" s="639"/>
      <c r="AK62" s="639"/>
      <c r="AL62" s="639"/>
      <c r="AM62" s="639"/>
      <c r="AN62" s="639"/>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6"/>
      <c r="EE62" s="146"/>
      <c r="EF62" s="146"/>
      <c r="EG62" s="146"/>
      <c r="EH62" s="146"/>
      <c r="EI62" s="146"/>
      <c r="EJ62" s="146"/>
      <c r="EK62" s="146"/>
      <c r="EL62" s="146"/>
      <c r="EM62" s="146"/>
      <c r="EN62" s="146"/>
      <c r="EO62" s="146"/>
      <c r="EP62" s="146"/>
      <c r="EQ62" s="146"/>
      <c r="ER62" s="146"/>
      <c r="ES62" s="146"/>
      <c r="ET62" s="146"/>
      <c r="EU62" s="146"/>
      <c r="EV62" s="146"/>
      <c r="EW62" s="146"/>
      <c r="EX62" s="146"/>
      <c r="EY62" s="146"/>
      <c r="EZ62" s="146"/>
      <c r="FA62" s="146"/>
      <c r="FB62" s="146"/>
      <c r="FC62" s="146"/>
      <c r="FD62" s="146"/>
      <c r="FE62" s="146"/>
      <c r="FF62" s="146"/>
      <c r="FG62" s="146"/>
      <c r="FH62" s="146"/>
      <c r="FI62" s="146"/>
      <c r="FJ62" s="146"/>
      <c r="FK62" s="146"/>
      <c r="FL62" s="146"/>
      <c r="FM62" s="146"/>
      <c r="FN62" s="146"/>
      <c r="FO62" s="146"/>
      <c r="FP62" s="146"/>
      <c r="FQ62" s="146"/>
      <c r="FR62" s="146"/>
      <c r="FS62" s="146"/>
      <c r="FT62" s="146"/>
      <c r="FU62" s="146"/>
      <c r="FV62" s="146"/>
      <c r="FW62" s="146"/>
      <c r="FX62" s="146"/>
      <c r="FY62" s="146"/>
      <c r="FZ62" s="146"/>
      <c r="GA62" s="146"/>
      <c r="GB62" s="146"/>
      <c r="GC62" s="146"/>
      <c r="GD62" s="146"/>
      <c r="GE62" s="146"/>
      <c r="GF62" s="146"/>
      <c r="GG62" s="146"/>
      <c r="GH62" s="146"/>
      <c r="GI62" s="146"/>
      <c r="GJ62" s="146"/>
      <c r="GK62" s="146"/>
      <c r="GL62" s="146"/>
      <c r="GM62" s="146"/>
      <c r="GN62" s="146"/>
      <c r="GO62" s="146"/>
      <c r="GP62" s="146"/>
      <c r="GQ62" s="146"/>
      <c r="GR62" s="146"/>
      <c r="GS62" s="146"/>
      <c r="GT62" s="146"/>
      <c r="GU62" s="146"/>
      <c r="GV62" s="146"/>
      <c r="GW62" s="146"/>
      <c r="GX62" s="146"/>
      <c r="GY62" s="146"/>
      <c r="GZ62" s="146"/>
      <c r="HA62" s="146"/>
      <c r="HB62" s="146"/>
      <c r="HC62" s="146"/>
      <c r="HD62" s="146"/>
      <c r="HE62" s="146"/>
      <c r="HF62" s="146"/>
      <c r="HG62" s="146"/>
      <c r="HH62" s="146"/>
      <c r="HI62" s="146"/>
      <c r="HJ62" s="146"/>
      <c r="HK62" s="146"/>
      <c r="HL62" s="146"/>
      <c r="HM62" s="146"/>
      <c r="HN62" s="146"/>
      <c r="HO62" s="146"/>
      <c r="HP62" s="146"/>
      <c r="HQ62" s="146"/>
      <c r="HR62" s="146"/>
      <c r="HS62" s="146"/>
      <c r="HT62" s="146"/>
      <c r="HU62" s="146"/>
      <c r="HV62" s="146"/>
      <c r="HW62" s="146"/>
      <c r="HX62" s="146"/>
      <c r="HY62" s="146"/>
      <c r="HZ62" s="146"/>
      <c r="IA62" s="146"/>
      <c r="IB62" s="146"/>
      <c r="IC62" s="146"/>
      <c r="ID62" s="146"/>
      <c r="IE62" s="146"/>
    </row>
    <row r="63" spans="1:239" ht="14.15" customHeight="1">
      <c r="A63" s="146"/>
      <c r="B63" s="152"/>
      <c r="C63" s="152"/>
      <c r="D63" s="152"/>
      <c r="E63" s="152"/>
      <c r="F63" s="152"/>
      <c r="G63" s="152"/>
      <c r="H63" s="152"/>
      <c r="I63" s="143"/>
      <c r="J63" s="143"/>
      <c r="L63" s="1170"/>
      <c r="M63" s="1170"/>
      <c r="N63" s="639"/>
      <c r="O63" s="639"/>
      <c r="P63" s="639"/>
      <c r="Q63" s="639"/>
      <c r="S63" s="649"/>
      <c r="T63" s="639"/>
      <c r="U63" s="639"/>
      <c r="V63" s="639"/>
      <c r="W63" s="639"/>
      <c r="X63" s="639"/>
      <c r="Y63" s="639"/>
      <c r="Z63" s="639"/>
      <c r="AA63" s="639"/>
      <c r="AB63" s="639"/>
      <c r="AC63" s="639"/>
      <c r="AD63" s="639"/>
      <c r="AE63" s="639"/>
      <c r="AF63" s="639"/>
      <c r="AG63" s="639"/>
      <c r="AH63" s="639"/>
      <c r="AI63" s="639"/>
      <c r="AJ63" s="639"/>
      <c r="AK63" s="639"/>
      <c r="AL63" s="639"/>
      <c r="AM63" s="639"/>
      <c r="AN63" s="639"/>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c r="CQ63" s="146"/>
      <c r="CR63" s="146"/>
      <c r="CS63" s="146"/>
      <c r="CT63" s="146"/>
      <c r="CU63" s="146"/>
      <c r="CV63" s="146"/>
      <c r="CW63" s="146"/>
      <c r="CX63" s="146"/>
      <c r="CY63" s="146"/>
      <c r="CZ63" s="146"/>
      <c r="DA63" s="146"/>
      <c r="DB63" s="146"/>
      <c r="DC63" s="146"/>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6"/>
      <c r="EC63" s="146"/>
      <c r="ED63" s="146"/>
      <c r="EE63" s="146"/>
      <c r="EF63" s="146"/>
      <c r="EG63" s="146"/>
      <c r="EH63" s="146"/>
      <c r="EI63" s="146"/>
      <c r="EJ63" s="146"/>
      <c r="EK63" s="146"/>
      <c r="EL63" s="146"/>
      <c r="EM63" s="146"/>
      <c r="EN63" s="146"/>
      <c r="EO63" s="146"/>
      <c r="EP63" s="146"/>
      <c r="EQ63" s="146"/>
      <c r="ER63" s="146"/>
      <c r="ES63" s="146"/>
      <c r="ET63" s="146"/>
      <c r="EU63" s="146"/>
      <c r="EV63" s="146"/>
      <c r="EW63" s="146"/>
      <c r="EX63" s="146"/>
      <c r="EY63" s="146"/>
      <c r="EZ63" s="146"/>
      <c r="FA63" s="146"/>
      <c r="FB63" s="146"/>
      <c r="FC63" s="146"/>
      <c r="FD63" s="146"/>
      <c r="FE63" s="146"/>
      <c r="FF63" s="146"/>
      <c r="FG63" s="146"/>
      <c r="FH63" s="146"/>
      <c r="FI63" s="146"/>
      <c r="FJ63" s="146"/>
      <c r="FK63" s="146"/>
      <c r="FL63" s="146"/>
      <c r="FM63" s="146"/>
      <c r="FN63" s="146"/>
      <c r="FO63" s="146"/>
      <c r="FP63" s="146"/>
      <c r="FQ63" s="146"/>
      <c r="FR63" s="146"/>
      <c r="FS63" s="146"/>
      <c r="FT63" s="146"/>
      <c r="FU63" s="146"/>
      <c r="FV63" s="146"/>
      <c r="FW63" s="146"/>
      <c r="FX63" s="146"/>
      <c r="FY63" s="146"/>
      <c r="FZ63" s="146"/>
      <c r="GA63" s="146"/>
      <c r="GB63" s="146"/>
      <c r="GC63" s="146"/>
      <c r="GD63" s="146"/>
      <c r="GE63" s="146"/>
      <c r="GF63" s="146"/>
      <c r="GG63" s="146"/>
      <c r="GH63" s="146"/>
      <c r="GI63" s="146"/>
      <c r="GJ63" s="146"/>
      <c r="GK63" s="146"/>
      <c r="GL63" s="146"/>
      <c r="GM63" s="146"/>
      <c r="GN63" s="146"/>
      <c r="GO63" s="146"/>
      <c r="GP63" s="146"/>
      <c r="GQ63" s="146"/>
      <c r="GR63" s="146"/>
      <c r="GS63" s="146"/>
      <c r="GT63" s="146"/>
      <c r="GU63" s="146"/>
      <c r="GV63" s="146"/>
      <c r="GW63" s="146"/>
      <c r="GX63" s="146"/>
      <c r="GY63" s="146"/>
      <c r="GZ63" s="146"/>
      <c r="HA63" s="146"/>
      <c r="HB63" s="146"/>
      <c r="HC63" s="146"/>
      <c r="HD63" s="146"/>
      <c r="HE63" s="146"/>
      <c r="HF63" s="146"/>
      <c r="HG63" s="146"/>
      <c r="HH63" s="146"/>
      <c r="HI63" s="146"/>
      <c r="HJ63" s="146"/>
      <c r="HK63" s="146"/>
      <c r="HL63" s="146"/>
      <c r="HM63" s="146"/>
      <c r="HN63" s="146"/>
      <c r="HO63" s="146"/>
      <c r="HP63" s="146"/>
      <c r="HQ63" s="146"/>
      <c r="HR63" s="146"/>
      <c r="HS63" s="146"/>
      <c r="HT63" s="146"/>
      <c r="HU63" s="146"/>
      <c r="HV63" s="146"/>
      <c r="HW63" s="146"/>
      <c r="HX63" s="146"/>
      <c r="HY63" s="146"/>
      <c r="HZ63" s="146"/>
      <c r="IA63" s="146"/>
      <c r="IB63" s="146"/>
      <c r="IC63" s="146"/>
      <c r="ID63" s="146"/>
      <c r="IE63" s="146"/>
    </row>
    <row r="64" spans="1:239" ht="14.15" customHeight="1">
      <c r="A64" s="146"/>
      <c r="B64" s="152"/>
      <c r="C64" s="152"/>
      <c r="D64" s="152"/>
      <c r="E64" s="152"/>
      <c r="F64" s="152"/>
      <c r="G64" s="152"/>
      <c r="H64" s="152"/>
      <c r="I64" s="143"/>
      <c r="J64" s="143"/>
      <c r="L64" s="1170"/>
      <c r="M64" s="1170"/>
      <c r="N64" s="639"/>
      <c r="O64" s="639"/>
      <c r="P64" s="639"/>
      <c r="Q64" s="639"/>
      <c r="S64" s="649"/>
      <c r="T64" s="639"/>
      <c r="U64" s="639"/>
      <c r="V64" s="639"/>
      <c r="W64" s="639"/>
      <c r="X64" s="639"/>
      <c r="Y64" s="639"/>
      <c r="Z64" s="639"/>
      <c r="AA64" s="639"/>
      <c r="AB64" s="639"/>
      <c r="AC64" s="639"/>
      <c r="AD64" s="639"/>
      <c r="AE64" s="639"/>
      <c r="AF64" s="639"/>
      <c r="AG64" s="639"/>
      <c r="AH64" s="639"/>
      <c r="AI64" s="639"/>
      <c r="AJ64" s="639"/>
      <c r="AK64" s="639"/>
      <c r="AL64" s="639"/>
      <c r="AM64" s="639"/>
      <c r="AN64" s="639"/>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c r="EA64" s="146"/>
      <c r="EB64" s="146"/>
      <c r="EC64" s="146"/>
      <c r="ED64" s="146"/>
      <c r="EE64" s="146"/>
      <c r="EF64" s="146"/>
      <c r="EG64" s="146"/>
      <c r="EH64" s="146"/>
      <c r="EI64" s="146"/>
      <c r="EJ64" s="146"/>
      <c r="EK64" s="146"/>
      <c r="EL64" s="146"/>
      <c r="EM64" s="146"/>
      <c r="EN64" s="146"/>
      <c r="EO64" s="146"/>
      <c r="EP64" s="146"/>
      <c r="EQ64" s="146"/>
      <c r="ER64" s="146"/>
      <c r="ES64" s="146"/>
      <c r="ET64" s="146"/>
      <c r="EU64" s="146"/>
      <c r="EV64" s="146"/>
      <c r="EW64" s="146"/>
      <c r="EX64" s="146"/>
      <c r="EY64" s="146"/>
      <c r="EZ64" s="146"/>
      <c r="FA64" s="146"/>
      <c r="FB64" s="146"/>
      <c r="FC64" s="146"/>
      <c r="FD64" s="146"/>
      <c r="FE64" s="146"/>
      <c r="FF64" s="146"/>
      <c r="FG64" s="146"/>
      <c r="FH64" s="146"/>
      <c r="FI64" s="146"/>
      <c r="FJ64" s="146"/>
      <c r="FK64" s="146"/>
      <c r="FL64" s="146"/>
      <c r="FM64" s="146"/>
      <c r="FN64" s="146"/>
      <c r="FO64" s="146"/>
      <c r="FP64" s="146"/>
      <c r="FQ64" s="146"/>
      <c r="FR64" s="146"/>
      <c r="FS64" s="146"/>
      <c r="FT64" s="146"/>
      <c r="FU64" s="146"/>
      <c r="FV64" s="146"/>
      <c r="FW64" s="146"/>
      <c r="FX64" s="146"/>
      <c r="FY64" s="146"/>
      <c r="FZ64" s="146"/>
      <c r="GA64" s="146"/>
      <c r="GB64" s="146"/>
      <c r="GC64" s="146"/>
      <c r="GD64" s="146"/>
      <c r="GE64" s="146"/>
      <c r="GF64" s="146"/>
      <c r="GG64" s="146"/>
      <c r="GH64" s="146"/>
      <c r="GI64" s="146"/>
      <c r="GJ64" s="146"/>
      <c r="GK64" s="146"/>
      <c r="GL64" s="146"/>
      <c r="GM64" s="146"/>
      <c r="GN64" s="146"/>
      <c r="GO64" s="146"/>
      <c r="GP64" s="146"/>
      <c r="GQ64" s="146"/>
      <c r="GR64" s="146"/>
      <c r="GS64" s="146"/>
      <c r="GT64" s="146"/>
      <c r="GU64" s="146"/>
      <c r="GV64" s="146"/>
      <c r="GW64" s="146"/>
      <c r="GX64" s="146"/>
      <c r="GY64" s="146"/>
      <c r="GZ64" s="146"/>
      <c r="HA64" s="146"/>
      <c r="HB64" s="146"/>
      <c r="HC64" s="146"/>
      <c r="HD64" s="146"/>
      <c r="HE64" s="146"/>
      <c r="HF64" s="146"/>
      <c r="HG64" s="146"/>
      <c r="HH64" s="146"/>
      <c r="HI64" s="146"/>
      <c r="HJ64" s="146"/>
      <c r="HK64" s="146"/>
      <c r="HL64" s="146"/>
      <c r="HM64" s="146"/>
      <c r="HN64" s="146"/>
      <c r="HO64" s="146"/>
      <c r="HP64" s="146"/>
      <c r="HQ64" s="146"/>
      <c r="HR64" s="146"/>
      <c r="HS64" s="146"/>
      <c r="HT64" s="146"/>
      <c r="HU64" s="146"/>
      <c r="HV64" s="146"/>
      <c r="HW64" s="146"/>
      <c r="HX64" s="146"/>
      <c r="HY64" s="146"/>
      <c r="HZ64" s="146"/>
      <c r="IA64" s="146"/>
      <c r="IB64" s="146"/>
      <c r="IC64" s="146"/>
      <c r="ID64" s="146"/>
      <c r="IE64" s="146"/>
    </row>
    <row r="65" spans="1:239" ht="14.15" customHeight="1">
      <c r="A65" s="146"/>
      <c r="B65" s="152"/>
      <c r="C65" s="152"/>
      <c r="D65" s="152"/>
      <c r="E65" s="152"/>
      <c r="F65" s="152"/>
      <c r="G65" s="152"/>
      <c r="H65" s="152"/>
      <c r="I65" s="143"/>
      <c r="J65" s="143"/>
      <c r="L65" s="1170"/>
      <c r="M65" s="1170"/>
      <c r="N65" s="639"/>
      <c r="O65" s="639"/>
      <c r="P65" s="639"/>
      <c r="Q65" s="639"/>
      <c r="S65" s="649"/>
      <c r="T65" s="639"/>
      <c r="U65" s="639"/>
      <c r="V65" s="639"/>
      <c r="W65" s="639"/>
      <c r="X65" s="639"/>
      <c r="Y65" s="639"/>
      <c r="Z65" s="639"/>
      <c r="AA65" s="639"/>
      <c r="AB65" s="639"/>
      <c r="AC65" s="639"/>
      <c r="AD65" s="639"/>
      <c r="AE65" s="639"/>
      <c r="AF65" s="639"/>
      <c r="AG65" s="639"/>
      <c r="AH65" s="639"/>
      <c r="AI65" s="639"/>
      <c r="AJ65" s="639"/>
      <c r="AK65" s="639"/>
      <c r="AL65" s="639"/>
      <c r="AM65" s="639"/>
      <c r="AN65" s="639"/>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46"/>
      <c r="EE65" s="146"/>
      <c r="EF65" s="146"/>
      <c r="EG65" s="146"/>
      <c r="EH65" s="146"/>
      <c r="EI65" s="146"/>
      <c r="EJ65" s="146"/>
      <c r="EK65" s="146"/>
      <c r="EL65" s="146"/>
      <c r="EM65" s="146"/>
      <c r="EN65" s="146"/>
      <c r="EO65" s="146"/>
      <c r="EP65" s="146"/>
      <c r="EQ65" s="146"/>
      <c r="ER65" s="146"/>
      <c r="ES65" s="146"/>
      <c r="ET65" s="146"/>
      <c r="EU65" s="146"/>
      <c r="EV65" s="146"/>
      <c r="EW65" s="146"/>
      <c r="EX65" s="146"/>
      <c r="EY65" s="146"/>
      <c r="EZ65" s="146"/>
      <c r="FA65" s="146"/>
      <c r="FB65" s="146"/>
      <c r="FC65" s="146"/>
      <c r="FD65" s="146"/>
      <c r="FE65" s="146"/>
      <c r="FF65" s="146"/>
      <c r="FG65" s="146"/>
      <c r="FH65" s="146"/>
      <c r="FI65" s="146"/>
      <c r="FJ65" s="146"/>
      <c r="FK65" s="146"/>
      <c r="FL65" s="146"/>
      <c r="FM65" s="146"/>
      <c r="FN65" s="146"/>
      <c r="FO65" s="146"/>
      <c r="FP65" s="146"/>
      <c r="FQ65" s="146"/>
      <c r="FR65" s="146"/>
      <c r="FS65" s="146"/>
      <c r="FT65" s="146"/>
      <c r="FU65" s="146"/>
      <c r="FV65" s="146"/>
      <c r="FW65" s="146"/>
      <c r="FX65" s="146"/>
      <c r="FY65" s="146"/>
      <c r="FZ65" s="146"/>
      <c r="GA65" s="146"/>
      <c r="GB65" s="146"/>
      <c r="GC65" s="146"/>
      <c r="GD65" s="146"/>
      <c r="GE65" s="146"/>
      <c r="GF65" s="146"/>
      <c r="GG65" s="146"/>
      <c r="GH65" s="146"/>
      <c r="GI65" s="146"/>
      <c r="GJ65" s="146"/>
      <c r="GK65" s="146"/>
      <c r="GL65" s="146"/>
      <c r="GM65" s="146"/>
      <c r="GN65" s="146"/>
      <c r="GO65" s="146"/>
      <c r="GP65" s="146"/>
      <c r="GQ65" s="146"/>
      <c r="GR65" s="146"/>
      <c r="GS65" s="146"/>
      <c r="GT65" s="146"/>
      <c r="GU65" s="146"/>
      <c r="GV65" s="146"/>
      <c r="GW65" s="146"/>
      <c r="GX65" s="146"/>
      <c r="GY65" s="146"/>
      <c r="GZ65" s="146"/>
      <c r="HA65" s="146"/>
      <c r="HB65" s="146"/>
      <c r="HC65" s="146"/>
      <c r="HD65" s="146"/>
      <c r="HE65" s="146"/>
      <c r="HF65" s="146"/>
      <c r="HG65" s="146"/>
      <c r="HH65" s="146"/>
      <c r="HI65" s="146"/>
      <c r="HJ65" s="146"/>
      <c r="HK65" s="146"/>
      <c r="HL65" s="146"/>
      <c r="HM65" s="146"/>
      <c r="HN65" s="146"/>
      <c r="HO65" s="146"/>
      <c r="HP65" s="146"/>
      <c r="HQ65" s="146"/>
      <c r="HR65" s="146"/>
      <c r="HS65" s="146"/>
      <c r="HT65" s="146"/>
      <c r="HU65" s="146"/>
      <c r="HV65" s="146"/>
      <c r="HW65" s="146"/>
      <c r="HX65" s="146"/>
      <c r="HY65" s="146"/>
      <c r="HZ65" s="146"/>
      <c r="IA65" s="146"/>
      <c r="IB65" s="146"/>
      <c r="IC65" s="146"/>
      <c r="ID65" s="146"/>
      <c r="IE65" s="146"/>
    </row>
    <row r="66" spans="1:239" ht="14.15" customHeight="1">
      <c r="A66" s="146"/>
      <c r="B66" s="152"/>
      <c r="C66" s="152"/>
      <c r="D66" s="152"/>
      <c r="E66" s="152"/>
      <c r="F66" s="152"/>
      <c r="G66" s="152"/>
      <c r="H66" s="152"/>
      <c r="I66" s="143"/>
      <c r="J66" s="143"/>
      <c r="L66" s="1170"/>
      <c r="M66" s="1170"/>
      <c r="N66" s="639"/>
      <c r="O66" s="639"/>
      <c r="P66" s="639"/>
      <c r="Q66" s="639"/>
      <c r="S66" s="649"/>
      <c r="T66" s="639"/>
      <c r="U66" s="639"/>
      <c r="V66" s="639"/>
      <c r="W66" s="639"/>
      <c r="X66" s="639"/>
      <c r="Y66" s="639"/>
      <c r="Z66" s="639"/>
      <c r="AA66" s="639"/>
      <c r="AB66" s="639"/>
      <c r="AC66" s="639"/>
      <c r="AD66" s="639"/>
      <c r="AE66" s="639"/>
      <c r="AF66" s="639"/>
      <c r="AG66" s="639"/>
      <c r="AH66" s="639"/>
      <c r="AI66" s="639"/>
      <c r="AJ66" s="639"/>
      <c r="AK66" s="639"/>
      <c r="AL66" s="639"/>
      <c r="AM66" s="639"/>
      <c r="AN66" s="639"/>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6"/>
      <c r="FF66" s="146"/>
      <c r="FG66" s="146"/>
      <c r="FH66" s="146"/>
      <c r="FI66" s="146"/>
      <c r="FJ66" s="146"/>
      <c r="FK66" s="146"/>
      <c r="FL66" s="146"/>
      <c r="FM66" s="146"/>
      <c r="FN66" s="146"/>
      <c r="FO66" s="146"/>
      <c r="FP66" s="146"/>
      <c r="FQ66" s="146"/>
      <c r="FR66" s="146"/>
      <c r="FS66" s="146"/>
      <c r="FT66" s="146"/>
      <c r="FU66" s="146"/>
      <c r="FV66" s="146"/>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row>
    <row r="67" spans="1:239" ht="14.15" customHeight="1">
      <c r="A67" s="146"/>
      <c r="B67" s="152"/>
      <c r="C67" s="152"/>
      <c r="D67" s="152"/>
      <c r="E67" s="152"/>
      <c r="F67" s="152"/>
      <c r="G67" s="152"/>
      <c r="H67" s="152"/>
      <c r="I67" s="143"/>
      <c r="J67" s="143"/>
      <c r="L67" s="1170"/>
      <c r="M67" s="1170"/>
      <c r="N67" s="639"/>
      <c r="O67" s="639"/>
      <c r="P67" s="639"/>
      <c r="Q67" s="639"/>
      <c r="S67" s="649"/>
      <c r="T67" s="639"/>
      <c r="U67" s="639"/>
      <c r="V67" s="639"/>
      <c r="W67" s="639"/>
      <c r="X67" s="639"/>
      <c r="Y67" s="639"/>
      <c r="Z67" s="639"/>
      <c r="AA67" s="639"/>
      <c r="AB67" s="639"/>
      <c r="AC67" s="639"/>
      <c r="AD67" s="639"/>
      <c r="AE67" s="639"/>
      <c r="AF67" s="639"/>
      <c r="AG67" s="639"/>
      <c r="AH67" s="639"/>
      <c r="AI67" s="639"/>
      <c r="AJ67" s="639"/>
      <c r="AK67" s="639"/>
      <c r="AL67" s="639"/>
      <c r="AM67" s="639"/>
      <c r="AN67" s="639"/>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c r="FD67" s="146"/>
      <c r="FE67" s="146"/>
      <c r="FF67" s="146"/>
      <c r="FG67" s="146"/>
      <c r="FH67" s="146"/>
      <c r="FI67" s="146"/>
      <c r="FJ67" s="146"/>
      <c r="FK67" s="146"/>
      <c r="FL67" s="146"/>
      <c r="FM67" s="146"/>
      <c r="FN67" s="146"/>
      <c r="FO67" s="146"/>
      <c r="FP67" s="146"/>
      <c r="FQ67" s="146"/>
      <c r="FR67" s="146"/>
      <c r="FS67" s="146"/>
      <c r="FT67" s="146"/>
      <c r="FU67" s="146"/>
      <c r="FV67" s="146"/>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c r="GS67" s="146"/>
      <c r="GT67" s="146"/>
      <c r="GU67" s="146"/>
      <c r="GV67" s="146"/>
      <c r="GW67" s="146"/>
      <c r="GX67" s="146"/>
      <c r="GY67" s="146"/>
      <c r="GZ67" s="146"/>
      <c r="HA67" s="146"/>
      <c r="HB67" s="146"/>
      <c r="HC67" s="146"/>
      <c r="HD67" s="146"/>
      <c r="HE67" s="146"/>
      <c r="HF67" s="146"/>
      <c r="HG67" s="146"/>
      <c r="HH67" s="146"/>
      <c r="HI67" s="146"/>
      <c r="HJ67" s="146"/>
      <c r="HK67" s="146"/>
      <c r="HL67" s="146"/>
      <c r="HM67" s="146"/>
      <c r="HN67" s="146"/>
      <c r="HO67" s="146"/>
      <c r="HP67" s="146"/>
      <c r="HQ67" s="146"/>
      <c r="HR67" s="146"/>
      <c r="HS67" s="146"/>
      <c r="HT67" s="146"/>
      <c r="HU67" s="146"/>
      <c r="HV67" s="146"/>
      <c r="HW67" s="146"/>
      <c r="HX67" s="146"/>
      <c r="HY67" s="146"/>
      <c r="HZ67" s="146"/>
      <c r="IA67" s="146"/>
      <c r="IB67" s="146"/>
      <c r="IC67" s="146"/>
      <c r="ID67" s="146"/>
      <c r="IE67" s="146"/>
    </row>
    <row r="68" spans="1:239" ht="14.15" customHeight="1">
      <c r="A68" s="146"/>
      <c r="B68" s="152"/>
      <c r="C68" s="152"/>
      <c r="D68" s="152"/>
      <c r="E68" s="152"/>
      <c r="F68" s="152"/>
      <c r="G68" s="152"/>
      <c r="H68" s="152"/>
      <c r="I68" s="143"/>
      <c r="J68" s="143"/>
      <c r="L68" s="1170"/>
      <c r="M68" s="1170"/>
      <c r="N68" s="639"/>
      <c r="O68" s="639"/>
      <c r="P68" s="639"/>
      <c r="Q68" s="639"/>
      <c r="S68" s="649"/>
      <c r="T68" s="639"/>
      <c r="U68" s="639"/>
      <c r="V68" s="639"/>
      <c r="W68" s="639"/>
      <c r="X68" s="639"/>
      <c r="Y68" s="639"/>
      <c r="Z68" s="639"/>
      <c r="AA68" s="639"/>
      <c r="AB68" s="639"/>
      <c r="AC68" s="639"/>
      <c r="AD68" s="639"/>
      <c r="AE68" s="639"/>
      <c r="AF68" s="639"/>
      <c r="AG68" s="639"/>
      <c r="AH68" s="639"/>
      <c r="AI68" s="639"/>
      <c r="AJ68" s="639"/>
      <c r="AK68" s="639"/>
      <c r="AL68" s="639"/>
      <c r="AM68" s="639"/>
      <c r="AN68" s="639"/>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row>
    <row r="69" spans="1:239" ht="14.15" customHeight="1">
      <c r="A69" s="146"/>
      <c r="B69" s="152"/>
      <c r="C69" s="152"/>
      <c r="D69" s="152"/>
      <c r="E69" s="152"/>
      <c r="F69" s="152"/>
      <c r="G69" s="152"/>
      <c r="H69" s="152"/>
      <c r="I69" s="143"/>
      <c r="J69" s="143"/>
      <c r="L69" s="1170"/>
      <c r="M69" s="1170"/>
      <c r="N69" s="639"/>
      <c r="O69" s="639"/>
      <c r="P69" s="639"/>
      <c r="Q69" s="639"/>
      <c r="S69" s="649"/>
      <c r="T69" s="639"/>
      <c r="U69" s="639"/>
      <c r="V69" s="639"/>
      <c r="W69" s="639"/>
      <c r="X69" s="639"/>
      <c r="Y69" s="639"/>
      <c r="Z69" s="639"/>
      <c r="AA69" s="639"/>
      <c r="AB69" s="639"/>
      <c r="AC69" s="639"/>
      <c r="AD69" s="639"/>
      <c r="AE69" s="639"/>
      <c r="AF69" s="639"/>
      <c r="AG69" s="639"/>
      <c r="AH69" s="639"/>
      <c r="AI69" s="639"/>
      <c r="AJ69" s="639"/>
      <c r="AK69" s="639"/>
      <c r="AL69" s="639"/>
      <c r="AM69" s="639"/>
      <c r="AN69" s="639"/>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c r="FD69" s="146"/>
      <c r="FE69" s="146"/>
      <c r="FF69" s="146"/>
      <c r="FG69" s="146"/>
      <c r="FH69" s="146"/>
      <c r="FI69" s="146"/>
      <c r="FJ69" s="146"/>
      <c r="FK69" s="146"/>
      <c r="FL69" s="146"/>
      <c r="FM69" s="146"/>
      <c r="FN69" s="146"/>
      <c r="FO69" s="146"/>
      <c r="FP69" s="146"/>
      <c r="FQ69" s="146"/>
      <c r="FR69" s="146"/>
      <c r="FS69" s="146"/>
      <c r="FT69" s="146"/>
      <c r="FU69" s="146"/>
      <c r="FV69" s="146"/>
      <c r="FW69" s="146"/>
      <c r="FX69" s="146"/>
      <c r="FY69" s="146"/>
      <c r="FZ69" s="146"/>
      <c r="GA69" s="146"/>
      <c r="GB69" s="146"/>
      <c r="GC69" s="146"/>
      <c r="GD69" s="146"/>
      <c r="GE69" s="146"/>
      <c r="GF69" s="146"/>
      <c r="GG69" s="146"/>
      <c r="GH69" s="146"/>
      <c r="GI69" s="146"/>
      <c r="GJ69" s="146"/>
      <c r="GK69" s="146"/>
      <c r="GL69" s="146"/>
      <c r="GM69" s="146"/>
      <c r="GN69" s="146"/>
      <c r="GO69" s="146"/>
      <c r="GP69" s="146"/>
      <c r="GQ69" s="146"/>
      <c r="GR69" s="146"/>
      <c r="GS69" s="146"/>
      <c r="GT69" s="146"/>
      <c r="GU69" s="146"/>
      <c r="GV69" s="146"/>
      <c r="GW69" s="146"/>
      <c r="GX69" s="146"/>
      <c r="GY69" s="146"/>
      <c r="GZ69" s="146"/>
      <c r="HA69" s="146"/>
      <c r="HB69" s="146"/>
      <c r="HC69" s="146"/>
      <c r="HD69" s="146"/>
      <c r="HE69" s="146"/>
      <c r="HF69" s="146"/>
      <c r="HG69" s="146"/>
      <c r="HH69" s="146"/>
      <c r="HI69" s="146"/>
      <c r="HJ69" s="146"/>
      <c r="HK69" s="146"/>
      <c r="HL69" s="146"/>
      <c r="HM69" s="146"/>
      <c r="HN69" s="146"/>
      <c r="HO69" s="146"/>
      <c r="HP69" s="146"/>
      <c r="HQ69" s="146"/>
      <c r="HR69" s="146"/>
      <c r="HS69" s="146"/>
      <c r="HT69" s="146"/>
      <c r="HU69" s="146"/>
      <c r="HV69" s="146"/>
      <c r="HW69" s="146"/>
      <c r="HX69" s="146"/>
      <c r="HY69" s="146"/>
      <c r="HZ69" s="146"/>
      <c r="IA69" s="146"/>
      <c r="IB69" s="146"/>
      <c r="IC69" s="146"/>
      <c r="ID69" s="146"/>
      <c r="IE69" s="146"/>
    </row>
    <row r="70" spans="1:239" ht="14.15" customHeight="1">
      <c r="A70" s="146"/>
      <c r="B70" s="152"/>
      <c r="C70" s="152"/>
      <c r="D70" s="152"/>
      <c r="E70" s="152"/>
      <c r="F70" s="152"/>
      <c r="G70" s="152"/>
      <c r="H70" s="152"/>
      <c r="I70" s="143"/>
      <c r="J70" s="143"/>
      <c r="L70" s="1170"/>
      <c r="M70" s="1170"/>
      <c r="N70" s="639"/>
      <c r="O70" s="639"/>
      <c r="P70" s="639"/>
      <c r="Q70" s="639"/>
      <c r="S70" s="649"/>
      <c r="T70" s="639"/>
      <c r="U70" s="639"/>
      <c r="V70" s="639"/>
      <c r="W70" s="639"/>
      <c r="X70" s="639"/>
      <c r="Y70" s="639"/>
      <c r="Z70" s="639"/>
      <c r="AA70" s="639"/>
      <c r="AB70" s="639"/>
      <c r="AC70" s="639"/>
      <c r="AD70" s="639"/>
      <c r="AE70" s="639"/>
      <c r="AF70" s="639"/>
      <c r="AG70" s="639"/>
      <c r="AH70" s="639"/>
      <c r="AI70" s="639"/>
      <c r="AJ70" s="639"/>
      <c r="AK70" s="639"/>
      <c r="AL70" s="639"/>
      <c r="AM70" s="639"/>
      <c r="AN70" s="639"/>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6"/>
      <c r="FF70" s="146"/>
      <c r="FG70" s="146"/>
      <c r="FH70" s="146"/>
      <c r="FI70" s="146"/>
      <c r="FJ70" s="146"/>
      <c r="FK70" s="146"/>
      <c r="FL70" s="146"/>
      <c r="FM70" s="146"/>
      <c r="FN70" s="146"/>
      <c r="FO70" s="146"/>
      <c r="FP70" s="146"/>
      <c r="FQ70" s="146"/>
      <c r="FR70" s="146"/>
      <c r="FS70" s="146"/>
      <c r="FT70" s="146"/>
      <c r="FU70" s="146"/>
      <c r="FV70" s="146"/>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row>
    <row r="71" spans="1:239" ht="14.15" customHeight="1">
      <c r="A71" s="146"/>
      <c r="B71" s="152"/>
      <c r="C71" s="152"/>
      <c r="D71" s="152"/>
      <c r="E71" s="152"/>
      <c r="F71" s="152"/>
      <c r="G71" s="152"/>
      <c r="H71" s="152"/>
      <c r="I71" s="143"/>
      <c r="J71" s="143"/>
      <c r="L71" s="1170"/>
      <c r="M71" s="1170"/>
      <c r="N71" s="639"/>
      <c r="O71" s="639"/>
      <c r="P71" s="639"/>
      <c r="Q71" s="639"/>
      <c r="S71" s="649"/>
      <c r="T71" s="639"/>
      <c r="U71" s="639"/>
      <c r="V71" s="639"/>
      <c r="W71" s="639"/>
      <c r="X71" s="639"/>
      <c r="Y71" s="639"/>
      <c r="Z71" s="639"/>
      <c r="AA71" s="639"/>
      <c r="AB71" s="639"/>
      <c r="AC71" s="639"/>
      <c r="AD71" s="639"/>
      <c r="AE71" s="639"/>
      <c r="AF71" s="639"/>
      <c r="AG71" s="639"/>
      <c r="AH71" s="639"/>
      <c r="AI71" s="639"/>
      <c r="AJ71" s="639"/>
      <c r="AK71" s="639"/>
      <c r="AL71" s="639"/>
      <c r="AM71" s="639"/>
      <c r="AN71" s="639"/>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c r="FD71" s="146"/>
      <c r="FE71" s="146"/>
      <c r="FF71" s="146"/>
      <c r="FG71" s="146"/>
      <c r="FH71" s="146"/>
      <c r="FI71" s="146"/>
      <c r="FJ71" s="146"/>
      <c r="FK71" s="146"/>
      <c r="FL71" s="146"/>
      <c r="FM71" s="146"/>
      <c r="FN71" s="146"/>
      <c r="FO71" s="146"/>
      <c r="FP71" s="146"/>
      <c r="FQ71" s="146"/>
      <c r="FR71" s="146"/>
      <c r="FS71" s="146"/>
      <c r="FT71" s="146"/>
      <c r="FU71" s="146"/>
      <c r="FV71" s="146"/>
      <c r="FW71" s="146"/>
      <c r="FX71" s="146"/>
      <c r="FY71" s="146"/>
      <c r="FZ71" s="146"/>
      <c r="GA71" s="146"/>
      <c r="GB71" s="146"/>
      <c r="GC71" s="146"/>
      <c r="GD71" s="146"/>
      <c r="GE71" s="146"/>
      <c r="GF71" s="146"/>
      <c r="GG71" s="146"/>
      <c r="GH71" s="146"/>
      <c r="GI71" s="146"/>
      <c r="GJ71" s="146"/>
      <c r="GK71" s="146"/>
      <c r="GL71" s="146"/>
      <c r="GM71" s="146"/>
      <c r="GN71" s="146"/>
      <c r="GO71" s="146"/>
      <c r="GP71" s="146"/>
      <c r="GQ71" s="146"/>
      <c r="GR71" s="146"/>
      <c r="GS71" s="146"/>
      <c r="GT71" s="146"/>
      <c r="GU71" s="146"/>
      <c r="GV71" s="146"/>
      <c r="GW71" s="146"/>
      <c r="GX71" s="146"/>
      <c r="GY71" s="146"/>
      <c r="GZ71" s="146"/>
      <c r="HA71" s="146"/>
      <c r="HB71" s="146"/>
      <c r="HC71" s="146"/>
      <c r="HD71" s="146"/>
      <c r="HE71" s="146"/>
      <c r="HF71" s="146"/>
      <c r="HG71" s="146"/>
      <c r="HH71" s="146"/>
      <c r="HI71" s="146"/>
      <c r="HJ71" s="146"/>
      <c r="HK71" s="146"/>
      <c r="HL71" s="146"/>
      <c r="HM71" s="146"/>
      <c r="HN71" s="146"/>
      <c r="HO71" s="146"/>
      <c r="HP71" s="146"/>
      <c r="HQ71" s="146"/>
      <c r="HR71" s="146"/>
      <c r="HS71" s="146"/>
      <c r="HT71" s="146"/>
      <c r="HU71" s="146"/>
      <c r="HV71" s="146"/>
      <c r="HW71" s="146"/>
      <c r="HX71" s="146"/>
      <c r="HY71" s="146"/>
      <c r="HZ71" s="146"/>
      <c r="IA71" s="146"/>
      <c r="IB71" s="146"/>
      <c r="IC71" s="146"/>
      <c r="ID71" s="146"/>
      <c r="IE71" s="146"/>
    </row>
    <row r="72" spans="1:239" ht="14.15" customHeight="1">
      <c r="A72" s="146"/>
      <c r="B72" s="152"/>
      <c r="C72" s="152"/>
      <c r="D72" s="152"/>
      <c r="E72" s="152"/>
      <c r="F72" s="152"/>
      <c r="G72" s="152"/>
      <c r="H72" s="152"/>
      <c r="I72" s="143"/>
      <c r="J72" s="143"/>
      <c r="L72" s="1170"/>
      <c r="M72" s="1170"/>
      <c r="N72" s="639"/>
      <c r="O72" s="639"/>
      <c r="P72" s="639"/>
      <c r="Q72" s="639"/>
      <c r="S72" s="649"/>
      <c r="T72" s="639"/>
      <c r="U72" s="639"/>
      <c r="V72" s="639"/>
      <c r="W72" s="639"/>
      <c r="X72" s="639"/>
      <c r="Y72" s="639"/>
      <c r="Z72" s="639"/>
      <c r="AA72" s="639"/>
      <c r="AB72" s="639"/>
      <c r="AC72" s="639"/>
      <c r="AD72" s="639"/>
      <c r="AE72" s="639"/>
      <c r="AF72" s="639"/>
      <c r="AG72" s="639"/>
      <c r="AH72" s="639"/>
      <c r="AI72" s="639"/>
      <c r="AJ72" s="639"/>
      <c r="AK72" s="639"/>
      <c r="AL72" s="639"/>
      <c r="AM72" s="639"/>
      <c r="AN72" s="639"/>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6"/>
      <c r="FF72" s="146"/>
      <c r="FG72" s="146"/>
      <c r="FH72" s="146"/>
      <c r="FI72" s="146"/>
      <c r="FJ72" s="146"/>
      <c r="FK72" s="146"/>
      <c r="FL72" s="146"/>
      <c r="FM72" s="146"/>
      <c r="FN72" s="146"/>
      <c r="FO72" s="146"/>
      <c r="FP72" s="146"/>
      <c r="FQ72" s="146"/>
      <c r="FR72" s="146"/>
      <c r="FS72" s="146"/>
      <c r="FT72" s="146"/>
      <c r="FU72" s="146"/>
      <c r="FV72" s="146"/>
      <c r="FW72" s="146"/>
      <c r="FX72" s="146"/>
      <c r="FY72" s="146"/>
      <c r="FZ72" s="146"/>
      <c r="GA72" s="146"/>
      <c r="GB72" s="146"/>
      <c r="GC72" s="146"/>
      <c r="GD72" s="146"/>
      <c r="GE72" s="146"/>
      <c r="GF72" s="146"/>
      <c r="GG72" s="146"/>
      <c r="GH72" s="146"/>
      <c r="GI72" s="146"/>
      <c r="GJ72" s="146"/>
      <c r="GK72" s="146"/>
      <c r="GL72" s="146"/>
      <c r="GM72" s="146"/>
      <c r="GN72" s="146"/>
      <c r="GO72" s="146"/>
      <c r="GP72" s="146"/>
      <c r="GQ72" s="146"/>
      <c r="GR72" s="146"/>
      <c r="GS72" s="146"/>
      <c r="GT72" s="146"/>
      <c r="GU72" s="146"/>
      <c r="GV72" s="146"/>
      <c r="GW72" s="146"/>
      <c r="GX72" s="146"/>
      <c r="GY72" s="146"/>
      <c r="GZ72" s="146"/>
      <c r="HA72" s="146"/>
      <c r="HB72" s="146"/>
      <c r="HC72" s="146"/>
      <c r="HD72" s="146"/>
      <c r="HE72" s="146"/>
      <c r="HF72" s="146"/>
      <c r="HG72" s="146"/>
      <c r="HH72" s="146"/>
      <c r="HI72" s="146"/>
      <c r="HJ72" s="146"/>
      <c r="HK72" s="146"/>
      <c r="HL72" s="146"/>
      <c r="HM72" s="146"/>
      <c r="HN72" s="146"/>
      <c r="HO72" s="146"/>
      <c r="HP72" s="146"/>
      <c r="HQ72" s="146"/>
      <c r="HR72" s="146"/>
      <c r="HS72" s="146"/>
      <c r="HT72" s="146"/>
      <c r="HU72" s="146"/>
      <c r="HV72" s="146"/>
      <c r="HW72" s="146"/>
      <c r="HX72" s="146"/>
      <c r="HY72" s="146"/>
      <c r="HZ72" s="146"/>
      <c r="IA72" s="146"/>
      <c r="IB72" s="146"/>
      <c r="IC72" s="146"/>
      <c r="ID72" s="146"/>
      <c r="IE72" s="146"/>
    </row>
    <row r="73" spans="1:239" ht="14.15" customHeight="1">
      <c r="A73" s="146"/>
      <c r="B73" s="152"/>
      <c r="C73" s="152"/>
      <c r="D73" s="152"/>
      <c r="E73" s="152"/>
      <c r="F73" s="152"/>
      <c r="G73" s="152"/>
      <c r="H73" s="152"/>
      <c r="I73" s="143"/>
      <c r="J73" s="143"/>
      <c r="L73" s="1170"/>
      <c r="M73" s="1170"/>
      <c r="N73" s="639"/>
      <c r="O73" s="639"/>
      <c r="P73" s="639"/>
      <c r="Q73" s="639"/>
      <c r="S73" s="649"/>
      <c r="T73" s="639"/>
      <c r="U73" s="639"/>
      <c r="V73" s="639"/>
      <c r="W73" s="639"/>
      <c r="X73" s="639"/>
      <c r="Y73" s="639"/>
      <c r="Z73" s="639"/>
      <c r="AA73" s="639"/>
      <c r="AB73" s="639"/>
      <c r="AC73" s="639"/>
      <c r="AD73" s="639"/>
      <c r="AE73" s="639"/>
      <c r="AF73" s="639"/>
      <c r="AG73" s="639"/>
      <c r="AH73" s="639"/>
      <c r="AI73" s="639"/>
      <c r="AJ73" s="639"/>
      <c r="AK73" s="639"/>
      <c r="AL73" s="639"/>
      <c r="AM73" s="639"/>
      <c r="AN73" s="639"/>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6"/>
      <c r="FF73" s="146"/>
      <c r="FG73" s="146"/>
      <c r="FH73" s="146"/>
      <c r="FI73" s="146"/>
      <c r="FJ73" s="146"/>
      <c r="FK73" s="146"/>
      <c r="FL73" s="146"/>
      <c r="FM73" s="146"/>
      <c r="FN73" s="146"/>
      <c r="FO73" s="146"/>
      <c r="FP73" s="146"/>
      <c r="FQ73" s="146"/>
      <c r="FR73" s="146"/>
      <c r="FS73" s="146"/>
      <c r="FT73" s="146"/>
      <c r="FU73" s="146"/>
      <c r="FV73" s="146"/>
      <c r="FW73" s="146"/>
      <c r="FX73" s="146"/>
      <c r="FY73" s="146"/>
      <c r="FZ73" s="146"/>
      <c r="GA73" s="146"/>
      <c r="GB73" s="146"/>
      <c r="GC73" s="146"/>
      <c r="GD73" s="146"/>
      <c r="GE73" s="146"/>
      <c r="GF73" s="146"/>
      <c r="GG73" s="146"/>
      <c r="GH73" s="146"/>
      <c r="GI73" s="146"/>
      <c r="GJ73" s="146"/>
      <c r="GK73" s="146"/>
      <c r="GL73" s="146"/>
      <c r="GM73" s="146"/>
      <c r="GN73" s="146"/>
      <c r="GO73" s="146"/>
      <c r="GP73" s="146"/>
      <c r="GQ73" s="146"/>
      <c r="GR73" s="146"/>
      <c r="GS73" s="146"/>
      <c r="GT73" s="146"/>
      <c r="GU73" s="146"/>
      <c r="GV73" s="146"/>
      <c r="GW73" s="146"/>
      <c r="GX73" s="146"/>
      <c r="GY73" s="146"/>
      <c r="GZ73" s="146"/>
      <c r="HA73" s="146"/>
      <c r="HB73" s="146"/>
      <c r="HC73" s="146"/>
      <c r="HD73" s="146"/>
      <c r="HE73" s="146"/>
      <c r="HF73" s="146"/>
      <c r="HG73" s="146"/>
      <c r="HH73" s="146"/>
      <c r="HI73" s="146"/>
      <c r="HJ73" s="146"/>
      <c r="HK73" s="146"/>
      <c r="HL73" s="146"/>
      <c r="HM73" s="146"/>
      <c r="HN73" s="146"/>
      <c r="HO73" s="146"/>
      <c r="HP73" s="146"/>
      <c r="HQ73" s="146"/>
      <c r="HR73" s="146"/>
      <c r="HS73" s="146"/>
      <c r="HT73" s="146"/>
      <c r="HU73" s="146"/>
      <c r="HV73" s="146"/>
      <c r="HW73" s="146"/>
      <c r="HX73" s="146"/>
      <c r="HY73" s="146"/>
      <c r="HZ73" s="146"/>
      <c r="IA73" s="146"/>
      <c r="IB73" s="146"/>
      <c r="IC73" s="146"/>
      <c r="ID73" s="146"/>
      <c r="IE73" s="146"/>
    </row>
    <row r="74" spans="1:239" ht="14.15" customHeight="1">
      <c r="A74" s="146"/>
      <c r="B74" s="152"/>
      <c r="C74" s="152"/>
      <c r="D74" s="152"/>
      <c r="E74" s="152"/>
      <c r="F74" s="152"/>
      <c r="G74" s="152"/>
      <c r="H74" s="152"/>
      <c r="I74" s="143"/>
      <c r="J74" s="143"/>
      <c r="L74" s="1170"/>
      <c r="M74" s="1170"/>
      <c r="N74" s="639"/>
      <c r="O74" s="639"/>
      <c r="P74" s="639"/>
      <c r="Q74" s="639"/>
      <c r="S74" s="649"/>
      <c r="T74" s="639"/>
      <c r="U74" s="639"/>
      <c r="V74" s="639"/>
      <c r="W74" s="639"/>
      <c r="X74" s="639"/>
      <c r="Y74" s="639"/>
      <c r="Z74" s="639"/>
      <c r="AA74" s="639"/>
      <c r="AB74" s="639"/>
      <c r="AC74" s="639"/>
      <c r="AD74" s="639"/>
      <c r="AE74" s="639"/>
      <c r="AF74" s="639"/>
      <c r="AG74" s="639"/>
      <c r="AH74" s="639"/>
      <c r="AI74" s="639"/>
      <c r="AJ74" s="639"/>
      <c r="AK74" s="639"/>
      <c r="AL74" s="639"/>
      <c r="AM74" s="639"/>
      <c r="AN74" s="639"/>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6"/>
      <c r="FF74" s="146"/>
      <c r="FG74" s="146"/>
      <c r="FH74" s="146"/>
      <c r="FI74" s="146"/>
      <c r="FJ74" s="146"/>
      <c r="FK74" s="146"/>
      <c r="FL74" s="146"/>
      <c r="FM74" s="146"/>
      <c r="FN74" s="146"/>
      <c r="FO74" s="146"/>
      <c r="FP74" s="146"/>
      <c r="FQ74" s="146"/>
      <c r="FR74" s="146"/>
      <c r="FS74" s="146"/>
      <c r="FT74" s="146"/>
      <c r="FU74" s="146"/>
      <c r="FV74" s="146"/>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row>
    <row r="75" spans="1:239" ht="14.15" customHeight="1">
      <c r="A75" s="146"/>
      <c r="B75" s="152"/>
      <c r="C75" s="152"/>
      <c r="D75" s="152"/>
      <c r="E75" s="152"/>
      <c r="F75" s="152"/>
      <c r="G75" s="152"/>
      <c r="H75" s="152"/>
      <c r="I75" s="143"/>
      <c r="J75" s="143"/>
      <c r="L75" s="1170"/>
      <c r="M75" s="1170"/>
      <c r="N75" s="639"/>
      <c r="O75" s="639"/>
      <c r="P75" s="639"/>
      <c r="Q75" s="639"/>
      <c r="S75" s="649"/>
      <c r="T75" s="639"/>
      <c r="U75" s="639"/>
      <c r="V75" s="639"/>
      <c r="W75" s="639"/>
      <c r="X75" s="639"/>
      <c r="Y75" s="639"/>
      <c r="Z75" s="639"/>
      <c r="AA75" s="639"/>
      <c r="AB75" s="639"/>
      <c r="AC75" s="639"/>
      <c r="AD75" s="639"/>
      <c r="AE75" s="639"/>
      <c r="AF75" s="639"/>
      <c r="AG75" s="639"/>
      <c r="AH75" s="639"/>
      <c r="AI75" s="639"/>
      <c r="AJ75" s="639"/>
      <c r="AK75" s="639"/>
      <c r="AL75" s="639"/>
      <c r="AM75" s="639"/>
      <c r="AN75" s="639"/>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row>
    <row r="76" spans="1:239" ht="14.15" customHeight="1">
      <c r="A76" s="146"/>
      <c r="B76" s="152"/>
      <c r="C76" s="152"/>
      <c r="D76" s="152"/>
      <c r="E76" s="152"/>
      <c r="F76" s="152"/>
      <c r="G76" s="152"/>
      <c r="H76" s="152"/>
      <c r="I76" s="143"/>
      <c r="J76" s="143"/>
      <c r="L76" s="1170"/>
      <c r="M76" s="1170"/>
      <c r="N76" s="639"/>
      <c r="O76" s="639"/>
      <c r="P76" s="639"/>
      <c r="Q76" s="639"/>
      <c r="S76" s="649"/>
      <c r="T76" s="639"/>
      <c r="U76" s="639"/>
      <c r="V76" s="639"/>
      <c r="W76" s="639"/>
      <c r="X76" s="639"/>
      <c r="Y76" s="639"/>
      <c r="Z76" s="639"/>
      <c r="AA76" s="639"/>
      <c r="AB76" s="639"/>
      <c r="AC76" s="639"/>
      <c r="AD76" s="639"/>
      <c r="AE76" s="639"/>
      <c r="AF76" s="639"/>
      <c r="AG76" s="639"/>
      <c r="AH76" s="639"/>
      <c r="AI76" s="639"/>
      <c r="AJ76" s="639"/>
      <c r="AK76" s="639"/>
      <c r="AL76" s="639"/>
      <c r="AM76" s="639"/>
      <c r="AN76" s="639"/>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row>
    <row r="77" spans="1:239" ht="14.15" customHeight="1">
      <c r="A77" s="146"/>
      <c r="B77" s="152"/>
      <c r="C77" s="152"/>
      <c r="D77" s="152"/>
      <c r="E77" s="152"/>
      <c r="F77" s="152"/>
      <c r="G77" s="152"/>
      <c r="H77" s="152"/>
      <c r="I77" s="143"/>
      <c r="J77" s="143"/>
      <c r="L77" s="1170"/>
      <c r="M77" s="1170"/>
      <c r="N77" s="639"/>
      <c r="O77" s="639"/>
      <c r="P77" s="639"/>
      <c r="Q77" s="639"/>
      <c r="S77" s="649"/>
      <c r="T77" s="639"/>
      <c r="U77" s="639"/>
      <c r="V77" s="639"/>
      <c r="W77" s="639"/>
      <c r="X77" s="639"/>
      <c r="Y77" s="639"/>
      <c r="Z77" s="639"/>
      <c r="AA77" s="639"/>
      <c r="AB77" s="639"/>
      <c r="AC77" s="639"/>
      <c r="AD77" s="639"/>
      <c r="AE77" s="639"/>
      <c r="AF77" s="639"/>
      <c r="AG77" s="639"/>
      <c r="AH77" s="639"/>
      <c r="AI77" s="639"/>
      <c r="AJ77" s="639"/>
      <c r="AK77" s="639"/>
      <c r="AL77" s="639"/>
      <c r="AM77" s="639"/>
      <c r="AN77" s="639"/>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6"/>
      <c r="FF77" s="146"/>
      <c r="FG77" s="146"/>
      <c r="FH77" s="146"/>
      <c r="FI77" s="146"/>
      <c r="FJ77" s="146"/>
      <c r="FK77" s="146"/>
      <c r="FL77" s="146"/>
      <c r="FM77" s="146"/>
      <c r="FN77" s="146"/>
      <c r="FO77" s="146"/>
      <c r="FP77" s="146"/>
      <c r="FQ77" s="146"/>
      <c r="FR77" s="146"/>
      <c r="FS77" s="146"/>
      <c r="FT77" s="146"/>
      <c r="FU77" s="146"/>
      <c r="FV77" s="146"/>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row>
    <row r="78" spans="1:239" ht="14.15" customHeight="1">
      <c r="A78" s="146"/>
      <c r="B78" s="152"/>
      <c r="C78" s="152"/>
      <c r="D78" s="152"/>
      <c r="E78" s="152"/>
      <c r="F78" s="152"/>
      <c r="G78" s="152"/>
      <c r="H78" s="152"/>
      <c r="I78" s="143"/>
      <c r="J78" s="143"/>
      <c r="L78" s="1170"/>
      <c r="M78" s="1170"/>
      <c r="N78" s="639"/>
      <c r="O78" s="639"/>
      <c r="P78" s="639"/>
      <c r="Q78" s="639"/>
      <c r="S78" s="649"/>
      <c r="T78" s="639"/>
      <c r="U78" s="639"/>
      <c r="V78" s="639"/>
      <c r="W78" s="639"/>
      <c r="X78" s="639"/>
      <c r="Y78" s="639"/>
      <c r="Z78" s="639"/>
      <c r="AA78" s="639"/>
      <c r="AB78" s="639"/>
      <c r="AC78" s="639"/>
      <c r="AD78" s="639"/>
      <c r="AE78" s="639"/>
      <c r="AF78" s="639"/>
      <c r="AG78" s="639"/>
      <c r="AH78" s="639"/>
      <c r="AI78" s="639"/>
      <c r="AJ78" s="639"/>
      <c r="AK78" s="639"/>
      <c r="AL78" s="639"/>
      <c r="AM78" s="639"/>
      <c r="AN78" s="639"/>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6"/>
      <c r="FF78" s="146"/>
      <c r="FG78" s="146"/>
      <c r="FH78" s="146"/>
      <c r="FI78" s="146"/>
      <c r="FJ78" s="146"/>
      <c r="FK78" s="146"/>
      <c r="FL78" s="146"/>
      <c r="FM78" s="146"/>
      <c r="FN78" s="146"/>
      <c r="FO78" s="146"/>
      <c r="FP78" s="146"/>
      <c r="FQ78" s="146"/>
      <c r="FR78" s="146"/>
      <c r="FS78" s="146"/>
      <c r="FT78" s="146"/>
      <c r="FU78" s="146"/>
      <c r="FV78" s="146"/>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row>
    <row r="79" spans="1:239" ht="14.15" customHeight="1">
      <c r="A79" s="146"/>
      <c r="B79" s="152"/>
      <c r="C79" s="152"/>
      <c r="D79" s="152"/>
      <c r="E79" s="152"/>
      <c r="F79" s="152"/>
      <c r="G79" s="152"/>
      <c r="H79" s="152"/>
      <c r="I79" s="143"/>
      <c r="J79" s="143"/>
      <c r="L79" s="1170"/>
      <c r="M79" s="1170"/>
      <c r="N79" s="639"/>
      <c r="O79" s="639"/>
      <c r="P79" s="639"/>
      <c r="Q79" s="639"/>
      <c r="S79" s="649"/>
      <c r="T79" s="639"/>
      <c r="U79" s="639"/>
      <c r="V79" s="639"/>
      <c r="W79" s="639"/>
      <c r="X79" s="639"/>
      <c r="Y79" s="639"/>
      <c r="Z79" s="639"/>
      <c r="AA79" s="639"/>
      <c r="AB79" s="639"/>
      <c r="AC79" s="639"/>
      <c r="AD79" s="639"/>
      <c r="AE79" s="639"/>
      <c r="AF79" s="639"/>
      <c r="AG79" s="639"/>
      <c r="AH79" s="639"/>
      <c r="AI79" s="639"/>
      <c r="AJ79" s="639"/>
      <c r="AK79" s="639"/>
      <c r="AL79" s="639"/>
      <c r="AM79" s="639"/>
      <c r="AN79" s="639"/>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6"/>
      <c r="DB79" s="146"/>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6"/>
      <c r="EC79" s="146"/>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6"/>
      <c r="FD79" s="146"/>
      <c r="FE79" s="146"/>
      <c r="FF79" s="146"/>
      <c r="FG79" s="146"/>
      <c r="FH79" s="146"/>
      <c r="FI79" s="146"/>
      <c r="FJ79" s="146"/>
      <c r="FK79" s="146"/>
      <c r="FL79" s="146"/>
      <c r="FM79" s="146"/>
      <c r="FN79" s="146"/>
      <c r="FO79" s="146"/>
      <c r="FP79" s="146"/>
      <c r="FQ79" s="146"/>
      <c r="FR79" s="146"/>
      <c r="FS79" s="146"/>
      <c r="FT79" s="146"/>
      <c r="FU79" s="146"/>
      <c r="FV79" s="146"/>
      <c r="FW79" s="146"/>
      <c r="FX79" s="146"/>
      <c r="FY79" s="146"/>
      <c r="FZ79" s="146"/>
      <c r="GA79" s="146"/>
      <c r="GB79" s="146"/>
      <c r="GC79" s="146"/>
      <c r="GD79" s="146"/>
      <c r="GE79" s="146"/>
      <c r="GF79" s="146"/>
      <c r="GG79" s="146"/>
      <c r="GH79" s="146"/>
      <c r="GI79" s="146"/>
      <c r="GJ79" s="146"/>
      <c r="GK79" s="146"/>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6"/>
      <c r="HL79" s="146"/>
      <c r="HM79" s="146"/>
      <c r="HN79" s="146"/>
      <c r="HO79" s="146"/>
      <c r="HP79" s="146"/>
      <c r="HQ79" s="146"/>
      <c r="HR79" s="146"/>
      <c r="HS79" s="146"/>
      <c r="HT79" s="146"/>
      <c r="HU79" s="146"/>
      <c r="HV79" s="146"/>
      <c r="HW79" s="146"/>
      <c r="HX79" s="146"/>
      <c r="HY79" s="146"/>
      <c r="HZ79" s="146"/>
      <c r="IA79" s="146"/>
      <c r="IB79" s="146"/>
      <c r="IC79" s="146"/>
      <c r="ID79" s="146"/>
      <c r="IE79" s="146"/>
    </row>
    <row r="80" spans="1:239" ht="14.15" customHeight="1">
      <c r="A80" s="146"/>
      <c r="B80" s="152"/>
      <c r="C80" s="152"/>
      <c r="D80" s="152"/>
      <c r="E80" s="152"/>
      <c r="F80" s="152"/>
      <c r="G80" s="152"/>
      <c r="H80" s="152"/>
      <c r="I80" s="143"/>
      <c r="J80" s="143"/>
      <c r="L80" s="1170"/>
      <c r="M80" s="1170"/>
      <c r="N80" s="639"/>
      <c r="O80" s="639"/>
      <c r="P80" s="639"/>
      <c r="Q80" s="639"/>
      <c r="S80" s="649"/>
      <c r="T80" s="639"/>
      <c r="U80" s="639"/>
      <c r="V80" s="639"/>
      <c r="W80" s="639"/>
      <c r="X80" s="639"/>
      <c r="Y80" s="639"/>
      <c r="Z80" s="639"/>
      <c r="AA80" s="639"/>
      <c r="AB80" s="639"/>
      <c r="AC80" s="639"/>
      <c r="AD80" s="639"/>
      <c r="AE80" s="639"/>
      <c r="AF80" s="639"/>
      <c r="AG80" s="639"/>
      <c r="AH80" s="639"/>
      <c r="AI80" s="639"/>
      <c r="AJ80" s="639"/>
      <c r="AK80" s="639"/>
      <c r="AL80" s="639"/>
      <c r="AM80" s="639"/>
      <c r="AN80" s="639"/>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146"/>
      <c r="FE80" s="146"/>
      <c r="FF80" s="146"/>
      <c r="FG80" s="146"/>
      <c r="FH80" s="146"/>
      <c r="FI80" s="146"/>
      <c r="FJ80" s="146"/>
      <c r="FK80" s="146"/>
      <c r="FL80" s="146"/>
      <c r="FM80" s="146"/>
      <c r="FN80" s="146"/>
      <c r="FO80" s="146"/>
      <c r="FP80" s="146"/>
      <c r="FQ80" s="146"/>
      <c r="FR80" s="146"/>
      <c r="FS80" s="146"/>
      <c r="FT80" s="146"/>
      <c r="FU80" s="146"/>
      <c r="FV80" s="146"/>
      <c r="FW80" s="146"/>
      <c r="FX80" s="146"/>
      <c r="FY80" s="146"/>
      <c r="FZ80" s="146"/>
      <c r="GA80" s="146"/>
      <c r="GB80" s="146"/>
      <c r="GC80" s="146"/>
      <c r="GD80" s="146"/>
      <c r="GE80" s="146"/>
      <c r="GF80" s="146"/>
      <c r="GG80" s="146"/>
      <c r="GH80" s="146"/>
      <c r="GI80" s="146"/>
      <c r="GJ80" s="146"/>
      <c r="GK80" s="146"/>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c r="HM80" s="146"/>
      <c r="HN80" s="146"/>
      <c r="HO80" s="146"/>
      <c r="HP80" s="146"/>
      <c r="HQ80" s="146"/>
      <c r="HR80" s="146"/>
      <c r="HS80" s="146"/>
      <c r="HT80" s="146"/>
      <c r="HU80" s="146"/>
      <c r="HV80" s="146"/>
      <c r="HW80" s="146"/>
      <c r="HX80" s="146"/>
      <c r="HY80" s="146"/>
      <c r="HZ80" s="146"/>
      <c r="IA80" s="146"/>
      <c r="IB80" s="146"/>
      <c r="IC80" s="146"/>
      <c r="ID80" s="146"/>
      <c r="IE80" s="146"/>
    </row>
    <row r="81" spans="1:239" ht="14.15" customHeight="1">
      <c r="A81" s="146"/>
      <c r="B81" s="152"/>
      <c r="C81" s="152"/>
      <c r="D81" s="152"/>
      <c r="E81" s="152"/>
      <c r="F81" s="152"/>
      <c r="G81" s="152"/>
      <c r="H81" s="152"/>
      <c r="I81" s="143"/>
      <c r="J81" s="143"/>
      <c r="L81" s="1170"/>
      <c r="M81" s="1170"/>
      <c r="N81" s="639"/>
      <c r="O81" s="639"/>
      <c r="P81" s="639"/>
      <c r="Q81" s="639"/>
      <c r="S81" s="649"/>
      <c r="T81" s="639"/>
      <c r="U81" s="639"/>
      <c r="V81" s="639"/>
      <c r="W81" s="639"/>
      <c r="X81" s="639"/>
      <c r="Y81" s="639"/>
      <c r="Z81" s="639"/>
      <c r="AA81" s="639"/>
      <c r="AB81" s="639"/>
      <c r="AC81" s="639"/>
      <c r="AD81" s="639"/>
      <c r="AE81" s="639"/>
      <c r="AF81" s="639"/>
      <c r="AG81" s="639"/>
      <c r="AH81" s="639"/>
      <c r="AI81" s="639"/>
      <c r="AJ81" s="639"/>
      <c r="AK81" s="639"/>
      <c r="AL81" s="639"/>
      <c r="AM81" s="639"/>
      <c r="AN81" s="639"/>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146"/>
      <c r="FE81" s="146"/>
      <c r="FF81" s="146"/>
      <c r="FG81" s="146"/>
      <c r="FH81" s="146"/>
      <c r="FI81" s="146"/>
      <c r="FJ81" s="146"/>
      <c r="FK81" s="146"/>
      <c r="FL81" s="146"/>
      <c r="FM81" s="146"/>
      <c r="FN81" s="146"/>
      <c r="FO81" s="146"/>
      <c r="FP81" s="146"/>
      <c r="FQ81" s="146"/>
      <c r="FR81" s="146"/>
      <c r="FS81" s="146"/>
      <c r="FT81" s="146"/>
      <c r="FU81" s="146"/>
      <c r="FV81" s="146"/>
      <c r="FW81" s="146"/>
      <c r="FX81" s="146"/>
      <c r="FY81" s="146"/>
      <c r="FZ81" s="146"/>
      <c r="GA81" s="146"/>
      <c r="GB81" s="146"/>
      <c r="GC81" s="146"/>
      <c r="GD81" s="146"/>
      <c r="GE81" s="146"/>
      <c r="GF81" s="146"/>
      <c r="GG81" s="146"/>
      <c r="GH81" s="146"/>
      <c r="GI81" s="146"/>
      <c r="GJ81" s="146"/>
      <c r="GK81" s="146"/>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c r="HM81" s="146"/>
      <c r="HN81" s="146"/>
      <c r="HO81" s="146"/>
      <c r="HP81" s="146"/>
      <c r="HQ81" s="146"/>
      <c r="HR81" s="146"/>
      <c r="HS81" s="146"/>
      <c r="HT81" s="146"/>
      <c r="HU81" s="146"/>
      <c r="HV81" s="146"/>
      <c r="HW81" s="146"/>
      <c r="HX81" s="146"/>
      <c r="HY81" s="146"/>
      <c r="HZ81" s="146"/>
      <c r="IA81" s="146"/>
      <c r="IB81" s="146"/>
      <c r="IC81" s="146"/>
      <c r="ID81" s="146"/>
      <c r="IE81" s="146"/>
    </row>
    <row r="82" spans="1:239" ht="14.15" customHeight="1">
      <c r="A82" s="146"/>
      <c r="B82" s="152"/>
      <c r="C82" s="152"/>
      <c r="D82" s="152"/>
      <c r="E82" s="152"/>
      <c r="F82" s="152"/>
      <c r="G82" s="152"/>
      <c r="H82" s="152"/>
      <c r="I82" s="143"/>
      <c r="J82" s="143"/>
      <c r="L82" s="1170"/>
      <c r="M82" s="1170"/>
      <c r="N82" s="639"/>
      <c r="O82" s="639"/>
      <c r="P82" s="639"/>
      <c r="Q82" s="639"/>
      <c r="S82" s="649"/>
      <c r="T82" s="639"/>
      <c r="U82" s="639"/>
      <c r="V82" s="639"/>
      <c r="W82" s="639"/>
      <c r="X82" s="639"/>
      <c r="Y82" s="639"/>
      <c r="Z82" s="639"/>
      <c r="AA82" s="639"/>
      <c r="AB82" s="639"/>
      <c r="AC82" s="639"/>
      <c r="AD82" s="639"/>
      <c r="AE82" s="639"/>
      <c r="AF82" s="639"/>
      <c r="AG82" s="639"/>
      <c r="AH82" s="639"/>
      <c r="AI82" s="639"/>
      <c r="AJ82" s="639"/>
      <c r="AK82" s="639"/>
      <c r="AL82" s="639"/>
      <c r="AM82" s="639"/>
      <c r="AN82" s="639"/>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c r="CA82" s="146"/>
      <c r="CB82" s="146"/>
      <c r="CC82" s="146"/>
      <c r="CD82" s="146"/>
      <c r="CE82" s="146"/>
      <c r="CF82" s="146"/>
      <c r="CG82" s="146"/>
      <c r="CH82" s="146"/>
      <c r="CI82" s="146"/>
      <c r="CJ82" s="146"/>
      <c r="CK82" s="146"/>
      <c r="CL82" s="146"/>
      <c r="CM82" s="146"/>
      <c r="CN82" s="146"/>
      <c r="CO82" s="146"/>
      <c r="CP82" s="146"/>
      <c r="CQ82" s="146"/>
      <c r="CR82" s="146"/>
      <c r="CS82" s="146"/>
      <c r="CT82" s="146"/>
      <c r="CU82" s="146"/>
      <c r="CV82" s="146"/>
      <c r="CW82" s="146"/>
      <c r="CX82" s="146"/>
      <c r="CY82" s="146"/>
      <c r="CZ82" s="146"/>
      <c r="DA82" s="146"/>
      <c r="DB82" s="146"/>
      <c r="DC82" s="146"/>
      <c r="DD82" s="146"/>
      <c r="DE82" s="146"/>
      <c r="DF82" s="146"/>
      <c r="DG82" s="146"/>
      <c r="DH82" s="146"/>
      <c r="DI82" s="146"/>
      <c r="DJ82" s="146"/>
      <c r="DK82" s="146"/>
      <c r="DL82" s="146"/>
      <c r="DM82" s="146"/>
      <c r="DN82" s="146"/>
      <c r="DO82" s="146"/>
      <c r="DP82" s="146"/>
      <c r="DQ82" s="146"/>
      <c r="DR82" s="146"/>
      <c r="DS82" s="146"/>
      <c r="DT82" s="146"/>
      <c r="DU82" s="146"/>
      <c r="DV82" s="146"/>
      <c r="DW82" s="146"/>
      <c r="DX82" s="146"/>
      <c r="DY82" s="146"/>
      <c r="DZ82" s="146"/>
      <c r="EA82" s="146"/>
      <c r="EB82" s="146"/>
      <c r="EC82" s="146"/>
      <c r="ED82" s="146"/>
      <c r="EE82" s="146"/>
      <c r="EF82" s="146"/>
      <c r="EG82" s="146"/>
      <c r="EH82" s="146"/>
      <c r="EI82" s="146"/>
      <c r="EJ82" s="146"/>
      <c r="EK82" s="146"/>
      <c r="EL82" s="146"/>
      <c r="EM82" s="146"/>
      <c r="EN82" s="146"/>
      <c r="EO82" s="146"/>
      <c r="EP82" s="146"/>
      <c r="EQ82" s="146"/>
      <c r="ER82" s="146"/>
      <c r="ES82" s="146"/>
      <c r="ET82" s="146"/>
      <c r="EU82" s="146"/>
      <c r="EV82" s="146"/>
      <c r="EW82" s="146"/>
      <c r="EX82" s="146"/>
      <c r="EY82" s="146"/>
      <c r="EZ82" s="146"/>
      <c r="FA82" s="146"/>
      <c r="FB82" s="146"/>
      <c r="FC82" s="146"/>
      <c r="FD82" s="146"/>
      <c r="FE82" s="146"/>
      <c r="FF82" s="146"/>
      <c r="FG82" s="146"/>
      <c r="FH82" s="146"/>
      <c r="FI82" s="146"/>
      <c r="FJ82" s="146"/>
      <c r="FK82" s="146"/>
      <c r="FL82" s="146"/>
      <c r="FM82" s="146"/>
      <c r="FN82" s="146"/>
      <c r="FO82" s="146"/>
      <c r="FP82" s="146"/>
      <c r="FQ82" s="146"/>
      <c r="FR82" s="146"/>
      <c r="FS82" s="146"/>
      <c r="FT82" s="146"/>
      <c r="FU82" s="146"/>
      <c r="FV82" s="146"/>
      <c r="FW82" s="146"/>
      <c r="FX82" s="146"/>
      <c r="FY82" s="146"/>
      <c r="FZ82" s="146"/>
      <c r="GA82" s="146"/>
      <c r="GB82" s="146"/>
      <c r="GC82" s="146"/>
      <c r="GD82" s="146"/>
      <c r="GE82" s="146"/>
      <c r="GF82" s="146"/>
      <c r="GG82" s="146"/>
      <c r="GH82" s="146"/>
      <c r="GI82" s="146"/>
      <c r="GJ82" s="146"/>
      <c r="GK82" s="146"/>
      <c r="GL82" s="146"/>
      <c r="GM82" s="146"/>
      <c r="GN82" s="146"/>
      <c r="GO82" s="146"/>
      <c r="GP82" s="146"/>
      <c r="GQ82" s="146"/>
      <c r="GR82" s="146"/>
      <c r="GS82" s="146"/>
      <c r="GT82" s="146"/>
      <c r="GU82" s="146"/>
      <c r="GV82" s="146"/>
      <c r="GW82" s="146"/>
      <c r="GX82" s="146"/>
      <c r="GY82" s="146"/>
      <c r="GZ82" s="146"/>
      <c r="HA82" s="146"/>
      <c r="HB82" s="146"/>
      <c r="HC82" s="146"/>
      <c r="HD82" s="146"/>
      <c r="HE82" s="146"/>
      <c r="HF82" s="146"/>
      <c r="HG82" s="146"/>
      <c r="HH82" s="146"/>
      <c r="HI82" s="146"/>
      <c r="HJ82" s="146"/>
      <c r="HK82" s="146"/>
      <c r="HL82" s="146"/>
      <c r="HM82" s="146"/>
      <c r="HN82" s="146"/>
      <c r="HO82" s="146"/>
      <c r="HP82" s="146"/>
      <c r="HQ82" s="146"/>
      <c r="HR82" s="146"/>
      <c r="HS82" s="146"/>
      <c r="HT82" s="146"/>
      <c r="HU82" s="146"/>
      <c r="HV82" s="146"/>
      <c r="HW82" s="146"/>
      <c r="HX82" s="146"/>
      <c r="HY82" s="146"/>
      <c r="HZ82" s="146"/>
      <c r="IA82" s="146"/>
      <c r="IB82" s="146"/>
      <c r="IC82" s="146"/>
      <c r="ID82" s="146"/>
      <c r="IE82" s="146"/>
    </row>
    <row r="83" spans="1:239" ht="14.15" customHeight="1">
      <c r="A83" s="146"/>
      <c r="B83" s="152"/>
      <c r="C83" s="152"/>
      <c r="D83" s="152"/>
      <c r="E83" s="152"/>
      <c r="F83" s="152"/>
      <c r="G83" s="152"/>
      <c r="H83" s="152"/>
      <c r="I83" s="143"/>
      <c r="J83" s="143"/>
      <c r="L83" s="1170"/>
      <c r="M83" s="1170"/>
      <c r="N83" s="639"/>
      <c r="O83" s="639"/>
      <c r="P83" s="639"/>
      <c r="Q83" s="639"/>
      <c r="S83" s="649"/>
      <c r="T83" s="639"/>
      <c r="U83" s="639"/>
      <c r="V83" s="639"/>
      <c r="W83" s="639"/>
      <c r="X83" s="639"/>
      <c r="Y83" s="639"/>
      <c r="Z83" s="639"/>
      <c r="AA83" s="639"/>
      <c r="AB83" s="639"/>
      <c r="AC83" s="639"/>
      <c r="AD83" s="639"/>
      <c r="AE83" s="639"/>
      <c r="AF83" s="639"/>
      <c r="AG83" s="639"/>
      <c r="AH83" s="639"/>
      <c r="AI83" s="639"/>
      <c r="AJ83" s="639"/>
      <c r="AK83" s="639"/>
      <c r="AL83" s="639"/>
      <c r="AM83" s="639"/>
      <c r="AN83" s="639"/>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6"/>
      <c r="GH83" s="146"/>
      <c r="GI83" s="146"/>
      <c r="GJ83" s="146"/>
      <c r="GK83" s="146"/>
      <c r="GL83" s="146"/>
      <c r="GM83" s="146"/>
      <c r="GN83" s="146"/>
      <c r="GO83" s="146"/>
      <c r="GP83" s="146"/>
      <c r="GQ83" s="146"/>
      <c r="GR83" s="146"/>
      <c r="GS83" s="146"/>
      <c r="GT83" s="146"/>
      <c r="GU83" s="146"/>
      <c r="GV83" s="146"/>
      <c r="GW83" s="146"/>
      <c r="GX83" s="146"/>
      <c r="GY83" s="146"/>
      <c r="GZ83" s="146"/>
      <c r="HA83" s="146"/>
      <c r="HB83" s="146"/>
      <c r="HC83" s="146"/>
      <c r="HD83" s="146"/>
      <c r="HE83" s="146"/>
      <c r="HF83" s="146"/>
      <c r="HG83" s="146"/>
      <c r="HH83" s="146"/>
      <c r="HI83" s="146"/>
      <c r="HJ83" s="146"/>
      <c r="HK83" s="146"/>
      <c r="HL83" s="146"/>
      <c r="HM83" s="146"/>
      <c r="HN83" s="146"/>
      <c r="HO83" s="146"/>
      <c r="HP83" s="146"/>
      <c r="HQ83" s="146"/>
      <c r="HR83" s="146"/>
      <c r="HS83" s="146"/>
      <c r="HT83" s="146"/>
      <c r="HU83" s="146"/>
      <c r="HV83" s="146"/>
      <c r="HW83" s="146"/>
      <c r="HX83" s="146"/>
      <c r="HY83" s="146"/>
      <c r="HZ83" s="146"/>
      <c r="IA83" s="146"/>
      <c r="IB83" s="146"/>
      <c r="IC83" s="146"/>
      <c r="ID83" s="146"/>
      <c r="IE83" s="146"/>
    </row>
    <row r="84" spans="1:239" ht="14.15" customHeight="1">
      <c r="A84" s="146"/>
      <c r="B84" s="152"/>
      <c r="C84" s="152"/>
      <c r="D84" s="152"/>
      <c r="E84" s="152"/>
      <c r="F84" s="152"/>
      <c r="G84" s="152"/>
      <c r="H84" s="152"/>
      <c r="I84" s="143"/>
      <c r="J84" s="143"/>
      <c r="L84" s="1170"/>
      <c r="M84" s="1170"/>
      <c r="N84" s="639"/>
      <c r="O84" s="639"/>
      <c r="P84" s="639"/>
      <c r="Q84" s="639"/>
      <c r="S84" s="649"/>
      <c r="T84" s="639"/>
      <c r="U84" s="639"/>
      <c r="V84" s="639"/>
      <c r="W84" s="639"/>
      <c r="X84" s="639"/>
      <c r="Y84" s="639"/>
      <c r="Z84" s="639"/>
      <c r="AA84" s="639"/>
      <c r="AB84" s="639"/>
      <c r="AC84" s="639"/>
      <c r="AD84" s="639"/>
      <c r="AE84" s="639"/>
      <c r="AF84" s="639"/>
      <c r="AG84" s="639"/>
      <c r="AH84" s="639"/>
      <c r="AI84" s="639"/>
      <c r="AJ84" s="639"/>
      <c r="AK84" s="639"/>
      <c r="AL84" s="639"/>
      <c r="AM84" s="639"/>
      <c r="AN84" s="639"/>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6"/>
      <c r="GB84" s="146"/>
      <c r="GC84" s="146"/>
      <c r="GD84" s="146"/>
      <c r="GE84" s="146"/>
      <c r="GF84" s="146"/>
      <c r="GG84" s="146"/>
      <c r="GH84" s="146"/>
      <c r="GI84" s="146"/>
      <c r="GJ84" s="146"/>
      <c r="GK84" s="146"/>
      <c r="GL84" s="146"/>
      <c r="GM84" s="146"/>
      <c r="GN84" s="146"/>
      <c r="GO84" s="146"/>
      <c r="GP84" s="146"/>
      <c r="GQ84" s="146"/>
      <c r="GR84" s="146"/>
      <c r="GS84" s="146"/>
      <c r="GT84" s="146"/>
      <c r="GU84" s="146"/>
      <c r="GV84" s="146"/>
      <c r="GW84" s="146"/>
      <c r="GX84" s="146"/>
      <c r="GY84" s="146"/>
      <c r="GZ84" s="146"/>
      <c r="HA84" s="146"/>
      <c r="HB84" s="146"/>
      <c r="HC84" s="146"/>
      <c r="HD84" s="146"/>
      <c r="HE84" s="146"/>
      <c r="HF84" s="146"/>
      <c r="HG84" s="146"/>
      <c r="HH84" s="146"/>
      <c r="HI84" s="146"/>
      <c r="HJ84" s="146"/>
      <c r="HK84" s="146"/>
      <c r="HL84" s="146"/>
      <c r="HM84" s="146"/>
      <c r="HN84" s="146"/>
      <c r="HO84" s="146"/>
      <c r="HP84" s="146"/>
      <c r="HQ84" s="146"/>
      <c r="HR84" s="146"/>
      <c r="HS84" s="146"/>
      <c r="HT84" s="146"/>
      <c r="HU84" s="146"/>
      <c r="HV84" s="146"/>
      <c r="HW84" s="146"/>
      <c r="HX84" s="146"/>
      <c r="HY84" s="146"/>
      <c r="HZ84" s="146"/>
      <c r="IA84" s="146"/>
      <c r="IB84" s="146"/>
      <c r="IC84" s="146"/>
      <c r="ID84" s="146"/>
      <c r="IE84" s="146"/>
    </row>
    <row r="85" spans="1:239" ht="14.15" customHeight="1">
      <c r="A85" s="146"/>
      <c r="B85" s="152"/>
      <c r="C85" s="152"/>
      <c r="D85" s="152"/>
      <c r="E85" s="152"/>
      <c r="F85" s="152"/>
      <c r="G85" s="152"/>
      <c r="H85" s="152"/>
      <c r="I85" s="143"/>
      <c r="J85" s="143"/>
      <c r="L85" s="1170"/>
      <c r="M85" s="1170"/>
      <c r="N85" s="639"/>
      <c r="O85" s="639"/>
      <c r="P85" s="639"/>
      <c r="Q85" s="639"/>
      <c r="S85" s="649"/>
      <c r="T85" s="639"/>
      <c r="U85" s="639"/>
      <c r="V85" s="639"/>
      <c r="W85" s="639"/>
      <c r="X85" s="639"/>
      <c r="Y85" s="639"/>
      <c r="Z85" s="639"/>
      <c r="AA85" s="639"/>
      <c r="AB85" s="639"/>
      <c r="AC85" s="639"/>
      <c r="AD85" s="639"/>
      <c r="AE85" s="639"/>
      <c r="AF85" s="639"/>
      <c r="AG85" s="639"/>
      <c r="AH85" s="639"/>
      <c r="AI85" s="639"/>
      <c r="AJ85" s="639"/>
      <c r="AK85" s="639"/>
      <c r="AL85" s="639"/>
      <c r="AM85" s="639"/>
      <c r="AN85" s="639"/>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row>
    <row r="86" spans="1:239" ht="14.15" customHeight="1">
      <c r="A86" s="146"/>
      <c r="B86" s="152"/>
      <c r="C86" s="152"/>
      <c r="D86" s="152"/>
      <c r="E86" s="152"/>
      <c r="F86" s="152"/>
      <c r="G86" s="152"/>
      <c r="H86" s="152"/>
      <c r="I86" s="143"/>
      <c r="J86" s="143"/>
      <c r="L86" s="1170"/>
      <c r="M86" s="1170"/>
      <c r="N86" s="639"/>
      <c r="O86" s="639"/>
      <c r="P86" s="639"/>
      <c r="Q86" s="639"/>
      <c r="S86" s="649"/>
      <c r="T86" s="639"/>
      <c r="U86" s="639"/>
      <c r="V86" s="639"/>
      <c r="W86" s="639"/>
      <c r="X86" s="639"/>
      <c r="Y86" s="639"/>
      <c r="Z86" s="639"/>
      <c r="AA86" s="639"/>
      <c r="AB86" s="639"/>
      <c r="AC86" s="639"/>
      <c r="AD86" s="639"/>
      <c r="AE86" s="639"/>
      <c r="AF86" s="639"/>
      <c r="AG86" s="639"/>
      <c r="AH86" s="639"/>
      <c r="AI86" s="639"/>
      <c r="AJ86" s="639"/>
      <c r="AK86" s="639"/>
      <c r="AL86" s="639"/>
      <c r="AM86" s="639"/>
      <c r="AN86" s="639"/>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c r="FD86" s="146"/>
      <c r="FE86" s="146"/>
      <c r="FF86" s="146"/>
      <c r="FG86" s="146"/>
      <c r="FH86" s="146"/>
      <c r="FI86" s="146"/>
      <c r="FJ86" s="146"/>
      <c r="FK86" s="146"/>
      <c r="FL86" s="146"/>
      <c r="FM86" s="146"/>
      <c r="FN86" s="146"/>
      <c r="FO86" s="146"/>
      <c r="FP86" s="146"/>
      <c r="FQ86" s="146"/>
      <c r="FR86" s="146"/>
      <c r="FS86" s="146"/>
      <c r="FT86" s="146"/>
      <c r="FU86" s="146"/>
      <c r="FV86" s="146"/>
      <c r="FW86" s="146"/>
      <c r="FX86" s="146"/>
      <c r="FY86" s="146"/>
      <c r="FZ86" s="146"/>
      <c r="GA86" s="146"/>
      <c r="GB86" s="146"/>
      <c r="GC86" s="146"/>
      <c r="GD86" s="146"/>
      <c r="GE86" s="146"/>
      <c r="GF86" s="146"/>
      <c r="GG86" s="146"/>
      <c r="GH86" s="146"/>
      <c r="GI86" s="146"/>
      <c r="GJ86" s="146"/>
      <c r="GK86" s="146"/>
      <c r="GL86" s="146"/>
      <c r="GM86" s="146"/>
      <c r="GN86" s="146"/>
      <c r="GO86" s="146"/>
      <c r="GP86" s="146"/>
      <c r="GQ86" s="146"/>
      <c r="GR86" s="146"/>
      <c r="GS86" s="146"/>
      <c r="GT86" s="146"/>
      <c r="GU86" s="146"/>
      <c r="GV86" s="146"/>
      <c r="GW86" s="146"/>
      <c r="GX86" s="146"/>
      <c r="GY86" s="146"/>
      <c r="GZ86" s="146"/>
      <c r="HA86" s="146"/>
      <c r="HB86" s="146"/>
      <c r="HC86" s="146"/>
      <c r="HD86" s="146"/>
      <c r="HE86" s="146"/>
      <c r="HF86" s="146"/>
      <c r="HG86" s="146"/>
      <c r="HH86" s="146"/>
      <c r="HI86" s="146"/>
      <c r="HJ86" s="146"/>
      <c r="HK86" s="146"/>
      <c r="HL86" s="146"/>
      <c r="HM86" s="146"/>
      <c r="HN86" s="146"/>
      <c r="HO86" s="146"/>
      <c r="HP86" s="146"/>
      <c r="HQ86" s="146"/>
      <c r="HR86" s="146"/>
      <c r="HS86" s="146"/>
      <c r="HT86" s="146"/>
      <c r="HU86" s="146"/>
      <c r="HV86" s="146"/>
      <c r="HW86" s="146"/>
      <c r="HX86" s="146"/>
      <c r="HY86" s="146"/>
      <c r="HZ86" s="146"/>
      <c r="IA86" s="146"/>
      <c r="IB86" s="146"/>
      <c r="IC86" s="146"/>
      <c r="ID86" s="146"/>
      <c r="IE86" s="146"/>
    </row>
    <row r="87" spans="1:239" ht="14.15" customHeight="1">
      <c r="A87" s="146"/>
      <c r="B87" s="152"/>
      <c r="C87" s="152"/>
      <c r="D87" s="152"/>
      <c r="E87" s="152"/>
      <c r="F87" s="152"/>
      <c r="G87" s="152"/>
      <c r="H87" s="152"/>
      <c r="I87" s="143"/>
      <c r="J87" s="143"/>
      <c r="L87" s="1170"/>
      <c r="M87" s="1170"/>
      <c r="N87" s="639"/>
      <c r="O87" s="639"/>
      <c r="P87" s="639"/>
      <c r="Q87" s="639"/>
      <c r="S87" s="649"/>
      <c r="T87" s="639"/>
      <c r="U87" s="639"/>
      <c r="V87" s="639"/>
      <c r="W87" s="639"/>
      <c r="X87" s="639"/>
      <c r="Y87" s="639"/>
      <c r="Z87" s="639"/>
      <c r="AA87" s="639"/>
      <c r="AB87" s="639"/>
      <c r="AC87" s="639"/>
      <c r="AD87" s="639"/>
      <c r="AE87" s="639"/>
      <c r="AF87" s="639"/>
      <c r="AG87" s="639"/>
      <c r="AH87" s="639"/>
      <c r="AI87" s="639"/>
      <c r="AJ87" s="639"/>
      <c r="AK87" s="639"/>
      <c r="AL87" s="639"/>
      <c r="AM87" s="639"/>
      <c r="AN87" s="639"/>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row>
    <row r="88" spans="1:239" ht="14.15" customHeight="1">
      <c r="A88" s="146"/>
      <c r="B88" s="152"/>
      <c r="C88" s="152"/>
      <c r="D88" s="152"/>
      <c r="E88" s="152"/>
      <c r="F88" s="152"/>
      <c r="G88" s="152"/>
      <c r="H88" s="152"/>
      <c r="I88" s="143"/>
      <c r="J88" s="143"/>
      <c r="L88" s="1170"/>
      <c r="M88" s="1170"/>
      <c r="N88" s="639"/>
      <c r="O88" s="639"/>
      <c r="P88" s="639"/>
      <c r="Q88" s="639"/>
      <c r="S88" s="649"/>
      <c r="T88" s="639"/>
      <c r="U88" s="639"/>
      <c r="V88" s="639"/>
      <c r="W88" s="639"/>
      <c r="X88" s="639"/>
      <c r="Y88" s="639"/>
      <c r="Z88" s="639"/>
      <c r="AA88" s="639"/>
      <c r="AB88" s="639"/>
      <c r="AC88" s="639"/>
      <c r="AD88" s="639"/>
      <c r="AE88" s="639"/>
      <c r="AF88" s="639"/>
      <c r="AG88" s="639"/>
      <c r="AH88" s="639"/>
      <c r="AI88" s="639"/>
      <c r="AJ88" s="639"/>
      <c r="AK88" s="639"/>
      <c r="AL88" s="639"/>
      <c r="AM88" s="639"/>
      <c r="AN88" s="639"/>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c r="CC88" s="146"/>
      <c r="CD88" s="146"/>
      <c r="CE88" s="146"/>
      <c r="CF88" s="146"/>
      <c r="CG88" s="14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46"/>
      <c r="EI88" s="146"/>
      <c r="EJ88" s="146"/>
      <c r="EK88" s="146"/>
      <c r="EL88" s="146"/>
      <c r="EM88" s="146"/>
      <c r="EN88" s="146"/>
      <c r="EO88" s="146"/>
      <c r="EP88" s="146"/>
      <c r="EQ88" s="146"/>
      <c r="ER88" s="146"/>
      <c r="ES88" s="146"/>
      <c r="ET88" s="146"/>
      <c r="EU88" s="146"/>
      <c r="EV88" s="146"/>
      <c r="EW88" s="146"/>
      <c r="EX88" s="146"/>
      <c r="EY88" s="146"/>
      <c r="EZ88" s="146"/>
      <c r="FA88" s="146"/>
      <c r="FB88" s="146"/>
      <c r="FC88" s="146"/>
      <c r="FD88" s="146"/>
      <c r="FE88" s="146"/>
      <c r="FF88" s="146"/>
      <c r="FG88" s="146"/>
      <c r="FH88" s="146"/>
      <c r="FI88" s="146"/>
      <c r="FJ88" s="146"/>
      <c r="FK88" s="146"/>
      <c r="FL88" s="146"/>
      <c r="FM88" s="146"/>
      <c r="FN88" s="146"/>
      <c r="FO88" s="146"/>
      <c r="FP88" s="146"/>
      <c r="FQ88" s="146"/>
      <c r="FR88" s="146"/>
      <c r="FS88" s="146"/>
      <c r="FT88" s="146"/>
      <c r="FU88" s="146"/>
      <c r="FV88" s="146"/>
      <c r="FW88" s="146"/>
      <c r="FX88" s="146"/>
      <c r="FY88" s="146"/>
      <c r="FZ88" s="146"/>
      <c r="GA88" s="146"/>
      <c r="GB88" s="146"/>
      <c r="GC88" s="146"/>
      <c r="GD88" s="146"/>
      <c r="GE88" s="146"/>
      <c r="GF88" s="146"/>
      <c r="GG88" s="146"/>
      <c r="GH88" s="146"/>
      <c r="GI88" s="146"/>
      <c r="GJ88" s="146"/>
      <c r="GK88" s="146"/>
      <c r="GL88" s="146"/>
      <c r="GM88" s="146"/>
      <c r="GN88" s="146"/>
      <c r="GO88" s="146"/>
      <c r="GP88" s="146"/>
      <c r="GQ88" s="146"/>
      <c r="GR88" s="146"/>
      <c r="GS88" s="146"/>
      <c r="GT88" s="146"/>
      <c r="GU88" s="146"/>
      <c r="GV88" s="146"/>
      <c r="GW88" s="146"/>
      <c r="GX88" s="146"/>
      <c r="GY88" s="146"/>
      <c r="GZ88" s="146"/>
      <c r="HA88" s="146"/>
      <c r="HB88" s="146"/>
      <c r="HC88" s="146"/>
      <c r="HD88" s="146"/>
      <c r="HE88" s="146"/>
      <c r="HF88" s="146"/>
      <c r="HG88" s="146"/>
      <c r="HH88" s="146"/>
      <c r="HI88" s="146"/>
      <c r="HJ88" s="146"/>
      <c r="HK88" s="146"/>
      <c r="HL88" s="146"/>
      <c r="HM88" s="146"/>
      <c r="HN88" s="146"/>
      <c r="HO88" s="146"/>
      <c r="HP88" s="146"/>
      <c r="HQ88" s="146"/>
      <c r="HR88" s="146"/>
      <c r="HS88" s="146"/>
      <c r="HT88" s="146"/>
      <c r="HU88" s="146"/>
      <c r="HV88" s="146"/>
      <c r="HW88" s="146"/>
      <c r="HX88" s="146"/>
      <c r="HY88" s="146"/>
      <c r="HZ88" s="146"/>
      <c r="IA88" s="146"/>
      <c r="IB88" s="146"/>
      <c r="IC88" s="146"/>
      <c r="ID88" s="146"/>
      <c r="IE88" s="146"/>
    </row>
    <row r="89" spans="1:239" ht="14.15" customHeight="1">
      <c r="A89" s="146"/>
      <c r="B89" s="152"/>
      <c r="C89" s="152"/>
      <c r="D89" s="152"/>
      <c r="E89" s="152"/>
      <c r="F89" s="152"/>
      <c r="G89" s="152"/>
      <c r="H89" s="152"/>
      <c r="I89" s="143"/>
      <c r="J89" s="143"/>
      <c r="L89" s="1170"/>
      <c r="M89" s="1170"/>
      <c r="N89" s="639"/>
      <c r="O89" s="639"/>
      <c r="P89" s="639"/>
      <c r="Q89" s="639"/>
      <c r="S89" s="649"/>
      <c r="T89" s="639"/>
      <c r="U89" s="639"/>
      <c r="V89" s="639"/>
      <c r="W89" s="639"/>
      <c r="X89" s="639"/>
      <c r="Y89" s="639"/>
      <c r="Z89" s="639"/>
      <c r="AA89" s="639"/>
      <c r="AB89" s="639"/>
      <c r="AC89" s="639"/>
      <c r="AD89" s="639"/>
      <c r="AE89" s="639"/>
      <c r="AF89" s="639"/>
      <c r="AG89" s="639"/>
      <c r="AH89" s="639"/>
      <c r="AI89" s="639"/>
      <c r="AJ89" s="639"/>
      <c r="AK89" s="639"/>
      <c r="AL89" s="639"/>
      <c r="AM89" s="639"/>
      <c r="AN89" s="639"/>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c r="CC89" s="146"/>
      <c r="CD89" s="146"/>
      <c r="CE89" s="146"/>
      <c r="CF89" s="146"/>
      <c r="CG89" s="146"/>
      <c r="CH89" s="146"/>
      <c r="CI89" s="146"/>
      <c r="CJ89" s="146"/>
      <c r="CK89" s="146"/>
      <c r="CL89" s="146"/>
      <c r="CM89" s="146"/>
      <c r="CN89" s="146"/>
      <c r="CO89" s="146"/>
      <c r="CP89" s="146"/>
      <c r="CQ89" s="146"/>
      <c r="CR89" s="146"/>
      <c r="CS89" s="146"/>
      <c r="CT89" s="146"/>
      <c r="CU89" s="146"/>
      <c r="CV89" s="146"/>
      <c r="CW89" s="146"/>
      <c r="CX89" s="146"/>
      <c r="CY89" s="146"/>
      <c r="CZ89" s="146"/>
      <c r="DA89" s="146"/>
      <c r="DB89" s="146"/>
      <c r="DC89" s="146"/>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6"/>
      <c r="EE89" s="146"/>
      <c r="EF89" s="146"/>
      <c r="EG89" s="146"/>
      <c r="EH89" s="146"/>
      <c r="EI89" s="146"/>
      <c r="EJ89" s="146"/>
      <c r="EK89" s="146"/>
      <c r="EL89" s="146"/>
      <c r="EM89" s="146"/>
      <c r="EN89" s="146"/>
      <c r="EO89" s="146"/>
      <c r="EP89" s="146"/>
      <c r="EQ89" s="146"/>
      <c r="ER89" s="146"/>
      <c r="ES89" s="146"/>
      <c r="ET89" s="146"/>
      <c r="EU89" s="146"/>
      <c r="EV89" s="146"/>
      <c r="EW89" s="146"/>
      <c r="EX89" s="146"/>
      <c r="EY89" s="146"/>
      <c r="EZ89" s="146"/>
      <c r="FA89" s="146"/>
      <c r="FB89" s="146"/>
      <c r="FC89" s="146"/>
      <c r="FD89" s="146"/>
      <c r="FE89" s="146"/>
      <c r="FF89" s="146"/>
      <c r="FG89" s="146"/>
      <c r="FH89" s="146"/>
      <c r="FI89" s="146"/>
      <c r="FJ89" s="146"/>
      <c r="FK89" s="146"/>
      <c r="FL89" s="146"/>
      <c r="FM89" s="146"/>
      <c r="FN89" s="146"/>
      <c r="FO89" s="146"/>
      <c r="FP89" s="146"/>
      <c r="FQ89" s="146"/>
      <c r="FR89" s="146"/>
      <c r="FS89" s="146"/>
      <c r="FT89" s="146"/>
      <c r="FU89" s="146"/>
      <c r="FV89" s="146"/>
      <c r="FW89" s="146"/>
      <c r="FX89" s="146"/>
      <c r="FY89" s="146"/>
      <c r="FZ89" s="146"/>
      <c r="GA89" s="146"/>
      <c r="GB89" s="146"/>
      <c r="GC89" s="146"/>
      <c r="GD89" s="146"/>
      <c r="GE89" s="146"/>
      <c r="GF89" s="146"/>
      <c r="GG89" s="146"/>
      <c r="GH89" s="146"/>
      <c r="GI89" s="146"/>
      <c r="GJ89" s="146"/>
      <c r="GK89" s="146"/>
      <c r="GL89" s="146"/>
      <c r="GM89" s="146"/>
      <c r="GN89" s="146"/>
      <c r="GO89" s="146"/>
      <c r="GP89" s="146"/>
      <c r="GQ89" s="146"/>
      <c r="GR89" s="146"/>
      <c r="GS89" s="146"/>
      <c r="GT89" s="146"/>
      <c r="GU89" s="146"/>
      <c r="GV89" s="146"/>
      <c r="GW89" s="146"/>
      <c r="GX89" s="146"/>
      <c r="GY89" s="146"/>
      <c r="GZ89" s="146"/>
      <c r="HA89" s="146"/>
      <c r="HB89" s="146"/>
      <c r="HC89" s="146"/>
      <c r="HD89" s="146"/>
      <c r="HE89" s="146"/>
      <c r="HF89" s="146"/>
      <c r="HG89" s="146"/>
      <c r="HH89" s="146"/>
      <c r="HI89" s="146"/>
      <c r="HJ89" s="146"/>
      <c r="HK89" s="146"/>
      <c r="HL89" s="146"/>
      <c r="HM89" s="146"/>
      <c r="HN89" s="146"/>
      <c r="HO89" s="146"/>
      <c r="HP89" s="146"/>
      <c r="HQ89" s="146"/>
      <c r="HR89" s="146"/>
      <c r="HS89" s="146"/>
      <c r="HT89" s="146"/>
      <c r="HU89" s="146"/>
      <c r="HV89" s="146"/>
      <c r="HW89" s="146"/>
      <c r="HX89" s="146"/>
      <c r="HY89" s="146"/>
      <c r="HZ89" s="146"/>
      <c r="IA89" s="146"/>
      <c r="IB89" s="146"/>
      <c r="IC89" s="146"/>
      <c r="ID89" s="146"/>
      <c r="IE89" s="146"/>
    </row>
    <row r="90" spans="1:239" ht="14.15" customHeight="1">
      <c r="A90" s="146"/>
      <c r="B90" s="152"/>
      <c r="C90" s="152"/>
      <c r="D90" s="152"/>
      <c r="E90" s="152"/>
      <c r="F90" s="152"/>
      <c r="G90" s="152"/>
      <c r="H90" s="152"/>
      <c r="I90" s="143"/>
      <c r="J90" s="143"/>
      <c r="L90" s="1170"/>
      <c r="M90" s="1170"/>
      <c r="N90" s="639"/>
      <c r="O90" s="639"/>
      <c r="P90" s="639"/>
      <c r="Q90" s="639"/>
      <c r="S90" s="649"/>
      <c r="T90" s="639"/>
      <c r="U90" s="639"/>
      <c r="V90" s="639"/>
      <c r="W90" s="639"/>
      <c r="X90" s="639"/>
      <c r="Y90" s="639"/>
      <c r="Z90" s="639"/>
      <c r="AA90" s="639"/>
      <c r="AB90" s="639"/>
      <c r="AC90" s="639"/>
      <c r="AD90" s="639"/>
      <c r="AE90" s="639"/>
      <c r="AF90" s="639"/>
      <c r="AG90" s="639"/>
      <c r="AH90" s="639"/>
      <c r="AI90" s="639"/>
      <c r="AJ90" s="639"/>
      <c r="AK90" s="639"/>
      <c r="AL90" s="639"/>
      <c r="AM90" s="639"/>
      <c r="AN90" s="639"/>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6"/>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c r="FD90" s="146"/>
      <c r="FE90" s="146"/>
      <c r="FF90" s="146"/>
      <c r="FG90" s="146"/>
      <c r="FH90" s="146"/>
      <c r="FI90" s="146"/>
      <c r="FJ90" s="146"/>
      <c r="FK90" s="146"/>
      <c r="FL90" s="146"/>
      <c r="FM90" s="146"/>
      <c r="FN90" s="146"/>
      <c r="FO90" s="146"/>
      <c r="FP90" s="146"/>
      <c r="FQ90" s="146"/>
      <c r="FR90" s="146"/>
      <c r="FS90" s="146"/>
      <c r="FT90" s="146"/>
      <c r="FU90" s="146"/>
      <c r="FV90" s="146"/>
      <c r="FW90" s="146"/>
      <c r="FX90" s="146"/>
      <c r="FY90" s="146"/>
      <c r="FZ90" s="146"/>
      <c r="GA90" s="146"/>
      <c r="GB90" s="146"/>
      <c r="GC90" s="146"/>
      <c r="GD90" s="146"/>
      <c r="GE90" s="146"/>
      <c r="GF90" s="146"/>
      <c r="GG90" s="146"/>
      <c r="GH90" s="146"/>
      <c r="GI90" s="146"/>
      <c r="GJ90" s="146"/>
      <c r="GK90" s="146"/>
      <c r="GL90" s="146"/>
      <c r="GM90" s="146"/>
      <c r="GN90" s="146"/>
      <c r="GO90" s="146"/>
      <c r="GP90" s="146"/>
      <c r="GQ90" s="146"/>
      <c r="GR90" s="146"/>
      <c r="GS90" s="146"/>
      <c r="GT90" s="146"/>
      <c r="GU90" s="146"/>
      <c r="GV90" s="146"/>
      <c r="GW90" s="146"/>
      <c r="GX90" s="146"/>
      <c r="GY90" s="146"/>
      <c r="GZ90" s="146"/>
      <c r="HA90" s="146"/>
      <c r="HB90" s="146"/>
      <c r="HC90" s="146"/>
      <c r="HD90" s="146"/>
      <c r="HE90" s="146"/>
      <c r="HF90" s="146"/>
      <c r="HG90" s="146"/>
      <c r="HH90" s="146"/>
      <c r="HI90" s="146"/>
      <c r="HJ90" s="146"/>
      <c r="HK90" s="146"/>
      <c r="HL90" s="146"/>
      <c r="HM90" s="146"/>
      <c r="HN90" s="146"/>
      <c r="HO90" s="146"/>
      <c r="HP90" s="146"/>
      <c r="HQ90" s="146"/>
      <c r="HR90" s="146"/>
      <c r="HS90" s="146"/>
      <c r="HT90" s="146"/>
      <c r="HU90" s="146"/>
      <c r="HV90" s="146"/>
      <c r="HW90" s="146"/>
      <c r="HX90" s="146"/>
      <c r="HY90" s="146"/>
      <c r="HZ90" s="146"/>
      <c r="IA90" s="146"/>
      <c r="IB90" s="146"/>
      <c r="IC90" s="146"/>
      <c r="ID90" s="146"/>
      <c r="IE90" s="146"/>
    </row>
    <row r="91" spans="1:239" ht="14.15" customHeight="1">
      <c r="A91" s="146"/>
      <c r="B91" s="152"/>
      <c r="C91" s="152"/>
      <c r="D91" s="152"/>
      <c r="E91" s="152"/>
      <c r="F91" s="152"/>
      <c r="G91" s="152"/>
      <c r="H91" s="152"/>
      <c r="I91" s="143"/>
      <c r="J91" s="143"/>
      <c r="L91" s="1170"/>
      <c r="M91" s="1170"/>
      <c r="N91" s="639"/>
      <c r="O91" s="639"/>
      <c r="P91" s="639"/>
      <c r="Q91" s="639"/>
      <c r="S91" s="649"/>
      <c r="T91" s="639"/>
      <c r="U91" s="639"/>
      <c r="V91" s="639"/>
      <c r="W91" s="639"/>
      <c r="X91" s="639"/>
      <c r="Y91" s="639"/>
      <c r="Z91" s="639"/>
      <c r="AA91" s="639"/>
      <c r="AB91" s="639"/>
      <c r="AC91" s="639"/>
      <c r="AD91" s="639"/>
      <c r="AE91" s="639"/>
      <c r="AF91" s="639"/>
      <c r="AG91" s="639"/>
      <c r="AH91" s="639"/>
      <c r="AI91" s="639"/>
      <c r="AJ91" s="639"/>
      <c r="AK91" s="639"/>
      <c r="AL91" s="639"/>
      <c r="AM91" s="639"/>
      <c r="AN91" s="639"/>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c r="CP91" s="146"/>
      <c r="CQ91" s="146"/>
      <c r="CR91" s="146"/>
      <c r="CS91" s="146"/>
      <c r="CT91" s="146"/>
      <c r="CU91" s="146"/>
      <c r="CV91" s="146"/>
      <c r="CW91" s="146"/>
      <c r="CX91" s="146"/>
      <c r="CY91" s="146"/>
      <c r="CZ91" s="146"/>
      <c r="DA91" s="146"/>
      <c r="DB91" s="146"/>
      <c r="DC91" s="146"/>
      <c r="DD91" s="146"/>
      <c r="DE91" s="146"/>
      <c r="DF91" s="146"/>
      <c r="DG91" s="146"/>
      <c r="DH91" s="146"/>
      <c r="DI91" s="146"/>
      <c r="DJ91" s="146"/>
      <c r="DK91" s="146"/>
      <c r="DL91" s="146"/>
      <c r="DM91" s="146"/>
      <c r="DN91" s="146"/>
      <c r="DO91" s="146"/>
      <c r="DP91" s="146"/>
      <c r="DQ91" s="146"/>
      <c r="DR91" s="146"/>
      <c r="DS91" s="146"/>
      <c r="DT91" s="146"/>
      <c r="DU91" s="146"/>
      <c r="DV91" s="146"/>
      <c r="DW91" s="146"/>
      <c r="DX91" s="146"/>
      <c r="DY91" s="146"/>
      <c r="DZ91" s="146"/>
      <c r="EA91" s="146"/>
      <c r="EB91" s="146"/>
      <c r="EC91" s="146"/>
      <c r="ED91" s="146"/>
      <c r="EE91" s="146"/>
      <c r="EF91" s="146"/>
      <c r="EG91" s="146"/>
      <c r="EH91" s="146"/>
      <c r="EI91" s="146"/>
      <c r="EJ91" s="146"/>
      <c r="EK91" s="146"/>
      <c r="EL91" s="146"/>
      <c r="EM91" s="146"/>
      <c r="EN91" s="146"/>
      <c r="EO91" s="146"/>
      <c r="EP91" s="146"/>
      <c r="EQ91" s="146"/>
      <c r="ER91" s="146"/>
      <c r="ES91" s="146"/>
      <c r="ET91" s="146"/>
      <c r="EU91" s="146"/>
      <c r="EV91" s="146"/>
      <c r="EW91" s="146"/>
      <c r="EX91" s="146"/>
      <c r="EY91" s="146"/>
      <c r="EZ91" s="146"/>
      <c r="FA91" s="146"/>
      <c r="FB91" s="146"/>
      <c r="FC91" s="146"/>
      <c r="FD91" s="146"/>
      <c r="FE91" s="146"/>
      <c r="FF91" s="146"/>
      <c r="FG91" s="146"/>
      <c r="FH91" s="146"/>
      <c r="FI91" s="146"/>
      <c r="FJ91" s="146"/>
      <c r="FK91" s="146"/>
      <c r="FL91" s="146"/>
      <c r="FM91" s="146"/>
      <c r="FN91" s="146"/>
      <c r="FO91" s="146"/>
      <c r="FP91" s="146"/>
      <c r="FQ91" s="146"/>
      <c r="FR91" s="146"/>
      <c r="FS91" s="146"/>
      <c r="FT91" s="146"/>
      <c r="FU91" s="146"/>
      <c r="FV91" s="146"/>
      <c r="FW91" s="146"/>
      <c r="FX91" s="146"/>
      <c r="FY91" s="146"/>
      <c r="FZ91" s="146"/>
      <c r="GA91" s="146"/>
      <c r="GB91" s="146"/>
      <c r="GC91" s="146"/>
      <c r="GD91" s="146"/>
      <c r="GE91" s="146"/>
      <c r="GF91" s="146"/>
      <c r="GG91" s="146"/>
      <c r="GH91" s="146"/>
      <c r="GI91" s="146"/>
      <c r="GJ91" s="146"/>
      <c r="GK91" s="146"/>
      <c r="GL91" s="146"/>
      <c r="GM91" s="146"/>
      <c r="GN91" s="146"/>
      <c r="GO91" s="146"/>
      <c r="GP91" s="146"/>
      <c r="GQ91" s="146"/>
      <c r="GR91" s="146"/>
      <c r="GS91" s="146"/>
      <c r="GT91" s="146"/>
      <c r="GU91" s="146"/>
      <c r="GV91" s="146"/>
      <c r="GW91" s="146"/>
      <c r="GX91" s="146"/>
      <c r="GY91" s="146"/>
      <c r="GZ91" s="146"/>
      <c r="HA91" s="146"/>
      <c r="HB91" s="146"/>
      <c r="HC91" s="146"/>
      <c r="HD91" s="146"/>
      <c r="HE91" s="146"/>
      <c r="HF91" s="146"/>
      <c r="HG91" s="146"/>
      <c r="HH91" s="146"/>
      <c r="HI91" s="146"/>
      <c r="HJ91" s="146"/>
      <c r="HK91" s="146"/>
      <c r="HL91" s="146"/>
      <c r="HM91" s="146"/>
      <c r="HN91" s="146"/>
      <c r="HO91" s="146"/>
      <c r="HP91" s="146"/>
      <c r="HQ91" s="146"/>
      <c r="HR91" s="146"/>
      <c r="HS91" s="146"/>
      <c r="HT91" s="146"/>
      <c r="HU91" s="146"/>
      <c r="HV91" s="146"/>
      <c r="HW91" s="146"/>
      <c r="HX91" s="146"/>
      <c r="HY91" s="146"/>
      <c r="HZ91" s="146"/>
      <c r="IA91" s="146"/>
      <c r="IB91" s="146"/>
      <c r="IC91" s="146"/>
      <c r="ID91" s="146"/>
      <c r="IE91" s="146"/>
    </row>
    <row r="92" spans="1:239" ht="14.15" customHeight="1">
      <c r="A92" s="146"/>
      <c r="B92" s="152"/>
      <c r="C92" s="152"/>
      <c r="D92" s="152"/>
      <c r="E92" s="152"/>
      <c r="F92" s="152"/>
      <c r="G92" s="152"/>
      <c r="H92" s="152"/>
      <c r="I92" s="143"/>
      <c r="J92" s="143"/>
      <c r="L92" s="1170"/>
      <c r="M92" s="1170"/>
      <c r="N92" s="639"/>
      <c r="O92" s="639"/>
      <c r="P92" s="639"/>
      <c r="Q92" s="639"/>
      <c r="S92" s="649"/>
      <c r="T92" s="639"/>
      <c r="U92" s="639"/>
      <c r="V92" s="639"/>
      <c r="W92" s="639"/>
      <c r="X92" s="639"/>
      <c r="Y92" s="639"/>
      <c r="Z92" s="639"/>
      <c r="AA92" s="639"/>
      <c r="AB92" s="639"/>
      <c r="AC92" s="639"/>
      <c r="AD92" s="639"/>
      <c r="AE92" s="639"/>
      <c r="AF92" s="639"/>
      <c r="AG92" s="639"/>
      <c r="AH92" s="639"/>
      <c r="AI92" s="639"/>
      <c r="AJ92" s="639"/>
      <c r="AK92" s="639"/>
      <c r="AL92" s="639"/>
      <c r="AM92" s="639"/>
      <c r="AN92" s="639"/>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146"/>
      <c r="CX92" s="146"/>
      <c r="CY92" s="146"/>
      <c r="CZ92" s="146"/>
      <c r="DA92" s="146"/>
      <c r="DB92" s="146"/>
      <c r="DC92" s="146"/>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6"/>
      <c r="EC92" s="146"/>
      <c r="ED92" s="146"/>
      <c r="EE92" s="146"/>
      <c r="EF92" s="146"/>
      <c r="EG92" s="146"/>
      <c r="EH92" s="146"/>
      <c r="EI92" s="146"/>
      <c r="EJ92" s="146"/>
      <c r="EK92" s="146"/>
      <c r="EL92" s="146"/>
      <c r="EM92" s="146"/>
      <c r="EN92" s="146"/>
      <c r="EO92" s="146"/>
      <c r="EP92" s="146"/>
      <c r="EQ92" s="146"/>
      <c r="ER92" s="146"/>
      <c r="ES92" s="146"/>
      <c r="ET92" s="146"/>
      <c r="EU92" s="146"/>
      <c r="EV92" s="146"/>
      <c r="EW92" s="146"/>
      <c r="EX92" s="146"/>
      <c r="EY92" s="146"/>
      <c r="EZ92" s="146"/>
      <c r="FA92" s="146"/>
      <c r="FB92" s="146"/>
      <c r="FC92" s="146"/>
      <c r="FD92" s="146"/>
      <c r="FE92" s="146"/>
      <c r="FF92" s="146"/>
      <c r="FG92" s="146"/>
      <c r="FH92" s="146"/>
      <c r="FI92" s="146"/>
      <c r="FJ92" s="146"/>
      <c r="FK92" s="146"/>
      <c r="FL92" s="146"/>
      <c r="FM92" s="146"/>
      <c r="FN92" s="146"/>
      <c r="FO92" s="146"/>
      <c r="FP92" s="146"/>
      <c r="FQ92" s="146"/>
      <c r="FR92" s="146"/>
      <c r="FS92" s="146"/>
      <c r="FT92" s="146"/>
      <c r="FU92" s="146"/>
      <c r="FV92" s="146"/>
      <c r="FW92" s="146"/>
      <c r="FX92" s="146"/>
      <c r="FY92" s="146"/>
      <c r="FZ92" s="146"/>
      <c r="GA92" s="146"/>
      <c r="GB92" s="146"/>
      <c r="GC92" s="146"/>
      <c r="GD92" s="146"/>
      <c r="GE92" s="146"/>
      <c r="GF92" s="146"/>
      <c r="GG92" s="146"/>
      <c r="GH92" s="146"/>
      <c r="GI92" s="146"/>
      <c r="GJ92" s="146"/>
      <c r="GK92" s="146"/>
      <c r="GL92" s="146"/>
      <c r="GM92" s="146"/>
      <c r="GN92" s="146"/>
      <c r="GO92" s="146"/>
      <c r="GP92" s="146"/>
      <c r="GQ92" s="146"/>
      <c r="GR92" s="146"/>
      <c r="GS92" s="146"/>
      <c r="GT92" s="146"/>
      <c r="GU92" s="146"/>
      <c r="GV92" s="146"/>
      <c r="GW92" s="146"/>
      <c r="GX92" s="146"/>
      <c r="GY92" s="146"/>
      <c r="GZ92" s="146"/>
      <c r="HA92" s="146"/>
      <c r="HB92" s="146"/>
      <c r="HC92" s="146"/>
      <c r="HD92" s="146"/>
      <c r="HE92" s="146"/>
      <c r="HF92" s="146"/>
      <c r="HG92" s="146"/>
      <c r="HH92" s="146"/>
      <c r="HI92" s="146"/>
      <c r="HJ92" s="146"/>
      <c r="HK92" s="146"/>
      <c r="HL92" s="146"/>
      <c r="HM92" s="146"/>
      <c r="HN92" s="146"/>
      <c r="HO92" s="146"/>
      <c r="HP92" s="146"/>
      <c r="HQ92" s="146"/>
      <c r="HR92" s="146"/>
      <c r="HS92" s="146"/>
      <c r="HT92" s="146"/>
      <c r="HU92" s="146"/>
      <c r="HV92" s="146"/>
      <c r="HW92" s="146"/>
      <c r="HX92" s="146"/>
      <c r="HY92" s="146"/>
      <c r="HZ92" s="146"/>
      <c r="IA92" s="146"/>
      <c r="IB92" s="146"/>
      <c r="IC92" s="146"/>
      <c r="ID92" s="146"/>
      <c r="IE92" s="146"/>
    </row>
    <row r="93" spans="1:239" ht="14.15" customHeight="1">
      <c r="A93" s="146"/>
      <c r="B93" s="152"/>
      <c r="C93" s="152"/>
      <c r="D93" s="152"/>
      <c r="E93" s="152"/>
      <c r="F93" s="152"/>
      <c r="G93" s="152"/>
      <c r="H93" s="152"/>
      <c r="I93" s="143"/>
      <c r="J93" s="143"/>
      <c r="L93" s="1170"/>
      <c r="M93" s="1170"/>
      <c r="N93" s="639"/>
      <c r="O93" s="639"/>
      <c r="P93" s="639"/>
      <c r="Q93" s="639"/>
      <c r="S93" s="649"/>
      <c r="T93" s="639"/>
      <c r="U93" s="639"/>
      <c r="V93" s="639"/>
      <c r="W93" s="639"/>
      <c r="X93" s="639"/>
      <c r="Y93" s="639"/>
      <c r="Z93" s="639"/>
      <c r="AA93" s="639"/>
      <c r="AB93" s="639"/>
      <c r="AC93" s="639"/>
      <c r="AD93" s="639"/>
      <c r="AE93" s="639"/>
      <c r="AF93" s="639"/>
      <c r="AG93" s="639"/>
      <c r="AH93" s="639"/>
      <c r="AI93" s="639"/>
      <c r="AJ93" s="639"/>
      <c r="AK93" s="639"/>
      <c r="AL93" s="639"/>
      <c r="AM93" s="639"/>
      <c r="AN93" s="639"/>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c r="CC93" s="146"/>
      <c r="CD93" s="146"/>
      <c r="CE93" s="146"/>
      <c r="CF93" s="146"/>
      <c r="CG93" s="146"/>
      <c r="CH93" s="146"/>
      <c r="CI93" s="146"/>
      <c r="CJ93" s="146"/>
      <c r="CK93" s="146"/>
      <c r="CL93" s="146"/>
      <c r="CM93" s="146"/>
      <c r="CN93" s="146"/>
      <c r="CO93" s="146"/>
      <c r="CP93" s="146"/>
      <c r="CQ93" s="146"/>
      <c r="CR93" s="146"/>
      <c r="CS93" s="146"/>
      <c r="CT93" s="146"/>
      <c r="CU93" s="146"/>
      <c r="CV93" s="146"/>
      <c r="CW93" s="146"/>
      <c r="CX93" s="146"/>
      <c r="CY93" s="146"/>
      <c r="CZ93" s="146"/>
      <c r="DA93" s="146"/>
      <c r="DB93" s="146"/>
      <c r="DC93" s="146"/>
      <c r="DD93" s="146"/>
      <c r="DE93" s="146"/>
      <c r="DF93" s="146"/>
      <c r="DG93" s="146"/>
      <c r="DH93" s="146"/>
      <c r="DI93" s="146"/>
      <c r="DJ93" s="146"/>
      <c r="DK93" s="146"/>
      <c r="DL93" s="146"/>
      <c r="DM93" s="146"/>
      <c r="DN93" s="146"/>
      <c r="DO93" s="146"/>
      <c r="DP93" s="146"/>
      <c r="DQ93" s="146"/>
      <c r="DR93" s="146"/>
      <c r="DS93" s="146"/>
      <c r="DT93" s="146"/>
      <c r="DU93" s="146"/>
      <c r="DV93" s="146"/>
      <c r="DW93" s="146"/>
      <c r="DX93" s="146"/>
      <c r="DY93" s="146"/>
      <c r="DZ93" s="146"/>
      <c r="EA93" s="146"/>
      <c r="EB93" s="146"/>
      <c r="EC93" s="146"/>
      <c r="ED93" s="146"/>
      <c r="EE93" s="146"/>
      <c r="EF93" s="146"/>
      <c r="EG93" s="146"/>
      <c r="EH93" s="146"/>
      <c r="EI93" s="146"/>
      <c r="EJ93" s="146"/>
      <c r="EK93" s="146"/>
      <c r="EL93" s="146"/>
      <c r="EM93" s="146"/>
      <c r="EN93" s="146"/>
      <c r="EO93" s="146"/>
      <c r="EP93" s="146"/>
      <c r="EQ93" s="146"/>
      <c r="ER93" s="146"/>
      <c r="ES93" s="146"/>
      <c r="ET93" s="146"/>
      <c r="EU93" s="146"/>
      <c r="EV93" s="146"/>
      <c r="EW93" s="146"/>
      <c r="EX93" s="146"/>
      <c r="EY93" s="146"/>
      <c r="EZ93" s="146"/>
      <c r="FA93" s="146"/>
      <c r="FB93" s="146"/>
      <c r="FC93" s="146"/>
      <c r="FD93" s="146"/>
      <c r="FE93" s="146"/>
      <c r="FF93" s="146"/>
      <c r="FG93" s="146"/>
      <c r="FH93" s="146"/>
      <c r="FI93" s="146"/>
      <c r="FJ93" s="146"/>
      <c r="FK93" s="146"/>
      <c r="FL93" s="146"/>
      <c r="FM93" s="146"/>
      <c r="FN93" s="146"/>
      <c r="FO93" s="146"/>
      <c r="FP93" s="146"/>
      <c r="FQ93" s="146"/>
      <c r="FR93" s="146"/>
      <c r="FS93" s="146"/>
      <c r="FT93" s="146"/>
      <c r="FU93" s="146"/>
      <c r="FV93" s="146"/>
      <c r="FW93" s="146"/>
      <c r="FX93" s="146"/>
      <c r="FY93" s="146"/>
      <c r="FZ93" s="146"/>
      <c r="GA93" s="146"/>
      <c r="GB93" s="146"/>
      <c r="GC93" s="146"/>
      <c r="GD93" s="146"/>
      <c r="GE93" s="146"/>
      <c r="GF93" s="146"/>
      <c r="GG93" s="146"/>
      <c r="GH93" s="146"/>
      <c r="GI93" s="146"/>
      <c r="GJ93" s="146"/>
      <c r="GK93" s="146"/>
      <c r="GL93" s="146"/>
      <c r="GM93" s="146"/>
      <c r="GN93" s="146"/>
      <c r="GO93" s="146"/>
      <c r="GP93" s="146"/>
      <c r="GQ93" s="146"/>
      <c r="GR93" s="146"/>
      <c r="GS93" s="146"/>
      <c r="GT93" s="146"/>
      <c r="GU93" s="146"/>
      <c r="GV93" s="146"/>
      <c r="GW93" s="146"/>
      <c r="GX93" s="146"/>
      <c r="GY93" s="146"/>
      <c r="GZ93" s="146"/>
      <c r="HA93" s="146"/>
      <c r="HB93" s="146"/>
      <c r="HC93" s="146"/>
      <c r="HD93" s="146"/>
      <c r="HE93" s="146"/>
      <c r="HF93" s="146"/>
      <c r="HG93" s="146"/>
      <c r="HH93" s="146"/>
      <c r="HI93" s="146"/>
      <c r="HJ93" s="146"/>
      <c r="HK93" s="146"/>
      <c r="HL93" s="146"/>
      <c r="HM93" s="146"/>
      <c r="HN93" s="146"/>
      <c r="HO93" s="146"/>
      <c r="HP93" s="146"/>
      <c r="HQ93" s="146"/>
      <c r="HR93" s="146"/>
      <c r="HS93" s="146"/>
      <c r="HT93" s="146"/>
      <c r="HU93" s="146"/>
      <c r="HV93" s="146"/>
      <c r="HW93" s="146"/>
      <c r="HX93" s="146"/>
      <c r="HY93" s="146"/>
      <c r="HZ93" s="146"/>
      <c r="IA93" s="146"/>
      <c r="IB93" s="146"/>
      <c r="IC93" s="146"/>
      <c r="ID93" s="146"/>
      <c r="IE93" s="146"/>
    </row>
    <row r="94" spans="1:239" ht="14.15" customHeight="1">
      <c r="A94" s="146"/>
      <c r="B94" s="152"/>
      <c r="C94" s="152"/>
      <c r="D94" s="152"/>
      <c r="E94" s="152"/>
      <c r="F94" s="152"/>
      <c r="G94" s="152"/>
      <c r="H94" s="152"/>
      <c r="I94" s="143"/>
      <c r="J94" s="143"/>
      <c r="L94" s="1170"/>
      <c r="M94" s="1170"/>
      <c r="N94" s="639"/>
      <c r="O94" s="639"/>
      <c r="P94" s="639"/>
      <c r="Q94" s="639"/>
      <c r="S94" s="649"/>
      <c r="T94" s="639"/>
      <c r="U94" s="639"/>
      <c r="V94" s="639"/>
      <c r="W94" s="639"/>
      <c r="X94" s="639"/>
      <c r="Y94" s="639"/>
      <c r="Z94" s="639"/>
      <c r="AA94" s="639"/>
      <c r="AB94" s="639"/>
      <c r="AC94" s="639"/>
      <c r="AD94" s="639"/>
      <c r="AE94" s="639"/>
      <c r="AF94" s="639"/>
      <c r="AG94" s="639"/>
      <c r="AH94" s="639"/>
      <c r="AI94" s="639"/>
      <c r="AJ94" s="639"/>
      <c r="AK94" s="639"/>
      <c r="AL94" s="639"/>
      <c r="AM94" s="639"/>
      <c r="AN94" s="639"/>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6"/>
      <c r="EU94" s="146"/>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c r="GU94" s="146"/>
      <c r="GV94" s="146"/>
      <c r="GW94" s="146"/>
      <c r="GX94" s="146"/>
      <c r="GY94" s="146"/>
      <c r="GZ94" s="146"/>
      <c r="HA94" s="146"/>
      <c r="HB94" s="146"/>
      <c r="HC94" s="146"/>
      <c r="HD94" s="146"/>
      <c r="HE94" s="146"/>
      <c r="HF94" s="146"/>
      <c r="HG94" s="146"/>
      <c r="HH94" s="146"/>
      <c r="HI94" s="146"/>
      <c r="HJ94" s="146"/>
      <c r="HK94" s="146"/>
      <c r="HL94" s="146"/>
      <c r="HM94" s="146"/>
      <c r="HN94" s="146"/>
      <c r="HO94" s="146"/>
      <c r="HP94" s="146"/>
      <c r="HQ94" s="146"/>
      <c r="HR94" s="146"/>
      <c r="HS94" s="146"/>
      <c r="HT94" s="146"/>
      <c r="HU94" s="146"/>
      <c r="HV94" s="146"/>
      <c r="HW94" s="146"/>
      <c r="HX94" s="146"/>
      <c r="HY94" s="146"/>
      <c r="HZ94" s="146"/>
      <c r="IA94" s="146"/>
      <c r="IB94" s="146"/>
      <c r="IC94" s="146"/>
      <c r="ID94" s="146"/>
      <c r="IE94" s="146"/>
    </row>
    <row r="95" spans="1:239" ht="14.15" customHeight="1">
      <c r="A95" s="146"/>
      <c r="B95" s="152"/>
      <c r="C95" s="152"/>
      <c r="D95" s="152"/>
      <c r="E95" s="152"/>
      <c r="F95" s="152"/>
      <c r="G95" s="152"/>
      <c r="H95" s="152"/>
      <c r="I95" s="143"/>
      <c r="J95" s="143"/>
      <c r="L95" s="1170"/>
      <c r="M95" s="1170"/>
      <c r="N95" s="639"/>
      <c r="O95" s="639"/>
      <c r="P95" s="639"/>
      <c r="Q95" s="639"/>
      <c r="S95" s="649"/>
      <c r="T95" s="639"/>
      <c r="U95" s="639"/>
      <c r="V95" s="639"/>
      <c r="W95" s="639"/>
      <c r="X95" s="639"/>
      <c r="Y95" s="639"/>
      <c r="Z95" s="639"/>
      <c r="AA95" s="639"/>
      <c r="AB95" s="639"/>
      <c r="AC95" s="639"/>
      <c r="AD95" s="639"/>
      <c r="AE95" s="639"/>
      <c r="AF95" s="639"/>
      <c r="AG95" s="639"/>
      <c r="AH95" s="639"/>
      <c r="AI95" s="639"/>
      <c r="AJ95" s="639"/>
      <c r="AK95" s="639"/>
      <c r="AL95" s="639"/>
      <c r="AM95" s="639"/>
      <c r="AN95" s="639"/>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c r="CC95" s="146"/>
      <c r="CD95" s="146"/>
      <c r="CE95" s="146"/>
      <c r="CF95" s="146"/>
      <c r="CG95" s="146"/>
      <c r="CH95" s="146"/>
      <c r="CI95" s="146"/>
      <c r="CJ95" s="146"/>
      <c r="CK95" s="146"/>
      <c r="CL95" s="146"/>
      <c r="CM95" s="146"/>
      <c r="CN95" s="146"/>
      <c r="CO95" s="146"/>
      <c r="CP95" s="146"/>
      <c r="CQ95" s="146"/>
      <c r="CR95" s="146"/>
      <c r="CS95" s="146"/>
      <c r="CT95" s="146"/>
      <c r="CU95" s="146"/>
      <c r="CV95" s="146"/>
      <c r="CW95" s="146"/>
      <c r="CX95" s="146"/>
      <c r="CY95" s="146"/>
      <c r="CZ95" s="146"/>
      <c r="DA95" s="146"/>
      <c r="DB95" s="146"/>
      <c r="DC95" s="146"/>
      <c r="DD95" s="146"/>
      <c r="DE95" s="146"/>
      <c r="DF95" s="146"/>
      <c r="DG95" s="146"/>
      <c r="DH95" s="146"/>
      <c r="DI95" s="146"/>
      <c r="DJ95" s="146"/>
      <c r="DK95" s="146"/>
      <c r="DL95" s="146"/>
      <c r="DM95" s="146"/>
      <c r="DN95" s="146"/>
      <c r="DO95" s="146"/>
      <c r="DP95" s="146"/>
      <c r="DQ95" s="146"/>
      <c r="DR95" s="146"/>
      <c r="DS95" s="146"/>
      <c r="DT95" s="146"/>
      <c r="DU95" s="146"/>
      <c r="DV95" s="146"/>
      <c r="DW95" s="146"/>
      <c r="DX95" s="146"/>
      <c r="DY95" s="146"/>
      <c r="DZ95" s="146"/>
      <c r="EA95" s="146"/>
      <c r="EB95" s="146"/>
      <c r="EC95" s="146"/>
      <c r="ED95" s="146"/>
      <c r="EE95" s="146"/>
      <c r="EF95" s="146"/>
      <c r="EG95" s="146"/>
      <c r="EH95" s="146"/>
      <c r="EI95" s="146"/>
      <c r="EJ95" s="146"/>
      <c r="EK95" s="146"/>
      <c r="EL95" s="146"/>
      <c r="EM95" s="146"/>
      <c r="EN95" s="146"/>
      <c r="EO95" s="146"/>
      <c r="EP95" s="146"/>
      <c r="EQ95" s="146"/>
      <c r="ER95" s="146"/>
      <c r="ES95" s="146"/>
      <c r="ET95" s="146"/>
      <c r="EU95" s="146"/>
      <c r="EV95" s="146"/>
      <c r="EW95" s="146"/>
      <c r="EX95" s="146"/>
      <c r="EY95" s="146"/>
      <c r="EZ95" s="146"/>
      <c r="FA95" s="146"/>
      <c r="FB95" s="146"/>
      <c r="FC95" s="146"/>
      <c r="FD95" s="146"/>
      <c r="FE95" s="146"/>
      <c r="FF95" s="146"/>
      <c r="FG95" s="146"/>
      <c r="FH95" s="146"/>
      <c r="FI95" s="146"/>
      <c r="FJ95" s="146"/>
      <c r="FK95" s="146"/>
      <c r="FL95" s="146"/>
      <c r="FM95" s="146"/>
      <c r="FN95" s="146"/>
      <c r="FO95" s="146"/>
      <c r="FP95" s="146"/>
      <c r="FQ95" s="146"/>
      <c r="FR95" s="146"/>
      <c r="FS95" s="146"/>
      <c r="FT95" s="146"/>
      <c r="FU95" s="146"/>
      <c r="FV95" s="146"/>
      <c r="FW95" s="146"/>
      <c r="FX95" s="146"/>
      <c r="FY95" s="146"/>
      <c r="FZ95" s="146"/>
      <c r="GA95" s="146"/>
      <c r="GB95" s="146"/>
      <c r="GC95" s="146"/>
      <c r="GD95" s="146"/>
      <c r="GE95" s="146"/>
      <c r="GF95" s="146"/>
      <c r="GG95" s="146"/>
      <c r="GH95" s="146"/>
      <c r="GI95" s="146"/>
      <c r="GJ95" s="146"/>
      <c r="GK95" s="146"/>
      <c r="GL95" s="146"/>
      <c r="GM95" s="146"/>
      <c r="GN95" s="146"/>
      <c r="GO95" s="146"/>
      <c r="GP95" s="146"/>
      <c r="GQ95" s="146"/>
      <c r="GR95" s="146"/>
      <c r="GS95" s="146"/>
      <c r="GT95" s="146"/>
      <c r="GU95" s="146"/>
      <c r="GV95" s="146"/>
      <c r="GW95" s="146"/>
      <c r="GX95" s="146"/>
      <c r="GY95" s="146"/>
      <c r="GZ95" s="146"/>
      <c r="HA95" s="146"/>
      <c r="HB95" s="146"/>
      <c r="HC95" s="146"/>
      <c r="HD95" s="146"/>
      <c r="HE95" s="146"/>
      <c r="HF95" s="146"/>
      <c r="HG95" s="146"/>
      <c r="HH95" s="146"/>
      <c r="HI95" s="146"/>
      <c r="HJ95" s="146"/>
      <c r="HK95" s="146"/>
      <c r="HL95" s="146"/>
      <c r="HM95" s="146"/>
      <c r="HN95" s="146"/>
      <c r="HO95" s="146"/>
      <c r="HP95" s="146"/>
      <c r="HQ95" s="146"/>
      <c r="HR95" s="146"/>
      <c r="HS95" s="146"/>
      <c r="HT95" s="146"/>
      <c r="HU95" s="146"/>
      <c r="HV95" s="146"/>
      <c r="HW95" s="146"/>
      <c r="HX95" s="146"/>
      <c r="HY95" s="146"/>
      <c r="HZ95" s="146"/>
      <c r="IA95" s="146"/>
      <c r="IB95" s="146"/>
      <c r="IC95" s="146"/>
      <c r="ID95" s="146"/>
      <c r="IE95" s="146"/>
    </row>
    <row r="96" spans="1:239" ht="14.15" customHeight="1">
      <c r="A96" s="146"/>
      <c r="B96" s="152"/>
      <c r="C96" s="152"/>
      <c r="D96" s="152"/>
      <c r="E96" s="152"/>
      <c r="F96" s="152"/>
      <c r="G96" s="152"/>
      <c r="H96" s="152"/>
      <c r="I96" s="143"/>
      <c r="J96" s="143"/>
      <c r="L96" s="1170"/>
      <c r="M96" s="1170"/>
      <c r="N96" s="639"/>
      <c r="O96" s="639"/>
      <c r="P96" s="639"/>
      <c r="Q96" s="639"/>
      <c r="S96" s="649"/>
      <c r="T96" s="639"/>
      <c r="U96" s="639"/>
      <c r="V96" s="639"/>
      <c r="W96" s="639"/>
      <c r="X96" s="639"/>
      <c r="Y96" s="639"/>
      <c r="Z96" s="639"/>
      <c r="AA96" s="639"/>
      <c r="AB96" s="639"/>
      <c r="AC96" s="639"/>
      <c r="AD96" s="639"/>
      <c r="AE96" s="639"/>
      <c r="AF96" s="639"/>
      <c r="AG96" s="639"/>
      <c r="AH96" s="639"/>
      <c r="AI96" s="639"/>
      <c r="AJ96" s="639"/>
      <c r="AK96" s="639"/>
      <c r="AL96" s="639"/>
      <c r="AM96" s="639"/>
      <c r="AN96" s="639"/>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6"/>
      <c r="DB96" s="146"/>
      <c r="DC96" s="146"/>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6"/>
      <c r="EC96" s="146"/>
      <c r="ED96" s="146"/>
      <c r="EE96" s="146"/>
      <c r="EF96" s="146"/>
      <c r="EG96" s="146"/>
      <c r="EH96" s="146"/>
      <c r="EI96" s="146"/>
      <c r="EJ96" s="146"/>
      <c r="EK96" s="146"/>
      <c r="EL96" s="146"/>
      <c r="EM96" s="146"/>
      <c r="EN96" s="146"/>
      <c r="EO96" s="146"/>
      <c r="EP96" s="146"/>
      <c r="EQ96" s="146"/>
      <c r="ER96" s="146"/>
      <c r="ES96" s="146"/>
      <c r="ET96" s="146"/>
      <c r="EU96" s="146"/>
      <c r="EV96" s="146"/>
      <c r="EW96" s="146"/>
      <c r="EX96" s="146"/>
      <c r="EY96" s="146"/>
      <c r="EZ96" s="146"/>
      <c r="FA96" s="146"/>
      <c r="FB96" s="146"/>
      <c r="FC96" s="146"/>
      <c r="FD96" s="146"/>
      <c r="FE96" s="146"/>
      <c r="FF96" s="146"/>
      <c r="FG96" s="146"/>
      <c r="FH96" s="146"/>
      <c r="FI96" s="146"/>
      <c r="FJ96" s="146"/>
      <c r="FK96" s="146"/>
      <c r="FL96" s="146"/>
      <c r="FM96" s="146"/>
      <c r="FN96" s="146"/>
      <c r="FO96" s="146"/>
      <c r="FP96" s="146"/>
      <c r="FQ96" s="146"/>
      <c r="FR96" s="146"/>
      <c r="FS96" s="146"/>
      <c r="FT96" s="146"/>
      <c r="FU96" s="146"/>
      <c r="FV96" s="146"/>
      <c r="FW96" s="146"/>
      <c r="FX96" s="146"/>
      <c r="FY96" s="146"/>
      <c r="FZ96" s="146"/>
      <c r="GA96" s="146"/>
      <c r="GB96" s="146"/>
      <c r="GC96" s="146"/>
      <c r="GD96" s="146"/>
      <c r="GE96" s="146"/>
      <c r="GF96" s="146"/>
      <c r="GG96" s="146"/>
      <c r="GH96" s="146"/>
      <c r="GI96" s="146"/>
      <c r="GJ96" s="146"/>
      <c r="GK96" s="146"/>
      <c r="GL96" s="146"/>
      <c r="GM96" s="146"/>
      <c r="GN96" s="146"/>
      <c r="GO96" s="146"/>
      <c r="GP96" s="146"/>
      <c r="GQ96" s="146"/>
      <c r="GR96" s="146"/>
      <c r="GS96" s="146"/>
      <c r="GT96" s="146"/>
      <c r="GU96" s="146"/>
      <c r="GV96" s="146"/>
      <c r="GW96" s="146"/>
      <c r="GX96" s="146"/>
      <c r="GY96" s="146"/>
      <c r="GZ96" s="146"/>
      <c r="HA96" s="146"/>
      <c r="HB96" s="146"/>
      <c r="HC96" s="146"/>
      <c r="HD96" s="146"/>
      <c r="HE96" s="146"/>
      <c r="HF96" s="146"/>
      <c r="HG96" s="146"/>
      <c r="HH96" s="146"/>
      <c r="HI96" s="146"/>
      <c r="HJ96" s="146"/>
      <c r="HK96" s="146"/>
      <c r="HL96" s="146"/>
      <c r="HM96" s="146"/>
      <c r="HN96" s="146"/>
      <c r="HO96" s="146"/>
      <c r="HP96" s="146"/>
      <c r="HQ96" s="146"/>
      <c r="HR96" s="146"/>
      <c r="HS96" s="146"/>
      <c r="HT96" s="146"/>
      <c r="HU96" s="146"/>
      <c r="HV96" s="146"/>
      <c r="HW96" s="146"/>
      <c r="HX96" s="146"/>
      <c r="HY96" s="146"/>
      <c r="HZ96" s="146"/>
      <c r="IA96" s="146"/>
      <c r="IB96" s="146"/>
      <c r="IC96" s="146"/>
      <c r="ID96" s="146"/>
      <c r="IE96" s="146"/>
    </row>
    <row r="97" spans="1:239" ht="14.15" customHeight="1">
      <c r="A97" s="146"/>
      <c r="B97" s="152"/>
      <c r="C97" s="152"/>
      <c r="D97" s="152"/>
      <c r="E97" s="152"/>
      <c r="F97" s="152"/>
      <c r="G97" s="152"/>
      <c r="H97" s="152"/>
      <c r="I97" s="143"/>
      <c r="J97" s="143"/>
      <c r="L97" s="1170"/>
      <c r="M97" s="1170"/>
      <c r="N97" s="639"/>
      <c r="O97" s="639"/>
      <c r="P97" s="639"/>
      <c r="Q97" s="639"/>
      <c r="S97" s="649"/>
      <c r="T97" s="639"/>
      <c r="U97" s="639"/>
      <c r="V97" s="639"/>
      <c r="W97" s="639"/>
      <c r="X97" s="639"/>
      <c r="Y97" s="639"/>
      <c r="Z97" s="639"/>
      <c r="AA97" s="639"/>
      <c r="AB97" s="639"/>
      <c r="AC97" s="639"/>
      <c r="AD97" s="639"/>
      <c r="AE97" s="639"/>
      <c r="AF97" s="639"/>
      <c r="AG97" s="639"/>
      <c r="AH97" s="639"/>
      <c r="AI97" s="639"/>
      <c r="AJ97" s="639"/>
      <c r="AK97" s="639"/>
      <c r="AL97" s="639"/>
      <c r="AM97" s="639"/>
      <c r="AN97" s="639"/>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6"/>
      <c r="DB97" s="146"/>
      <c r="DC97" s="146"/>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6"/>
      <c r="EC97" s="146"/>
      <c r="ED97" s="146"/>
      <c r="EE97" s="146"/>
      <c r="EF97" s="146"/>
      <c r="EG97" s="146"/>
      <c r="EH97" s="146"/>
      <c r="EI97" s="146"/>
      <c r="EJ97" s="146"/>
      <c r="EK97" s="146"/>
      <c r="EL97" s="146"/>
      <c r="EM97" s="146"/>
      <c r="EN97" s="146"/>
      <c r="EO97" s="146"/>
      <c r="EP97" s="146"/>
      <c r="EQ97" s="146"/>
      <c r="ER97" s="146"/>
      <c r="ES97" s="146"/>
      <c r="ET97" s="146"/>
      <c r="EU97" s="146"/>
      <c r="EV97" s="146"/>
      <c r="EW97" s="146"/>
      <c r="EX97" s="146"/>
      <c r="EY97" s="146"/>
      <c r="EZ97" s="146"/>
      <c r="FA97" s="146"/>
      <c r="FB97" s="146"/>
      <c r="FC97" s="146"/>
      <c r="FD97" s="146"/>
      <c r="FE97" s="146"/>
      <c r="FF97" s="146"/>
      <c r="FG97" s="146"/>
      <c r="FH97" s="146"/>
      <c r="FI97" s="146"/>
      <c r="FJ97" s="146"/>
      <c r="FK97" s="146"/>
      <c r="FL97" s="146"/>
      <c r="FM97" s="146"/>
      <c r="FN97" s="146"/>
      <c r="FO97" s="146"/>
      <c r="FP97" s="146"/>
      <c r="FQ97" s="146"/>
      <c r="FR97" s="146"/>
      <c r="FS97" s="146"/>
      <c r="FT97" s="146"/>
      <c r="FU97" s="146"/>
      <c r="FV97" s="146"/>
      <c r="FW97" s="146"/>
      <c r="FX97" s="146"/>
      <c r="FY97" s="146"/>
      <c r="FZ97" s="146"/>
      <c r="GA97" s="146"/>
      <c r="GB97" s="146"/>
      <c r="GC97" s="146"/>
      <c r="GD97" s="146"/>
      <c r="GE97" s="146"/>
      <c r="GF97" s="146"/>
      <c r="GG97" s="146"/>
      <c r="GH97" s="146"/>
      <c r="GI97" s="146"/>
      <c r="GJ97" s="146"/>
      <c r="GK97" s="146"/>
      <c r="GL97" s="146"/>
      <c r="GM97" s="146"/>
      <c r="GN97" s="146"/>
      <c r="GO97" s="146"/>
      <c r="GP97" s="146"/>
      <c r="GQ97" s="146"/>
      <c r="GR97" s="146"/>
      <c r="GS97" s="146"/>
      <c r="GT97" s="146"/>
      <c r="GU97" s="146"/>
      <c r="GV97" s="146"/>
      <c r="GW97" s="146"/>
      <c r="GX97" s="146"/>
      <c r="GY97" s="146"/>
      <c r="GZ97" s="146"/>
      <c r="HA97" s="146"/>
      <c r="HB97" s="146"/>
      <c r="HC97" s="146"/>
      <c r="HD97" s="146"/>
      <c r="HE97" s="146"/>
      <c r="HF97" s="146"/>
      <c r="HG97" s="146"/>
      <c r="HH97" s="146"/>
      <c r="HI97" s="146"/>
      <c r="HJ97" s="146"/>
      <c r="HK97" s="146"/>
      <c r="HL97" s="146"/>
      <c r="HM97" s="146"/>
      <c r="HN97" s="146"/>
      <c r="HO97" s="146"/>
      <c r="HP97" s="146"/>
      <c r="HQ97" s="146"/>
      <c r="HR97" s="146"/>
      <c r="HS97" s="146"/>
      <c r="HT97" s="146"/>
      <c r="HU97" s="146"/>
      <c r="HV97" s="146"/>
      <c r="HW97" s="146"/>
      <c r="HX97" s="146"/>
      <c r="HY97" s="146"/>
      <c r="HZ97" s="146"/>
      <c r="IA97" s="146"/>
      <c r="IB97" s="146"/>
      <c r="IC97" s="146"/>
      <c r="ID97" s="146"/>
      <c r="IE97" s="146"/>
    </row>
    <row r="98" spans="1:239" ht="14.15" customHeight="1">
      <c r="A98" s="146"/>
      <c r="B98" s="152"/>
      <c r="C98" s="152"/>
      <c r="D98" s="152"/>
      <c r="E98" s="152"/>
      <c r="F98" s="152"/>
      <c r="G98" s="152"/>
      <c r="H98" s="152"/>
      <c r="I98" s="143"/>
      <c r="J98" s="143"/>
      <c r="L98" s="1170"/>
      <c r="M98" s="1170"/>
      <c r="N98" s="639"/>
      <c r="O98" s="639"/>
      <c r="P98" s="639"/>
      <c r="Q98" s="639"/>
      <c r="S98" s="649"/>
      <c r="T98" s="639"/>
      <c r="U98" s="639"/>
      <c r="V98" s="639"/>
      <c r="W98" s="639"/>
      <c r="X98" s="639"/>
      <c r="Y98" s="639"/>
      <c r="Z98" s="639"/>
      <c r="AA98" s="639"/>
      <c r="AB98" s="639"/>
      <c r="AC98" s="639"/>
      <c r="AD98" s="639"/>
      <c r="AE98" s="639"/>
      <c r="AF98" s="639"/>
      <c r="AG98" s="639"/>
      <c r="AH98" s="639"/>
      <c r="AI98" s="639"/>
      <c r="AJ98" s="639"/>
      <c r="AK98" s="639"/>
      <c r="AL98" s="639"/>
      <c r="AM98" s="639"/>
      <c r="AN98" s="639"/>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6"/>
      <c r="CO98" s="146"/>
      <c r="CP98" s="146"/>
      <c r="CQ98" s="146"/>
      <c r="CR98" s="146"/>
      <c r="CS98" s="146"/>
      <c r="CT98" s="146"/>
      <c r="CU98" s="146"/>
      <c r="CV98" s="146"/>
      <c r="CW98" s="146"/>
      <c r="CX98" s="146"/>
      <c r="CY98" s="146"/>
      <c r="CZ98" s="146"/>
      <c r="DA98" s="146"/>
      <c r="DB98" s="146"/>
      <c r="DC98" s="146"/>
      <c r="DD98" s="146"/>
      <c r="DE98" s="146"/>
      <c r="DF98" s="146"/>
      <c r="DG98" s="146"/>
      <c r="DH98" s="146"/>
      <c r="DI98" s="146"/>
      <c r="DJ98" s="146"/>
      <c r="DK98" s="146"/>
      <c r="DL98" s="146"/>
      <c r="DM98" s="146"/>
      <c r="DN98" s="146"/>
      <c r="DO98" s="146"/>
      <c r="DP98" s="146"/>
      <c r="DQ98" s="146"/>
      <c r="DR98" s="146"/>
      <c r="DS98" s="146"/>
      <c r="DT98" s="146"/>
      <c r="DU98" s="146"/>
      <c r="DV98" s="146"/>
      <c r="DW98" s="146"/>
      <c r="DX98" s="146"/>
      <c r="DY98" s="146"/>
      <c r="DZ98" s="146"/>
      <c r="EA98" s="146"/>
      <c r="EB98" s="146"/>
      <c r="EC98" s="146"/>
      <c r="ED98" s="146"/>
      <c r="EE98" s="146"/>
      <c r="EF98" s="146"/>
      <c r="EG98" s="146"/>
      <c r="EH98" s="146"/>
      <c r="EI98" s="146"/>
      <c r="EJ98" s="146"/>
      <c r="EK98" s="146"/>
      <c r="EL98" s="146"/>
      <c r="EM98" s="146"/>
      <c r="EN98" s="146"/>
      <c r="EO98" s="146"/>
      <c r="EP98" s="146"/>
      <c r="EQ98" s="146"/>
      <c r="ER98" s="146"/>
      <c r="ES98" s="146"/>
      <c r="ET98" s="146"/>
      <c r="EU98" s="146"/>
      <c r="EV98" s="146"/>
      <c r="EW98" s="146"/>
      <c r="EX98" s="146"/>
      <c r="EY98" s="146"/>
      <c r="EZ98" s="146"/>
      <c r="FA98" s="146"/>
      <c r="FB98" s="146"/>
      <c r="FC98" s="146"/>
      <c r="FD98" s="146"/>
      <c r="FE98" s="146"/>
      <c r="FF98" s="146"/>
      <c r="FG98" s="146"/>
      <c r="FH98" s="146"/>
      <c r="FI98" s="146"/>
      <c r="FJ98" s="146"/>
      <c r="FK98" s="146"/>
      <c r="FL98" s="146"/>
      <c r="FM98" s="146"/>
      <c r="FN98" s="146"/>
      <c r="FO98" s="146"/>
      <c r="FP98" s="146"/>
      <c r="FQ98" s="146"/>
      <c r="FR98" s="146"/>
      <c r="FS98" s="146"/>
      <c r="FT98" s="146"/>
      <c r="FU98" s="146"/>
      <c r="FV98" s="146"/>
      <c r="FW98" s="146"/>
      <c r="FX98" s="146"/>
      <c r="FY98" s="146"/>
      <c r="FZ98" s="146"/>
      <c r="GA98" s="146"/>
      <c r="GB98" s="146"/>
      <c r="GC98" s="146"/>
      <c r="GD98" s="146"/>
      <c r="GE98" s="146"/>
      <c r="GF98" s="146"/>
      <c r="GG98" s="146"/>
      <c r="GH98" s="146"/>
      <c r="GI98" s="146"/>
      <c r="GJ98" s="146"/>
      <c r="GK98" s="146"/>
      <c r="GL98" s="146"/>
      <c r="GM98" s="146"/>
      <c r="GN98" s="146"/>
      <c r="GO98" s="146"/>
      <c r="GP98" s="146"/>
      <c r="GQ98" s="146"/>
      <c r="GR98" s="146"/>
      <c r="GS98" s="146"/>
      <c r="GT98" s="146"/>
      <c r="GU98" s="146"/>
      <c r="GV98" s="146"/>
      <c r="GW98" s="146"/>
      <c r="GX98" s="146"/>
      <c r="GY98" s="146"/>
      <c r="GZ98" s="146"/>
      <c r="HA98" s="146"/>
      <c r="HB98" s="146"/>
      <c r="HC98" s="146"/>
      <c r="HD98" s="146"/>
      <c r="HE98" s="146"/>
      <c r="HF98" s="146"/>
      <c r="HG98" s="146"/>
      <c r="HH98" s="146"/>
      <c r="HI98" s="146"/>
      <c r="HJ98" s="146"/>
      <c r="HK98" s="146"/>
      <c r="HL98" s="146"/>
      <c r="HM98" s="146"/>
      <c r="HN98" s="146"/>
      <c r="HO98" s="146"/>
      <c r="HP98" s="146"/>
      <c r="HQ98" s="146"/>
      <c r="HR98" s="146"/>
      <c r="HS98" s="146"/>
      <c r="HT98" s="146"/>
      <c r="HU98" s="146"/>
      <c r="HV98" s="146"/>
      <c r="HW98" s="146"/>
      <c r="HX98" s="146"/>
      <c r="HY98" s="146"/>
      <c r="HZ98" s="146"/>
      <c r="IA98" s="146"/>
      <c r="IB98" s="146"/>
      <c r="IC98" s="146"/>
      <c r="ID98" s="146"/>
      <c r="IE98" s="146"/>
    </row>
    <row r="99" spans="1:239" ht="14.15" customHeight="1">
      <c r="A99" s="146"/>
      <c r="B99" s="152"/>
      <c r="C99" s="152"/>
      <c r="D99" s="152"/>
      <c r="E99" s="152"/>
      <c r="F99" s="152"/>
      <c r="G99" s="152"/>
      <c r="H99" s="152"/>
      <c r="I99" s="143"/>
      <c r="J99" s="143"/>
      <c r="L99" s="1170"/>
      <c r="M99" s="1170"/>
      <c r="N99" s="639"/>
      <c r="O99" s="639"/>
      <c r="P99" s="639"/>
      <c r="Q99" s="639"/>
      <c r="S99" s="649"/>
      <c r="T99" s="639"/>
      <c r="U99" s="639"/>
      <c r="V99" s="639"/>
      <c r="W99" s="639"/>
      <c r="X99" s="639"/>
      <c r="Y99" s="639"/>
      <c r="Z99" s="639"/>
      <c r="AA99" s="639"/>
      <c r="AB99" s="639"/>
      <c r="AC99" s="639"/>
      <c r="AD99" s="639"/>
      <c r="AE99" s="639"/>
      <c r="AF99" s="639"/>
      <c r="AG99" s="639"/>
      <c r="AH99" s="639"/>
      <c r="AI99" s="639"/>
      <c r="AJ99" s="639"/>
      <c r="AK99" s="639"/>
      <c r="AL99" s="639"/>
      <c r="AM99" s="639"/>
      <c r="AN99" s="639"/>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c r="CA99" s="146"/>
      <c r="CB99" s="146"/>
      <c r="CC99" s="146"/>
      <c r="CD99" s="146"/>
      <c r="CE99" s="146"/>
      <c r="CF99" s="146"/>
      <c r="CG99" s="146"/>
      <c r="CH99" s="146"/>
      <c r="CI99" s="146"/>
      <c r="CJ99" s="146"/>
      <c r="CK99" s="146"/>
      <c r="CL99" s="146"/>
      <c r="CM99" s="146"/>
      <c r="CN99" s="146"/>
      <c r="CO99" s="146"/>
      <c r="CP99" s="146"/>
      <c r="CQ99" s="146"/>
      <c r="CR99" s="146"/>
      <c r="CS99" s="146"/>
      <c r="CT99" s="146"/>
      <c r="CU99" s="146"/>
      <c r="CV99" s="146"/>
      <c r="CW99" s="146"/>
      <c r="CX99" s="146"/>
      <c r="CY99" s="146"/>
      <c r="CZ99" s="146"/>
      <c r="DA99" s="146"/>
      <c r="DB99" s="146"/>
      <c r="DC99" s="146"/>
      <c r="DD99" s="146"/>
      <c r="DE99" s="146"/>
      <c r="DF99" s="146"/>
      <c r="DG99" s="146"/>
      <c r="DH99" s="146"/>
      <c r="DI99" s="146"/>
      <c r="DJ99" s="146"/>
      <c r="DK99" s="146"/>
      <c r="DL99" s="146"/>
      <c r="DM99" s="146"/>
      <c r="DN99" s="146"/>
      <c r="DO99" s="146"/>
      <c r="DP99" s="146"/>
      <c r="DQ99" s="146"/>
      <c r="DR99" s="146"/>
      <c r="DS99" s="146"/>
      <c r="DT99" s="146"/>
      <c r="DU99" s="146"/>
      <c r="DV99" s="146"/>
      <c r="DW99" s="146"/>
      <c r="DX99" s="146"/>
      <c r="DY99" s="146"/>
      <c r="DZ99" s="146"/>
      <c r="EA99" s="146"/>
      <c r="EB99" s="146"/>
      <c r="EC99" s="146"/>
      <c r="ED99" s="146"/>
      <c r="EE99" s="146"/>
      <c r="EF99" s="146"/>
      <c r="EG99" s="146"/>
      <c r="EH99" s="146"/>
      <c r="EI99" s="146"/>
      <c r="EJ99" s="146"/>
      <c r="EK99" s="146"/>
      <c r="EL99" s="146"/>
      <c r="EM99" s="146"/>
      <c r="EN99" s="146"/>
      <c r="EO99" s="146"/>
      <c r="EP99" s="146"/>
      <c r="EQ99" s="146"/>
      <c r="ER99" s="146"/>
      <c r="ES99" s="146"/>
      <c r="ET99" s="146"/>
      <c r="EU99" s="146"/>
      <c r="EV99" s="146"/>
      <c r="EW99" s="146"/>
      <c r="EX99" s="146"/>
      <c r="EY99" s="146"/>
      <c r="EZ99" s="146"/>
      <c r="FA99" s="146"/>
      <c r="FB99" s="146"/>
      <c r="FC99" s="146"/>
      <c r="FD99" s="146"/>
      <c r="FE99" s="146"/>
      <c r="FF99" s="146"/>
      <c r="FG99" s="146"/>
      <c r="FH99" s="146"/>
      <c r="FI99" s="146"/>
      <c r="FJ99" s="146"/>
      <c r="FK99" s="146"/>
      <c r="FL99" s="146"/>
      <c r="FM99" s="146"/>
      <c r="FN99" s="146"/>
      <c r="FO99" s="146"/>
      <c r="FP99" s="146"/>
      <c r="FQ99" s="146"/>
      <c r="FR99" s="146"/>
      <c r="FS99" s="146"/>
      <c r="FT99" s="146"/>
      <c r="FU99" s="146"/>
      <c r="FV99" s="146"/>
      <c r="FW99" s="146"/>
      <c r="FX99" s="146"/>
      <c r="FY99" s="146"/>
      <c r="FZ99" s="146"/>
      <c r="GA99" s="146"/>
      <c r="GB99" s="146"/>
      <c r="GC99" s="146"/>
      <c r="GD99" s="146"/>
      <c r="GE99" s="146"/>
      <c r="GF99" s="146"/>
      <c r="GG99" s="146"/>
      <c r="GH99" s="146"/>
      <c r="GI99" s="146"/>
      <c r="GJ99" s="146"/>
      <c r="GK99" s="146"/>
      <c r="GL99" s="146"/>
      <c r="GM99" s="146"/>
      <c r="GN99" s="146"/>
      <c r="GO99" s="146"/>
      <c r="GP99" s="146"/>
      <c r="GQ99" s="146"/>
      <c r="GR99" s="146"/>
      <c r="GS99" s="146"/>
      <c r="GT99" s="146"/>
      <c r="GU99" s="146"/>
      <c r="GV99" s="146"/>
      <c r="GW99" s="146"/>
      <c r="GX99" s="146"/>
      <c r="GY99" s="146"/>
      <c r="GZ99" s="146"/>
      <c r="HA99" s="146"/>
      <c r="HB99" s="146"/>
      <c r="HC99" s="146"/>
      <c r="HD99" s="146"/>
      <c r="HE99" s="146"/>
      <c r="HF99" s="146"/>
      <c r="HG99" s="146"/>
      <c r="HH99" s="146"/>
      <c r="HI99" s="146"/>
      <c r="HJ99" s="146"/>
      <c r="HK99" s="146"/>
      <c r="HL99" s="146"/>
      <c r="HM99" s="146"/>
      <c r="HN99" s="146"/>
      <c r="HO99" s="146"/>
      <c r="HP99" s="146"/>
      <c r="HQ99" s="146"/>
      <c r="HR99" s="146"/>
      <c r="HS99" s="146"/>
      <c r="HT99" s="146"/>
      <c r="HU99" s="146"/>
      <c r="HV99" s="146"/>
      <c r="HW99" s="146"/>
      <c r="HX99" s="146"/>
      <c r="HY99" s="146"/>
      <c r="HZ99" s="146"/>
      <c r="IA99" s="146"/>
      <c r="IB99" s="146"/>
      <c r="IC99" s="146"/>
      <c r="ID99" s="146"/>
      <c r="IE99" s="146"/>
    </row>
    <row r="100" spans="1:239" ht="14.15" customHeight="1">
      <c r="A100" s="146"/>
      <c r="B100" s="152"/>
      <c r="C100" s="152"/>
      <c r="D100" s="152"/>
      <c r="E100" s="152"/>
      <c r="F100" s="152"/>
      <c r="G100" s="152"/>
      <c r="H100" s="152"/>
      <c r="I100" s="143"/>
      <c r="J100" s="143"/>
      <c r="L100" s="1170"/>
      <c r="M100" s="1170"/>
      <c r="N100" s="639"/>
      <c r="O100" s="639"/>
      <c r="P100" s="639"/>
      <c r="Q100" s="639"/>
      <c r="S100" s="649"/>
      <c r="T100" s="639"/>
      <c r="U100" s="639"/>
      <c r="V100" s="639"/>
      <c r="W100" s="639"/>
      <c r="X100" s="639"/>
      <c r="Y100" s="639"/>
      <c r="Z100" s="639"/>
      <c r="AA100" s="639"/>
      <c r="AB100" s="639"/>
      <c r="AC100" s="639"/>
      <c r="AD100" s="639"/>
      <c r="AE100" s="639"/>
      <c r="AF100" s="639"/>
      <c r="AG100" s="639"/>
      <c r="AH100" s="639"/>
      <c r="AI100" s="639"/>
      <c r="AJ100" s="639"/>
      <c r="AK100" s="639"/>
      <c r="AL100" s="639"/>
      <c r="AM100" s="639"/>
      <c r="AN100" s="639"/>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6"/>
      <c r="DA100" s="146"/>
      <c r="DB100" s="146"/>
      <c r="DC100" s="146"/>
      <c r="DD100" s="146"/>
      <c r="DE100" s="146"/>
      <c r="DF100" s="146"/>
      <c r="DG100" s="146"/>
      <c r="DH100" s="146"/>
      <c r="DI100" s="146"/>
      <c r="DJ100" s="146"/>
      <c r="DK100" s="146"/>
      <c r="DL100" s="146"/>
      <c r="DM100" s="146"/>
      <c r="DN100" s="146"/>
      <c r="DO100" s="146"/>
      <c r="DP100" s="146"/>
      <c r="DQ100" s="146"/>
      <c r="DR100" s="146"/>
      <c r="DS100" s="146"/>
      <c r="DT100" s="146"/>
      <c r="DU100" s="146"/>
      <c r="DV100" s="146"/>
      <c r="DW100" s="146"/>
      <c r="DX100" s="146"/>
      <c r="DY100" s="146"/>
      <c r="DZ100" s="146"/>
      <c r="EA100" s="146"/>
      <c r="EB100" s="146"/>
      <c r="EC100" s="146"/>
      <c r="ED100" s="146"/>
      <c r="EE100" s="146"/>
      <c r="EF100" s="146"/>
      <c r="EG100" s="146"/>
      <c r="EH100" s="146"/>
      <c r="EI100" s="146"/>
      <c r="EJ100" s="146"/>
      <c r="EK100" s="146"/>
      <c r="EL100" s="146"/>
      <c r="EM100" s="146"/>
      <c r="EN100" s="146"/>
      <c r="EO100" s="146"/>
      <c r="EP100" s="146"/>
      <c r="EQ100" s="146"/>
      <c r="ER100" s="146"/>
      <c r="ES100" s="146"/>
      <c r="ET100" s="146"/>
      <c r="EU100" s="146"/>
      <c r="EV100" s="146"/>
      <c r="EW100" s="146"/>
      <c r="EX100" s="146"/>
      <c r="EY100" s="146"/>
      <c r="EZ100" s="146"/>
      <c r="FA100" s="146"/>
      <c r="FB100" s="146"/>
      <c r="FC100" s="146"/>
      <c r="FD100" s="146"/>
      <c r="FE100" s="146"/>
      <c r="FF100" s="146"/>
      <c r="FG100" s="146"/>
      <c r="FH100" s="146"/>
      <c r="FI100" s="146"/>
      <c r="FJ100" s="146"/>
      <c r="FK100" s="146"/>
      <c r="FL100" s="146"/>
      <c r="FM100" s="146"/>
      <c r="FN100" s="146"/>
      <c r="FO100" s="146"/>
      <c r="FP100" s="146"/>
      <c r="FQ100" s="146"/>
      <c r="FR100" s="146"/>
      <c r="FS100" s="146"/>
      <c r="FT100" s="146"/>
      <c r="FU100" s="146"/>
      <c r="FV100" s="146"/>
      <c r="FW100" s="146"/>
      <c r="FX100" s="146"/>
      <c r="FY100" s="146"/>
      <c r="FZ100" s="146"/>
      <c r="GA100" s="146"/>
      <c r="GB100" s="146"/>
      <c r="GC100" s="146"/>
      <c r="GD100" s="146"/>
      <c r="GE100" s="146"/>
      <c r="GF100" s="146"/>
      <c r="GG100" s="146"/>
      <c r="GH100" s="146"/>
      <c r="GI100" s="146"/>
      <c r="GJ100" s="146"/>
      <c r="GK100" s="146"/>
      <c r="GL100" s="146"/>
      <c r="GM100" s="146"/>
      <c r="GN100" s="146"/>
      <c r="GO100" s="146"/>
      <c r="GP100" s="146"/>
      <c r="GQ100" s="146"/>
      <c r="GR100" s="146"/>
      <c r="GS100" s="146"/>
      <c r="GT100" s="146"/>
      <c r="GU100" s="146"/>
      <c r="GV100" s="146"/>
      <c r="GW100" s="146"/>
      <c r="GX100" s="146"/>
      <c r="GY100" s="146"/>
      <c r="GZ100" s="146"/>
      <c r="HA100" s="146"/>
      <c r="HB100" s="146"/>
      <c r="HC100" s="146"/>
      <c r="HD100" s="146"/>
      <c r="HE100" s="146"/>
      <c r="HF100" s="146"/>
      <c r="HG100" s="146"/>
      <c r="HH100" s="146"/>
      <c r="HI100" s="146"/>
      <c r="HJ100" s="146"/>
      <c r="HK100" s="146"/>
      <c r="HL100" s="146"/>
      <c r="HM100" s="146"/>
      <c r="HN100" s="146"/>
      <c r="HO100" s="146"/>
      <c r="HP100" s="146"/>
      <c r="HQ100" s="146"/>
      <c r="HR100" s="146"/>
      <c r="HS100" s="146"/>
      <c r="HT100" s="146"/>
      <c r="HU100" s="146"/>
      <c r="HV100" s="146"/>
      <c r="HW100" s="146"/>
      <c r="HX100" s="146"/>
      <c r="HY100" s="146"/>
      <c r="HZ100" s="146"/>
      <c r="IA100" s="146"/>
      <c r="IB100" s="146"/>
      <c r="IC100" s="146"/>
      <c r="ID100" s="146"/>
      <c r="IE100" s="146"/>
    </row>
    <row r="101" spans="1:239" ht="14.15" customHeight="1">
      <c r="A101" s="146"/>
      <c r="B101" s="152"/>
      <c r="C101" s="152"/>
      <c r="D101" s="152"/>
      <c r="E101" s="152"/>
      <c r="F101" s="152"/>
      <c r="G101" s="152"/>
      <c r="H101" s="152"/>
      <c r="I101" s="143"/>
      <c r="J101" s="143"/>
      <c r="L101" s="1170"/>
      <c r="M101" s="1170"/>
      <c r="N101" s="639"/>
      <c r="O101" s="639"/>
      <c r="P101" s="639"/>
      <c r="Q101" s="639"/>
      <c r="S101" s="649"/>
      <c r="T101" s="639"/>
      <c r="U101" s="639"/>
      <c r="V101" s="639"/>
      <c r="W101" s="639"/>
      <c r="X101" s="639"/>
      <c r="Y101" s="639"/>
      <c r="Z101" s="639"/>
      <c r="AA101" s="639"/>
      <c r="AB101" s="639"/>
      <c r="AC101" s="639"/>
      <c r="AD101" s="639"/>
      <c r="AE101" s="639"/>
      <c r="AF101" s="639"/>
      <c r="AG101" s="639"/>
      <c r="AH101" s="639"/>
      <c r="AI101" s="639"/>
      <c r="AJ101" s="639"/>
      <c r="AK101" s="639"/>
      <c r="AL101" s="639"/>
      <c r="AM101" s="639"/>
      <c r="AN101" s="639"/>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6"/>
      <c r="CM101" s="146"/>
      <c r="CN101" s="146"/>
      <c r="CO101" s="146"/>
      <c r="CP101" s="146"/>
      <c r="CQ101" s="146"/>
      <c r="CR101" s="146"/>
      <c r="CS101" s="146"/>
      <c r="CT101" s="146"/>
      <c r="CU101" s="146"/>
      <c r="CV101" s="146"/>
      <c r="CW101" s="146"/>
      <c r="CX101" s="146"/>
      <c r="CY101" s="146"/>
      <c r="CZ101" s="146"/>
      <c r="DA101" s="146"/>
      <c r="DB101" s="146"/>
      <c r="DC101" s="146"/>
      <c r="DD101" s="146"/>
      <c r="DE101" s="146"/>
      <c r="DF101" s="146"/>
      <c r="DG101" s="146"/>
      <c r="DH101" s="146"/>
      <c r="DI101" s="146"/>
      <c r="DJ101" s="146"/>
      <c r="DK101" s="146"/>
      <c r="DL101" s="146"/>
      <c r="DM101" s="146"/>
      <c r="DN101" s="146"/>
      <c r="DO101" s="146"/>
      <c r="DP101" s="146"/>
      <c r="DQ101" s="146"/>
      <c r="DR101" s="146"/>
      <c r="DS101" s="146"/>
      <c r="DT101" s="146"/>
      <c r="DU101" s="146"/>
      <c r="DV101" s="146"/>
      <c r="DW101" s="146"/>
      <c r="DX101" s="146"/>
      <c r="DY101" s="146"/>
      <c r="DZ101" s="146"/>
      <c r="EA101" s="146"/>
      <c r="EB101" s="146"/>
      <c r="EC101" s="146"/>
      <c r="ED101" s="146"/>
      <c r="EE101" s="146"/>
      <c r="EF101" s="146"/>
      <c r="EG101" s="146"/>
      <c r="EH101" s="146"/>
      <c r="EI101" s="146"/>
      <c r="EJ101" s="146"/>
      <c r="EK101" s="146"/>
      <c r="EL101" s="146"/>
      <c r="EM101" s="146"/>
      <c r="EN101" s="146"/>
      <c r="EO101" s="146"/>
      <c r="EP101" s="146"/>
      <c r="EQ101" s="146"/>
      <c r="ER101" s="146"/>
      <c r="ES101" s="146"/>
      <c r="ET101" s="146"/>
      <c r="EU101" s="146"/>
      <c r="EV101" s="146"/>
      <c r="EW101" s="146"/>
      <c r="EX101" s="146"/>
      <c r="EY101" s="146"/>
      <c r="EZ101" s="146"/>
      <c r="FA101" s="146"/>
      <c r="FB101" s="146"/>
      <c r="FC101" s="146"/>
      <c r="FD101" s="146"/>
      <c r="FE101" s="146"/>
      <c r="FF101" s="146"/>
      <c r="FG101" s="146"/>
      <c r="FH101" s="146"/>
      <c r="FI101" s="146"/>
      <c r="FJ101" s="146"/>
      <c r="FK101" s="146"/>
      <c r="FL101" s="146"/>
      <c r="FM101" s="146"/>
      <c r="FN101" s="146"/>
      <c r="FO101" s="146"/>
      <c r="FP101" s="146"/>
      <c r="FQ101" s="146"/>
      <c r="FR101" s="146"/>
      <c r="FS101" s="146"/>
      <c r="FT101" s="146"/>
      <c r="FU101" s="146"/>
      <c r="FV101" s="146"/>
      <c r="FW101" s="146"/>
      <c r="FX101" s="146"/>
      <c r="FY101" s="146"/>
      <c r="FZ101" s="146"/>
      <c r="GA101" s="146"/>
      <c r="GB101" s="146"/>
      <c r="GC101" s="146"/>
      <c r="GD101" s="146"/>
      <c r="GE101" s="146"/>
      <c r="GF101" s="146"/>
      <c r="GG101" s="146"/>
      <c r="GH101" s="146"/>
      <c r="GI101" s="146"/>
      <c r="GJ101" s="146"/>
      <c r="GK101" s="146"/>
      <c r="GL101" s="146"/>
      <c r="GM101" s="146"/>
      <c r="GN101" s="146"/>
      <c r="GO101" s="146"/>
      <c r="GP101" s="146"/>
      <c r="GQ101" s="146"/>
      <c r="GR101" s="146"/>
      <c r="GS101" s="146"/>
      <c r="GT101" s="146"/>
      <c r="GU101" s="146"/>
      <c r="GV101" s="146"/>
      <c r="GW101" s="146"/>
      <c r="GX101" s="146"/>
      <c r="GY101" s="146"/>
      <c r="GZ101" s="146"/>
      <c r="HA101" s="146"/>
      <c r="HB101" s="146"/>
      <c r="HC101" s="146"/>
      <c r="HD101" s="146"/>
      <c r="HE101" s="146"/>
      <c r="HF101" s="146"/>
      <c r="HG101" s="146"/>
      <c r="HH101" s="146"/>
      <c r="HI101" s="146"/>
      <c r="HJ101" s="146"/>
      <c r="HK101" s="146"/>
      <c r="HL101" s="146"/>
      <c r="HM101" s="146"/>
      <c r="HN101" s="146"/>
      <c r="HO101" s="146"/>
      <c r="HP101" s="146"/>
      <c r="HQ101" s="146"/>
      <c r="HR101" s="146"/>
      <c r="HS101" s="146"/>
      <c r="HT101" s="146"/>
      <c r="HU101" s="146"/>
      <c r="HV101" s="146"/>
      <c r="HW101" s="146"/>
      <c r="HX101" s="146"/>
      <c r="HY101" s="146"/>
      <c r="HZ101" s="146"/>
      <c r="IA101" s="146"/>
      <c r="IB101" s="146"/>
      <c r="IC101" s="146"/>
      <c r="ID101" s="146"/>
      <c r="IE101" s="146"/>
    </row>
    <row r="102" spans="1:239" ht="14.15" customHeight="1">
      <c r="A102" s="146"/>
      <c r="B102" s="152"/>
      <c r="C102" s="152"/>
      <c r="D102" s="152"/>
      <c r="E102" s="152"/>
      <c r="F102" s="152"/>
      <c r="G102" s="152"/>
      <c r="H102" s="152"/>
      <c r="I102" s="143"/>
      <c r="J102" s="143"/>
      <c r="L102" s="1170"/>
      <c r="M102" s="1170"/>
      <c r="N102" s="639"/>
      <c r="O102" s="639"/>
      <c r="P102" s="639"/>
      <c r="Q102" s="639"/>
      <c r="S102" s="649"/>
      <c r="T102" s="639"/>
      <c r="U102" s="639"/>
      <c r="V102" s="639"/>
      <c r="W102" s="639"/>
      <c r="X102" s="639"/>
      <c r="Y102" s="639"/>
      <c r="Z102" s="639"/>
      <c r="AA102" s="639"/>
      <c r="AB102" s="639"/>
      <c r="AC102" s="639"/>
      <c r="AD102" s="639"/>
      <c r="AE102" s="639"/>
      <c r="AF102" s="639"/>
      <c r="AG102" s="639"/>
      <c r="AH102" s="639"/>
      <c r="AI102" s="639"/>
      <c r="AJ102" s="639"/>
      <c r="AK102" s="639"/>
      <c r="AL102" s="639"/>
      <c r="AM102" s="639"/>
      <c r="AN102" s="639"/>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c r="CV102" s="146"/>
      <c r="CW102" s="146"/>
      <c r="CX102" s="146"/>
      <c r="CY102" s="146"/>
      <c r="CZ102" s="146"/>
      <c r="DA102" s="146"/>
      <c r="DB102" s="146"/>
      <c r="DC102" s="146"/>
      <c r="DD102" s="146"/>
      <c r="DE102" s="146"/>
      <c r="DF102" s="146"/>
      <c r="DG102" s="146"/>
      <c r="DH102" s="146"/>
      <c r="DI102" s="146"/>
      <c r="DJ102" s="146"/>
      <c r="DK102" s="146"/>
      <c r="DL102" s="146"/>
      <c r="DM102" s="146"/>
      <c r="DN102" s="146"/>
      <c r="DO102" s="146"/>
      <c r="DP102" s="146"/>
      <c r="DQ102" s="146"/>
      <c r="DR102" s="146"/>
      <c r="DS102" s="146"/>
      <c r="DT102" s="146"/>
      <c r="DU102" s="146"/>
      <c r="DV102" s="146"/>
      <c r="DW102" s="146"/>
      <c r="DX102" s="146"/>
      <c r="DY102" s="146"/>
      <c r="DZ102" s="146"/>
      <c r="EA102" s="146"/>
      <c r="EB102" s="146"/>
      <c r="EC102" s="146"/>
      <c r="ED102" s="146"/>
      <c r="EE102" s="146"/>
      <c r="EF102" s="146"/>
      <c r="EG102" s="146"/>
      <c r="EH102" s="146"/>
      <c r="EI102" s="146"/>
      <c r="EJ102" s="146"/>
      <c r="EK102" s="146"/>
      <c r="EL102" s="146"/>
      <c r="EM102" s="146"/>
      <c r="EN102" s="146"/>
      <c r="EO102" s="146"/>
      <c r="EP102" s="146"/>
      <c r="EQ102" s="146"/>
      <c r="ER102" s="146"/>
      <c r="ES102" s="146"/>
      <c r="ET102" s="146"/>
      <c r="EU102" s="146"/>
      <c r="EV102" s="146"/>
      <c r="EW102" s="146"/>
      <c r="EX102" s="146"/>
      <c r="EY102" s="146"/>
      <c r="EZ102" s="146"/>
      <c r="FA102" s="146"/>
      <c r="FB102" s="146"/>
      <c r="FC102" s="146"/>
      <c r="FD102" s="146"/>
      <c r="FE102" s="146"/>
      <c r="FF102" s="146"/>
      <c r="FG102" s="146"/>
      <c r="FH102" s="146"/>
      <c r="FI102" s="146"/>
      <c r="FJ102" s="146"/>
      <c r="FK102" s="146"/>
      <c r="FL102" s="146"/>
      <c r="FM102" s="146"/>
      <c r="FN102" s="146"/>
      <c r="FO102" s="146"/>
      <c r="FP102" s="146"/>
      <c r="FQ102" s="146"/>
      <c r="FR102" s="146"/>
      <c r="FS102" s="146"/>
      <c r="FT102" s="146"/>
      <c r="FU102" s="146"/>
      <c r="FV102" s="146"/>
      <c r="FW102" s="146"/>
      <c r="FX102" s="146"/>
      <c r="FY102" s="146"/>
      <c r="FZ102" s="146"/>
      <c r="GA102" s="146"/>
      <c r="GB102" s="146"/>
      <c r="GC102" s="146"/>
      <c r="GD102" s="146"/>
      <c r="GE102" s="146"/>
      <c r="GF102" s="146"/>
      <c r="GG102" s="146"/>
      <c r="GH102" s="146"/>
      <c r="GI102" s="146"/>
      <c r="GJ102" s="146"/>
      <c r="GK102" s="146"/>
      <c r="GL102" s="146"/>
      <c r="GM102" s="146"/>
      <c r="GN102" s="146"/>
      <c r="GO102" s="146"/>
      <c r="GP102" s="146"/>
      <c r="GQ102" s="146"/>
      <c r="GR102" s="146"/>
      <c r="GS102" s="146"/>
      <c r="GT102" s="146"/>
      <c r="GU102" s="146"/>
      <c r="GV102" s="146"/>
      <c r="GW102" s="146"/>
      <c r="GX102" s="146"/>
      <c r="GY102" s="146"/>
      <c r="GZ102" s="146"/>
      <c r="HA102" s="146"/>
      <c r="HB102" s="146"/>
      <c r="HC102" s="146"/>
      <c r="HD102" s="146"/>
      <c r="HE102" s="146"/>
      <c r="HF102" s="146"/>
      <c r="HG102" s="146"/>
      <c r="HH102" s="146"/>
      <c r="HI102" s="146"/>
      <c r="HJ102" s="146"/>
      <c r="HK102" s="146"/>
      <c r="HL102" s="146"/>
      <c r="HM102" s="146"/>
      <c r="HN102" s="146"/>
      <c r="HO102" s="146"/>
      <c r="HP102" s="146"/>
      <c r="HQ102" s="146"/>
      <c r="HR102" s="146"/>
      <c r="HS102" s="146"/>
      <c r="HT102" s="146"/>
      <c r="HU102" s="146"/>
      <c r="HV102" s="146"/>
      <c r="HW102" s="146"/>
      <c r="HX102" s="146"/>
      <c r="HY102" s="146"/>
      <c r="HZ102" s="146"/>
      <c r="IA102" s="146"/>
      <c r="IB102" s="146"/>
      <c r="IC102" s="146"/>
      <c r="ID102" s="146"/>
      <c r="IE102" s="146"/>
    </row>
    <row r="103" spans="1:239" ht="14.15" customHeight="1">
      <c r="A103" s="146"/>
      <c r="B103" s="152"/>
      <c r="C103" s="152"/>
      <c r="D103" s="152"/>
      <c r="E103" s="152"/>
      <c r="F103" s="152"/>
      <c r="G103" s="152"/>
      <c r="H103" s="152"/>
      <c r="I103" s="143"/>
      <c r="J103" s="143"/>
      <c r="L103" s="1170"/>
      <c r="M103" s="1170"/>
      <c r="N103" s="639"/>
      <c r="O103" s="639"/>
      <c r="P103" s="639"/>
      <c r="Q103" s="639"/>
      <c r="S103" s="649"/>
      <c r="T103" s="639"/>
      <c r="U103" s="639"/>
      <c r="V103" s="639"/>
      <c r="W103" s="639"/>
      <c r="X103" s="639"/>
      <c r="Y103" s="639"/>
      <c r="Z103" s="639"/>
      <c r="AA103" s="639"/>
      <c r="AB103" s="639"/>
      <c r="AC103" s="639"/>
      <c r="AD103" s="639"/>
      <c r="AE103" s="639"/>
      <c r="AF103" s="639"/>
      <c r="AG103" s="639"/>
      <c r="AH103" s="639"/>
      <c r="AI103" s="639"/>
      <c r="AJ103" s="639"/>
      <c r="AK103" s="639"/>
      <c r="AL103" s="639"/>
      <c r="AM103" s="639"/>
      <c r="AN103" s="639"/>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c r="CA103" s="146"/>
      <c r="CB103" s="146"/>
      <c r="CC103" s="146"/>
      <c r="CD103" s="146"/>
      <c r="CE103" s="146"/>
      <c r="CF103" s="146"/>
      <c r="CG103" s="146"/>
      <c r="CH103" s="146"/>
      <c r="CI103" s="146"/>
      <c r="CJ103" s="146"/>
      <c r="CK103" s="146"/>
      <c r="CL103" s="146"/>
      <c r="CM103" s="146"/>
      <c r="CN103" s="146"/>
      <c r="CO103" s="146"/>
      <c r="CP103" s="146"/>
      <c r="CQ103" s="146"/>
      <c r="CR103" s="146"/>
      <c r="CS103" s="146"/>
      <c r="CT103" s="146"/>
      <c r="CU103" s="146"/>
      <c r="CV103" s="146"/>
      <c r="CW103" s="146"/>
      <c r="CX103" s="146"/>
      <c r="CY103" s="146"/>
      <c r="CZ103" s="146"/>
      <c r="DA103" s="146"/>
      <c r="DB103" s="146"/>
      <c r="DC103" s="146"/>
      <c r="DD103" s="146"/>
      <c r="DE103" s="146"/>
      <c r="DF103" s="146"/>
      <c r="DG103" s="146"/>
      <c r="DH103" s="146"/>
      <c r="DI103" s="146"/>
      <c r="DJ103" s="146"/>
      <c r="DK103" s="146"/>
      <c r="DL103" s="146"/>
      <c r="DM103" s="146"/>
      <c r="DN103" s="146"/>
      <c r="DO103" s="146"/>
      <c r="DP103" s="146"/>
      <c r="DQ103" s="146"/>
      <c r="DR103" s="146"/>
      <c r="DS103" s="146"/>
      <c r="DT103" s="146"/>
      <c r="DU103" s="146"/>
      <c r="DV103" s="146"/>
      <c r="DW103" s="146"/>
      <c r="DX103" s="146"/>
      <c r="DY103" s="146"/>
      <c r="DZ103" s="146"/>
      <c r="EA103" s="146"/>
      <c r="EB103" s="146"/>
      <c r="EC103" s="146"/>
      <c r="ED103" s="146"/>
      <c r="EE103" s="146"/>
      <c r="EF103" s="146"/>
      <c r="EG103" s="146"/>
      <c r="EH103" s="146"/>
      <c r="EI103" s="146"/>
      <c r="EJ103" s="146"/>
      <c r="EK103" s="146"/>
      <c r="EL103" s="146"/>
      <c r="EM103" s="146"/>
      <c r="EN103" s="146"/>
      <c r="EO103" s="146"/>
      <c r="EP103" s="146"/>
      <c r="EQ103" s="146"/>
      <c r="ER103" s="146"/>
      <c r="ES103" s="146"/>
      <c r="ET103" s="146"/>
      <c r="EU103" s="146"/>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6"/>
      <c r="FW103" s="146"/>
      <c r="FX103" s="146"/>
      <c r="FY103" s="146"/>
      <c r="FZ103" s="146"/>
      <c r="GA103" s="146"/>
      <c r="GB103" s="146"/>
      <c r="GC103" s="146"/>
      <c r="GD103" s="146"/>
      <c r="GE103" s="146"/>
      <c r="GF103" s="146"/>
      <c r="GG103" s="146"/>
      <c r="GH103" s="146"/>
      <c r="GI103" s="146"/>
      <c r="GJ103" s="146"/>
      <c r="GK103" s="146"/>
      <c r="GL103" s="146"/>
      <c r="GM103" s="146"/>
      <c r="GN103" s="146"/>
      <c r="GO103" s="146"/>
      <c r="GP103" s="146"/>
      <c r="GQ103" s="146"/>
      <c r="GR103" s="146"/>
      <c r="GS103" s="146"/>
      <c r="GT103" s="146"/>
      <c r="GU103" s="146"/>
      <c r="GV103" s="146"/>
      <c r="GW103" s="146"/>
      <c r="GX103" s="146"/>
      <c r="GY103" s="146"/>
      <c r="GZ103" s="146"/>
      <c r="HA103" s="146"/>
      <c r="HB103" s="146"/>
      <c r="HC103" s="146"/>
      <c r="HD103" s="146"/>
      <c r="HE103" s="146"/>
      <c r="HF103" s="146"/>
      <c r="HG103" s="146"/>
      <c r="HH103" s="146"/>
      <c r="HI103" s="146"/>
      <c r="HJ103" s="146"/>
      <c r="HK103" s="146"/>
      <c r="HL103" s="146"/>
      <c r="HM103" s="146"/>
      <c r="HN103" s="146"/>
      <c r="HO103" s="146"/>
      <c r="HP103" s="146"/>
      <c r="HQ103" s="146"/>
      <c r="HR103" s="146"/>
      <c r="HS103" s="146"/>
      <c r="HT103" s="146"/>
      <c r="HU103" s="146"/>
      <c r="HV103" s="146"/>
      <c r="HW103" s="146"/>
      <c r="HX103" s="146"/>
      <c r="HY103" s="146"/>
      <c r="HZ103" s="146"/>
      <c r="IA103" s="146"/>
      <c r="IB103" s="146"/>
      <c r="IC103" s="146"/>
      <c r="ID103" s="146"/>
      <c r="IE103" s="146"/>
    </row>
    <row r="104" spans="1:239" ht="14.15" customHeight="1">
      <c r="A104" s="146"/>
      <c r="B104" s="152"/>
      <c r="C104" s="152"/>
      <c r="D104" s="152"/>
      <c r="E104" s="152"/>
      <c r="F104" s="152"/>
      <c r="G104" s="152"/>
      <c r="H104" s="152"/>
      <c r="I104" s="143"/>
      <c r="J104" s="143"/>
      <c r="L104" s="1170"/>
      <c r="M104" s="1170"/>
      <c r="N104" s="639"/>
      <c r="O104" s="639"/>
      <c r="P104" s="639"/>
      <c r="Q104" s="639"/>
      <c r="S104" s="649"/>
      <c r="T104" s="639"/>
      <c r="U104" s="639"/>
      <c r="V104" s="639"/>
      <c r="W104" s="639"/>
      <c r="X104" s="639"/>
      <c r="Y104" s="639"/>
      <c r="Z104" s="639"/>
      <c r="AA104" s="639"/>
      <c r="AB104" s="639"/>
      <c r="AC104" s="639"/>
      <c r="AD104" s="639"/>
      <c r="AE104" s="639"/>
      <c r="AF104" s="639"/>
      <c r="AG104" s="639"/>
      <c r="AH104" s="639"/>
      <c r="AI104" s="639"/>
      <c r="AJ104" s="639"/>
      <c r="AK104" s="639"/>
      <c r="AL104" s="639"/>
      <c r="AM104" s="639"/>
      <c r="AN104" s="639"/>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c r="CA104" s="146"/>
      <c r="CB104" s="146"/>
      <c r="CC104" s="146"/>
      <c r="CD104" s="146"/>
      <c r="CE104" s="146"/>
      <c r="CF104" s="146"/>
      <c r="CG104" s="146"/>
      <c r="CH104" s="146"/>
      <c r="CI104" s="146"/>
      <c r="CJ104" s="146"/>
      <c r="CK104" s="146"/>
      <c r="CL104" s="146"/>
      <c r="CM104" s="146"/>
      <c r="CN104" s="146"/>
      <c r="CO104" s="146"/>
      <c r="CP104" s="146"/>
      <c r="CQ104" s="146"/>
      <c r="CR104" s="146"/>
      <c r="CS104" s="146"/>
      <c r="CT104" s="146"/>
      <c r="CU104" s="146"/>
      <c r="CV104" s="146"/>
      <c r="CW104" s="146"/>
      <c r="CX104" s="146"/>
      <c r="CY104" s="146"/>
      <c r="CZ104" s="146"/>
      <c r="DA104" s="146"/>
      <c r="DB104" s="146"/>
      <c r="DC104" s="146"/>
      <c r="DD104" s="146"/>
      <c r="DE104" s="146"/>
      <c r="DF104" s="146"/>
      <c r="DG104" s="146"/>
      <c r="DH104" s="146"/>
      <c r="DI104" s="146"/>
      <c r="DJ104" s="146"/>
      <c r="DK104" s="146"/>
      <c r="DL104" s="146"/>
      <c r="DM104" s="146"/>
      <c r="DN104" s="146"/>
      <c r="DO104" s="146"/>
      <c r="DP104" s="146"/>
      <c r="DQ104" s="146"/>
      <c r="DR104" s="146"/>
      <c r="DS104" s="146"/>
      <c r="DT104" s="146"/>
      <c r="DU104" s="146"/>
      <c r="DV104" s="146"/>
      <c r="DW104" s="146"/>
      <c r="DX104" s="146"/>
      <c r="DY104" s="146"/>
      <c r="DZ104" s="146"/>
      <c r="EA104" s="146"/>
      <c r="EB104" s="146"/>
      <c r="EC104" s="146"/>
      <c r="ED104" s="146"/>
      <c r="EE104" s="146"/>
      <c r="EF104" s="146"/>
      <c r="EG104" s="146"/>
      <c r="EH104" s="146"/>
      <c r="EI104" s="146"/>
      <c r="EJ104" s="146"/>
      <c r="EK104" s="146"/>
      <c r="EL104" s="146"/>
      <c r="EM104" s="146"/>
      <c r="EN104" s="146"/>
      <c r="EO104" s="146"/>
      <c r="EP104" s="146"/>
      <c r="EQ104" s="146"/>
      <c r="ER104" s="146"/>
      <c r="ES104" s="146"/>
      <c r="ET104" s="146"/>
      <c r="EU104" s="146"/>
      <c r="EV104" s="146"/>
      <c r="EW104" s="146"/>
      <c r="EX104" s="146"/>
      <c r="EY104" s="146"/>
      <c r="EZ104" s="146"/>
      <c r="FA104" s="146"/>
      <c r="FB104" s="146"/>
      <c r="FC104" s="146"/>
      <c r="FD104" s="146"/>
      <c r="FE104" s="146"/>
      <c r="FF104" s="146"/>
      <c r="FG104" s="146"/>
      <c r="FH104" s="146"/>
      <c r="FI104" s="146"/>
      <c r="FJ104" s="146"/>
      <c r="FK104" s="146"/>
      <c r="FL104" s="146"/>
      <c r="FM104" s="146"/>
      <c r="FN104" s="146"/>
      <c r="FO104" s="146"/>
      <c r="FP104" s="146"/>
      <c r="FQ104" s="146"/>
      <c r="FR104" s="146"/>
      <c r="FS104" s="146"/>
      <c r="FT104" s="146"/>
      <c r="FU104" s="146"/>
      <c r="FV104" s="146"/>
      <c r="FW104" s="146"/>
      <c r="FX104" s="146"/>
      <c r="FY104" s="146"/>
      <c r="FZ104" s="146"/>
      <c r="GA104" s="146"/>
      <c r="GB104" s="146"/>
      <c r="GC104" s="146"/>
      <c r="GD104" s="146"/>
      <c r="GE104" s="146"/>
      <c r="GF104" s="146"/>
      <c r="GG104" s="146"/>
      <c r="GH104" s="146"/>
      <c r="GI104" s="146"/>
      <c r="GJ104" s="146"/>
      <c r="GK104" s="146"/>
      <c r="GL104" s="146"/>
      <c r="GM104" s="146"/>
      <c r="GN104" s="146"/>
      <c r="GO104" s="146"/>
      <c r="GP104" s="146"/>
      <c r="GQ104" s="146"/>
      <c r="GR104" s="146"/>
      <c r="GS104" s="146"/>
      <c r="GT104" s="146"/>
      <c r="GU104" s="146"/>
      <c r="GV104" s="146"/>
      <c r="GW104" s="146"/>
      <c r="GX104" s="146"/>
      <c r="GY104" s="146"/>
      <c r="GZ104" s="146"/>
      <c r="HA104" s="146"/>
      <c r="HB104" s="146"/>
      <c r="HC104" s="146"/>
      <c r="HD104" s="146"/>
      <c r="HE104" s="146"/>
      <c r="HF104" s="146"/>
      <c r="HG104" s="146"/>
      <c r="HH104" s="146"/>
      <c r="HI104" s="146"/>
      <c r="HJ104" s="146"/>
      <c r="HK104" s="146"/>
      <c r="HL104" s="146"/>
      <c r="HM104" s="146"/>
      <c r="HN104" s="146"/>
      <c r="HO104" s="146"/>
      <c r="HP104" s="146"/>
      <c r="HQ104" s="146"/>
      <c r="HR104" s="146"/>
      <c r="HS104" s="146"/>
      <c r="HT104" s="146"/>
      <c r="HU104" s="146"/>
      <c r="HV104" s="146"/>
      <c r="HW104" s="146"/>
      <c r="HX104" s="146"/>
      <c r="HY104" s="146"/>
      <c r="HZ104" s="146"/>
      <c r="IA104" s="146"/>
      <c r="IB104" s="146"/>
      <c r="IC104" s="146"/>
      <c r="ID104" s="146"/>
      <c r="IE104" s="146"/>
    </row>
    <row r="105" spans="1:239" ht="14.15" customHeight="1">
      <c r="A105" s="146"/>
      <c r="B105" s="152"/>
      <c r="C105" s="152"/>
      <c r="D105" s="152"/>
      <c r="E105" s="152"/>
      <c r="F105" s="152"/>
      <c r="G105" s="152"/>
      <c r="H105" s="152"/>
      <c r="I105" s="143"/>
      <c r="J105" s="143"/>
      <c r="L105" s="1170"/>
      <c r="M105" s="1170"/>
      <c r="N105" s="639"/>
      <c r="O105" s="639"/>
      <c r="P105" s="639"/>
      <c r="Q105" s="639"/>
      <c r="S105" s="649"/>
      <c r="T105" s="639"/>
      <c r="U105" s="639"/>
      <c r="V105" s="639"/>
      <c r="W105" s="639"/>
      <c r="X105" s="639"/>
      <c r="Y105" s="639"/>
      <c r="Z105" s="639"/>
      <c r="AA105" s="639"/>
      <c r="AB105" s="639"/>
      <c r="AC105" s="639"/>
      <c r="AD105" s="639"/>
      <c r="AE105" s="639"/>
      <c r="AF105" s="639"/>
      <c r="AG105" s="639"/>
      <c r="AH105" s="639"/>
      <c r="AI105" s="639"/>
      <c r="AJ105" s="639"/>
      <c r="AK105" s="639"/>
      <c r="AL105" s="639"/>
      <c r="AM105" s="639"/>
      <c r="AN105" s="639"/>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c r="CA105" s="146"/>
      <c r="CB105" s="146"/>
      <c r="CC105" s="146"/>
      <c r="CD105" s="146"/>
      <c r="CE105" s="146"/>
      <c r="CF105" s="146"/>
      <c r="CG105" s="146"/>
      <c r="CH105" s="146"/>
      <c r="CI105" s="146"/>
      <c r="CJ105" s="146"/>
      <c r="CK105" s="146"/>
      <c r="CL105" s="146"/>
      <c r="CM105" s="146"/>
      <c r="CN105" s="146"/>
      <c r="CO105" s="146"/>
      <c r="CP105" s="146"/>
      <c r="CQ105" s="146"/>
      <c r="CR105" s="146"/>
      <c r="CS105" s="146"/>
      <c r="CT105" s="146"/>
      <c r="CU105" s="146"/>
      <c r="CV105" s="146"/>
      <c r="CW105" s="146"/>
      <c r="CX105" s="146"/>
      <c r="CY105" s="146"/>
      <c r="CZ105" s="146"/>
      <c r="DA105" s="146"/>
      <c r="DB105" s="146"/>
      <c r="DC105" s="146"/>
      <c r="DD105" s="146"/>
      <c r="DE105" s="146"/>
      <c r="DF105" s="146"/>
      <c r="DG105" s="146"/>
      <c r="DH105" s="146"/>
      <c r="DI105" s="146"/>
      <c r="DJ105" s="146"/>
      <c r="DK105" s="146"/>
      <c r="DL105" s="146"/>
      <c r="DM105" s="146"/>
      <c r="DN105" s="146"/>
      <c r="DO105" s="146"/>
      <c r="DP105" s="146"/>
      <c r="DQ105" s="146"/>
      <c r="DR105" s="146"/>
      <c r="DS105" s="146"/>
      <c r="DT105" s="146"/>
      <c r="DU105" s="146"/>
      <c r="DV105" s="146"/>
      <c r="DW105" s="146"/>
      <c r="DX105" s="146"/>
      <c r="DY105" s="146"/>
      <c r="DZ105" s="146"/>
      <c r="EA105" s="146"/>
      <c r="EB105" s="146"/>
      <c r="EC105" s="146"/>
      <c r="ED105" s="146"/>
      <c r="EE105" s="146"/>
      <c r="EF105" s="146"/>
      <c r="EG105" s="146"/>
      <c r="EH105" s="146"/>
      <c r="EI105" s="146"/>
      <c r="EJ105" s="146"/>
      <c r="EK105" s="146"/>
      <c r="EL105" s="146"/>
      <c r="EM105" s="146"/>
      <c r="EN105" s="146"/>
      <c r="EO105" s="146"/>
      <c r="EP105" s="146"/>
      <c r="EQ105" s="146"/>
      <c r="ER105" s="146"/>
      <c r="ES105" s="146"/>
      <c r="ET105" s="146"/>
      <c r="EU105" s="146"/>
      <c r="EV105" s="146"/>
      <c r="EW105" s="146"/>
      <c r="EX105" s="146"/>
      <c r="EY105" s="146"/>
      <c r="EZ105" s="146"/>
      <c r="FA105" s="146"/>
      <c r="FB105" s="146"/>
      <c r="FC105" s="146"/>
      <c r="FD105" s="146"/>
      <c r="FE105" s="146"/>
      <c r="FF105" s="146"/>
      <c r="FG105" s="146"/>
      <c r="FH105" s="146"/>
      <c r="FI105" s="146"/>
      <c r="FJ105" s="146"/>
      <c r="FK105" s="146"/>
      <c r="FL105" s="146"/>
      <c r="FM105" s="146"/>
      <c r="FN105" s="146"/>
      <c r="FO105" s="146"/>
      <c r="FP105" s="146"/>
      <c r="FQ105" s="146"/>
      <c r="FR105" s="146"/>
      <c r="FS105" s="146"/>
      <c r="FT105" s="146"/>
      <c r="FU105" s="146"/>
      <c r="FV105" s="146"/>
      <c r="FW105" s="146"/>
      <c r="FX105" s="146"/>
      <c r="FY105" s="146"/>
      <c r="FZ105" s="146"/>
      <c r="GA105" s="146"/>
      <c r="GB105" s="146"/>
      <c r="GC105" s="146"/>
      <c r="GD105" s="146"/>
      <c r="GE105" s="146"/>
      <c r="GF105" s="146"/>
      <c r="GG105" s="146"/>
      <c r="GH105" s="146"/>
      <c r="GI105" s="146"/>
      <c r="GJ105" s="146"/>
      <c r="GK105" s="146"/>
      <c r="GL105" s="146"/>
      <c r="GM105" s="146"/>
      <c r="GN105" s="146"/>
      <c r="GO105" s="146"/>
      <c r="GP105" s="146"/>
      <c r="GQ105" s="146"/>
      <c r="GR105" s="146"/>
      <c r="GS105" s="146"/>
      <c r="GT105" s="146"/>
      <c r="GU105" s="146"/>
      <c r="GV105" s="146"/>
      <c r="GW105" s="146"/>
      <c r="GX105" s="146"/>
      <c r="GY105" s="146"/>
      <c r="GZ105" s="146"/>
      <c r="HA105" s="146"/>
      <c r="HB105" s="146"/>
      <c r="HC105" s="146"/>
      <c r="HD105" s="146"/>
      <c r="HE105" s="146"/>
      <c r="HF105" s="146"/>
      <c r="HG105" s="146"/>
      <c r="HH105" s="146"/>
      <c r="HI105" s="146"/>
      <c r="HJ105" s="146"/>
      <c r="HK105" s="146"/>
      <c r="HL105" s="146"/>
      <c r="HM105" s="146"/>
      <c r="HN105" s="146"/>
      <c r="HO105" s="146"/>
      <c r="HP105" s="146"/>
      <c r="HQ105" s="146"/>
      <c r="HR105" s="146"/>
      <c r="HS105" s="146"/>
      <c r="HT105" s="146"/>
      <c r="HU105" s="146"/>
      <c r="HV105" s="146"/>
      <c r="HW105" s="146"/>
      <c r="HX105" s="146"/>
      <c r="HY105" s="146"/>
      <c r="HZ105" s="146"/>
      <c r="IA105" s="146"/>
      <c r="IB105" s="146"/>
      <c r="IC105" s="146"/>
      <c r="ID105" s="146"/>
      <c r="IE105" s="146"/>
    </row>
    <row r="106" spans="1:239" ht="14.15" customHeight="1">
      <c r="A106" s="146"/>
      <c r="B106" s="152"/>
      <c r="C106" s="152"/>
      <c r="D106" s="152"/>
      <c r="E106" s="152"/>
      <c r="F106" s="152"/>
      <c r="G106" s="152"/>
      <c r="H106" s="152"/>
      <c r="I106" s="143"/>
      <c r="J106" s="143"/>
      <c r="L106" s="1170"/>
      <c r="M106" s="1170"/>
      <c r="N106" s="639"/>
      <c r="O106" s="639"/>
      <c r="P106" s="639"/>
      <c r="Q106" s="639"/>
      <c r="S106" s="649"/>
      <c r="T106" s="639"/>
      <c r="U106" s="639"/>
      <c r="V106" s="639"/>
      <c r="W106" s="639"/>
      <c r="X106" s="639"/>
      <c r="Y106" s="639"/>
      <c r="Z106" s="639"/>
      <c r="AA106" s="639"/>
      <c r="AB106" s="639"/>
      <c r="AC106" s="639"/>
      <c r="AD106" s="639"/>
      <c r="AE106" s="639"/>
      <c r="AF106" s="639"/>
      <c r="AG106" s="639"/>
      <c r="AH106" s="639"/>
      <c r="AI106" s="639"/>
      <c r="AJ106" s="639"/>
      <c r="AK106" s="639"/>
      <c r="AL106" s="639"/>
      <c r="AM106" s="639"/>
      <c r="AN106" s="639"/>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146"/>
      <c r="CG106" s="146"/>
      <c r="CH106" s="146"/>
      <c r="CI106" s="146"/>
      <c r="CJ106" s="146"/>
      <c r="CK106" s="146"/>
      <c r="CL106" s="146"/>
      <c r="CM106" s="146"/>
      <c r="CN106" s="146"/>
      <c r="CO106" s="146"/>
      <c r="CP106" s="146"/>
      <c r="CQ106" s="146"/>
      <c r="CR106" s="146"/>
      <c r="CS106" s="146"/>
      <c r="CT106" s="146"/>
      <c r="CU106" s="146"/>
      <c r="CV106" s="146"/>
      <c r="CW106" s="146"/>
      <c r="CX106" s="146"/>
      <c r="CY106" s="146"/>
      <c r="CZ106" s="146"/>
      <c r="DA106" s="146"/>
      <c r="DB106" s="146"/>
      <c r="DC106" s="146"/>
      <c r="DD106" s="146"/>
      <c r="DE106" s="146"/>
      <c r="DF106" s="146"/>
      <c r="DG106" s="146"/>
      <c r="DH106" s="146"/>
      <c r="DI106" s="146"/>
      <c r="DJ106" s="146"/>
      <c r="DK106" s="146"/>
      <c r="DL106" s="146"/>
      <c r="DM106" s="146"/>
      <c r="DN106" s="146"/>
      <c r="DO106" s="146"/>
      <c r="DP106" s="146"/>
      <c r="DQ106" s="146"/>
      <c r="DR106" s="146"/>
      <c r="DS106" s="146"/>
      <c r="DT106" s="146"/>
      <c r="DU106" s="146"/>
      <c r="DV106" s="146"/>
      <c r="DW106" s="146"/>
      <c r="DX106" s="146"/>
      <c r="DY106" s="146"/>
      <c r="DZ106" s="146"/>
      <c r="EA106" s="146"/>
      <c r="EB106" s="146"/>
      <c r="EC106" s="146"/>
      <c r="ED106" s="146"/>
      <c r="EE106" s="146"/>
      <c r="EF106" s="146"/>
      <c r="EG106" s="146"/>
      <c r="EH106" s="146"/>
      <c r="EI106" s="146"/>
      <c r="EJ106" s="146"/>
      <c r="EK106" s="146"/>
      <c r="EL106" s="146"/>
      <c r="EM106" s="146"/>
      <c r="EN106" s="146"/>
      <c r="EO106" s="146"/>
      <c r="EP106" s="146"/>
      <c r="EQ106" s="146"/>
      <c r="ER106" s="146"/>
      <c r="ES106" s="146"/>
      <c r="ET106" s="146"/>
      <c r="EU106" s="146"/>
      <c r="EV106" s="146"/>
      <c r="EW106" s="146"/>
      <c r="EX106" s="146"/>
      <c r="EY106" s="146"/>
      <c r="EZ106" s="146"/>
      <c r="FA106" s="146"/>
      <c r="FB106" s="146"/>
      <c r="FC106" s="146"/>
      <c r="FD106" s="146"/>
      <c r="FE106" s="146"/>
      <c r="FF106" s="146"/>
      <c r="FG106" s="146"/>
      <c r="FH106" s="146"/>
      <c r="FI106" s="146"/>
      <c r="FJ106" s="146"/>
      <c r="FK106" s="146"/>
      <c r="FL106" s="146"/>
      <c r="FM106" s="146"/>
      <c r="FN106" s="146"/>
      <c r="FO106" s="146"/>
      <c r="FP106" s="146"/>
      <c r="FQ106" s="146"/>
      <c r="FR106" s="146"/>
      <c r="FS106" s="146"/>
      <c r="FT106" s="146"/>
      <c r="FU106" s="146"/>
      <c r="FV106" s="146"/>
      <c r="FW106" s="146"/>
      <c r="FX106" s="146"/>
      <c r="FY106" s="146"/>
      <c r="FZ106" s="146"/>
      <c r="GA106" s="146"/>
      <c r="GB106" s="146"/>
      <c r="GC106" s="146"/>
      <c r="GD106" s="146"/>
      <c r="GE106" s="146"/>
      <c r="GF106" s="146"/>
      <c r="GG106" s="146"/>
      <c r="GH106" s="146"/>
      <c r="GI106" s="146"/>
      <c r="GJ106" s="146"/>
      <c r="GK106" s="146"/>
      <c r="GL106" s="146"/>
      <c r="GM106" s="146"/>
      <c r="GN106" s="146"/>
      <c r="GO106" s="146"/>
      <c r="GP106" s="146"/>
      <c r="GQ106" s="146"/>
      <c r="GR106" s="146"/>
      <c r="GS106" s="146"/>
      <c r="GT106" s="146"/>
      <c r="GU106" s="146"/>
      <c r="GV106" s="146"/>
      <c r="GW106" s="146"/>
      <c r="GX106" s="146"/>
      <c r="GY106" s="146"/>
      <c r="GZ106" s="146"/>
      <c r="HA106" s="146"/>
      <c r="HB106" s="146"/>
      <c r="HC106" s="146"/>
      <c r="HD106" s="146"/>
      <c r="HE106" s="146"/>
      <c r="HF106" s="146"/>
      <c r="HG106" s="146"/>
      <c r="HH106" s="146"/>
      <c r="HI106" s="146"/>
      <c r="HJ106" s="146"/>
      <c r="HK106" s="146"/>
      <c r="HL106" s="146"/>
      <c r="HM106" s="146"/>
      <c r="HN106" s="146"/>
      <c r="HO106" s="146"/>
      <c r="HP106" s="146"/>
      <c r="HQ106" s="146"/>
      <c r="HR106" s="146"/>
      <c r="HS106" s="146"/>
      <c r="HT106" s="146"/>
      <c r="HU106" s="146"/>
      <c r="HV106" s="146"/>
      <c r="HW106" s="146"/>
      <c r="HX106" s="146"/>
      <c r="HY106" s="146"/>
      <c r="HZ106" s="146"/>
      <c r="IA106" s="146"/>
      <c r="IB106" s="146"/>
      <c r="IC106" s="146"/>
      <c r="ID106" s="146"/>
      <c r="IE106" s="146"/>
    </row>
    <row r="107" spans="1:239" ht="14.15" customHeight="1">
      <c r="A107" s="146"/>
      <c r="B107" s="152"/>
      <c r="C107" s="152"/>
      <c r="D107" s="152"/>
      <c r="E107" s="152"/>
      <c r="F107" s="152"/>
      <c r="G107" s="152"/>
      <c r="H107" s="152"/>
      <c r="I107" s="143"/>
      <c r="J107" s="143"/>
      <c r="L107" s="1170"/>
      <c r="M107" s="1170"/>
      <c r="N107" s="639"/>
      <c r="O107" s="639"/>
      <c r="P107" s="639"/>
      <c r="Q107" s="639"/>
      <c r="S107" s="649"/>
      <c r="T107" s="639"/>
      <c r="U107" s="639"/>
      <c r="V107" s="639"/>
      <c r="W107" s="639"/>
      <c r="X107" s="639"/>
      <c r="Y107" s="639"/>
      <c r="Z107" s="639"/>
      <c r="AA107" s="639"/>
      <c r="AB107" s="639"/>
      <c r="AC107" s="639"/>
      <c r="AD107" s="639"/>
      <c r="AE107" s="639"/>
      <c r="AF107" s="639"/>
      <c r="AG107" s="639"/>
      <c r="AH107" s="639"/>
      <c r="AI107" s="639"/>
      <c r="AJ107" s="639"/>
      <c r="AK107" s="639"/>
      <c r="AL107" s="639"/>
      <c r="AM107" s="639"/>
      <c r="AN107" s="639"/>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c r="CA107" s="146"/>
      <c r="CB107" s="146"/>
      <c r="CC107" s="146"/>
      <c r="CD107" s="146"/>
      <c r="CE107" s="146"/>
      <c r="CF107" s="146"/>
      <c r="CG107" s="146"/>
      <c r="CH107" s="146"/>
      <c r="CI107" s="146"/>
      <c r="CJ107" s="146"/>
      <c r="CK107" s="146"/>
      <c r="CL107" s="146"/>
      <c r="CM107" s="146"/>
      <c r="CN107" s="146"/>
      <c r="CO107" s="146"/>
      <c r="CP107" s="146"/>
      <c r="CQ107" s="146"/>
      <c r="CR107" s="146"/>
      <c r="CS107" s="146"/>
      <c r="CT107" s="146"/>
      <c r="CU107" s="146"/>
      <c r="CV107" s="146"/>
      <c r="CW107" s="146"/>
      <c r="CX107" s="146"/>
      <c r="CY107" s="146"/>
      <c r="CZ107" s="146"/>
      <c r="DA107" s="146"/>
      <c r="DB107" s="146"/>
      <c r="DC107" s="146"/>
      <c r="DD107" s="146"/>
      <c r="DE107" s="146"/>
      <c r="DF107" s="146"/>
      <c r="DG107" s="146"/>
      <c r="DH107" s="146"/>
      <c r="DI107" s="146"/>
      <c r="DJ107" s="146"/>
      <c r="DK107" s="146"/>
      <c r="DL107" s="146"/>
      <c r="DM107" s="146"/>
      <c r="DN107" s="146"/>
      <c r="DO107" s="146"/>
      <c r="DP107" s="146"/>
      <c r="DQ107" s="146"/>
      <c r="DR107" s="146"/>
      <c r="DS107" s="146"/>
      <c r="DT107" s="146"/>
      <c r="DU107" s="146"/>
      <c r="DV107" s="146"/>
      <c r="DW107" s="146"/>
      <c r="DX107" s="146"/>
      <c r="DY107" s="146"/>
      <c r="DZ107" s="146"/>
      <c r="EA107" s="146"/>
      <c r="EB107" s="146"/>
      <c r="EC107" s="146"/>
      <c r="ED107" s="146"/>
      <c r="EE107" s="146"/>
      <c r="EF107" s="146"/>
      <c r="EG107" s="146"/>
      <c r="EH107" s="146"/>
      <c r="EI107" s="146"/>
      <c r="EJ107" s="146"/>
      <c r="EK107" s="146"/>
      <c r="EL107" s="146"/>
      <c r="EM107" s="146"/>
      <c r="EN107" s="146"/>
      <c r="EO107" s="146"/>
      <c r="EP107" s="146"/>
      <c r="EQ107" s="146"/>
      <c r="ER107" s="146"/>
      <c r="ES107" s="146"/>
      <c r="ET107" s="146"/>
      <c r="EU107" s="146"/>
      <c r="EV107" s="146"/>
      <c r="EW107" s="146"/>
      <c r="EX107" s="146"/>
      <c r="EY107" s="146"/>
      <c r="EZ107" s="146"/>
      <c r="FA107" s="146"/>
      <c r="FB107" s="146"/>
      <c r="FC107" s="146"/>
      <c r="FD107" s="146"/>
      <c r="FE107" s="146"/>
      <c r="FF107" s="146"/>
      <c r="FG107" s="146"/>
      <c r="FH107" s="146"/>
      <c r="FI107" s="146"/>
      <c r="FJ107" s="146"/>
      <c r="FK107" s="146"/>
      <c r="FL107" s="146"/>
      <c r="FM107" s="146"/>
      <c r="FN107" s="146"/>
      <c r="FO107" s="146"/>
      <c r="FP107" s="146"/>
      <c r="FQ107" s="146"/>
      <c r="FR107" s="146"/>
      <c r="FS107" s="146"/>
      <c r="FT107" s="146"/>
      <c r="FU107" s="146"/>
      <c r="FV107" s="146"/>
      <c r="FW107" s="146"/>
      <c r="FX107" s="146"/>
      <c r="FY107" s="146"/>
      <c r="FZ107" s="146"/>
      <c r="GA107" s="146"/>
      <c r="GB107" s="146"/>
      <c r="GC107" s="146"/>
      <c r="GD107" s="146"/>
      <c r="GE107" s="146"/>
      <c r="GF107" s="146"/>
      <c r="GG107" s="146"/>
      <c r="GH107" s="146"/>
      <c r="GI107" s="146"/>
      <c r="GJ107" s="146"/>
      <c r="GK107" s="146"/>
      <c r="GL107" s="146"/>
      <c r="GM107" s="146"/>
      <c r="GN107" s="146"/>
      <c r="GO107" s="146"/>
      <c r="GP107" s="146"/>
      <c r="GQ107" s="146"/>
      <c r="GR107" s="146"/>
      <c r="GS107" s="146"/>
      <c r="GT107" s="146"/>
      <c r="GU107" s="146"/>
      <c r="GV107" s="146"/>
      <c r="GW107" s="146"/>
      <c r="GX107" s="146"/>
      <c r="GY107" s="146"/>
      <c r="GZ107" s="146"/>
      <c r="HA107" s="146"/>
      <c r="HB107" s="146"/>
      <c r="HC107" s="146"/>
      <c r="HD107" s="146"/>
      <c r="HE107" s="146"/>
      <c r="HF107" s="146"/>
      <c r="HG107" s="146"/>
      <c r="HH107" s="146"/>
      <c r="HI107" s="146"/>
      <c r="HJ107" s="146"/>
      <c r="HK107" s="146"/>
      <c r="HL107" s="146"/>
      <c r="HM107" s="146"/>
      <c r="HN107" s="146"/>
      <c r="HO107" s="146"/>
      <c r="HP107" s="146"/>
      <c r="HQ107" s="146"/>
      <c r="HR107" s="146"/>
      <c r="HS107" s="146"/>
      <c r="HT107" s="146"/>
      <c r="HU107" s="146"/>
      <c r="HV107" s="146"/>
      <c r="HW107" s="146"/>
      <c r="HX107" s="146"/>
      <c r="HY107" s="146"/>
      <c r="HZ107" s="146"/>
      <c r="IA107" s="146"/>
      <c r="IB107" s="146"/>
      <c r="IC107" s="146"/>
      <c r="ID107" s="146"/>
      <c r="IE107" s="146"/>
    </row>
    <row r="108" spans="1:239" ht="14.15" customHeight="1">
      <c r="A108" s="146"/>
      <c r="B108" s="152"/>
      <c r="C108" s="152"/>
      <c r="D108" s="152"/>
      <c r="E108" s="152"/>
      <c r="F108" s="152"/>
      <c r="G108" s="152"/>
      <c r="H108" s="152"/>
      <c r="I108" s="143"/>
      <c r="J108" s="143"/>
      <c r="L108" s="1170"/>
      <c r="M108" s="1170"/>
      <c r="N108" s="639"/>
      <c r="O108" s="639"/>
      <c r="P108" s="639"/>
      <c r="Q108" s="639"/>
      <c r="S108" s="649"/>
      <c r="T108" s="639"/>
      <c r="U108" s="639"/>
      <c r="V108" s="639"/>
      <c r="W108" s="639"/>
      <c r="X108" s="639"/>
      <c r="Y108" s="639"/>
      <c r="Z108" s="639"/>
      <c r="AA108" s="639"/>
      <c r="AB108" s="639"/>
      <c r="AC108" s="639"/>
      <c r="AD108" s="639"/>
      <c r="AE108" s="639"/>
      <c r="AF108" s="639"/>
      <c r="AG108" s="639"/>
      <c r="AH108" s="639"/>
      <c r="AI108" s="639"/>
      <c r="AJ108" s="639"/>
      <c r="AK108" s="639"/>
      <c r="AL108" s="639"/>
      <c r="AM108" s="639"/>
      <c r="AN108" s="639"/>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c r="CC108" s="146"/>
      <c r="CD108" s="146"/>
      <c r="CE108" s="146"/>
      <c r="CF108" s="146"/>
      <c r="CG108" s="146"/>
      <c r="CH108" s="146"/>
      <c r="CI108" s="146"/>
      <c r="CJ108" s="146"/>
      <c r="CK108" s="146"/>
      <c r="CL108" s="146"/>
      <c r="CM108" s="146"/>
      <c r="CN108" s="146"/>
      <c r="CO108" s="146"/>
      <c r="CP108" s="146"/>
      <c r="CQ108" s="146"/>
      <c r="CR108" s="146"/>
      <c r="CS108" s="146"/>
      <c r="CT108" s="146"/>
      <c r="CU108" s="146"/>
      <c r="CV108" s="146"/>
      <c r="CW108" s="146"/>
      <c r="CX108" s="146"/>
      <c r="CY108" s="146"/>
      <c r="CZ108" s="146"/>
      <c r="DA108" s="146"/>
      <c r="DB108" s="146"/>
      <c r="DC108" s="146"/>
      <c r="DD108" s="146"/>
      <c r="DE108" s="146"/>
      <c r="DF108" s="146"/>
      <c r="DG108" s="146"/>
      <c r="DH108" s="146"/>
      <c r="DI108" s="146"/>
      <c r="DJ108" s="146"/>
      <c r="DK108" s="146"/>
      <c r="DL108" s="146"/>
      <c r="DM108" s="146"/>
      <c r="DN108" s="146"/>
      <c r="DO108" s="146"/>
      <c r="DP108" s="146"/>
      <c r="DQ108" s="146"/>
      <c r="DR108" s="146"/>
      <c r="DS108" s="146"/>
      <c r="DT108" s="146"/>
      <c r="DU108" s="146"/>
      <c r="DV108" s="146"/>
      <c r="DW108" s="146"/>
      <c r="DX108" s="146"/>
      <c r="DY108" s="146"/>
      <c r="DZ108" s="146"/>
      <c r="EA108" s="146"/>
      <c r="EB108" s="146"/>
      <c r="EC108" s="146"/>
      <c r="ED108" s="146"/>
      <c r="EE108" s="146"/>
      <c r="EF108" s="146"/>
      <c r="EG108" s="146"/>
      <c r="EH108" s="146"/>
      <c r="EI108" s="146"/>
      <c r="EJ108" s="146"/>
      <c r="EK108" s="146"/>
      <c r="EL108" s="146"/>
      <c r="EM108" s="146"/>
      <c r="EN108" s="146"/>
      <c r="EO108" s="146"/>
      <c r="EP108" s="146"/>
      <c r="EQ108" s="146"/>
      <c r="ER108" s="146"/>
      <c r="ES108" s="146"/>
      <c r="ET108" s="146"/>
      <c r="EU108" s="146"/>
      <c r="EV108" s="146"/>
      <c r="EW108" s="146"/>
      <c r="EX108" s="146"/>
      <c r="EY108" s="146"/>
      <c r="EZ108" s="146"/>
      <c r="FA108" s="146"/>
      <c r="FB108" s="146"/>
      <c r="FC108" s="146"/>
      <c r="FD108" s="146"/>
      <c r="FE108" s="146"/>
      <c r="FF108" s="146"/>
      <c r="FG108" s="146"/>
      <c r="FH108" s="146"/>
      <c r="FI108" s="146"/>
      <c r="FJ108" s="146"/>
      <c r="FK108" s="146"/>
      <c r="FL108" s="146"/>
      <c r="FM108" s="146"/>
      <c r="FN108" s="146"/>
      <c r="FO108" s="146"/>
      <c r="FP108" s="146"/>
      <c r="FQ108" s="146"/>
      <c r="FR108" s="146"/>
      <c r="FS108" s="146"/>
      <c r="FT108" s="146"/>
      <c r="FU108" s="146"/>
      <c r="FV108" s="146"/>
      <c r="FW108" s="146"/>
      <c r="FX108" s="146"/>
      <c r="FY108" s="146"/>
      <c r="FZ108" s="146"/>
      <c r="GA108" s="146"/>
      <c r="GB108" s="146"/>
      <c r="GC108" s="146"/>
      <c r="GD108" s="146"/>
      <c r="GE108" s="146"/>
      <c r="GF108" s="146"/>
      <c r="GG108" s="146"/>
      <c r="GH108" s="146"/>
      <c r="GI108" s="146"/>
      <c r="GJ108" s="146"/>
      <c r="GK108" s="146"/>
      <c r="GL108" s="146"/>
      <c r="GM108" s="146"/>
      <c r="GN108" s="146"/>
      <c r="GO108" s="146"/>
      <c r="GP108" s="146"/>
      <c r="GQ108" s="146"/>
      <c r="GR108" s="146"/>
      <c r="GS108" s="146"/>
      <c r="GT108" s="146"/>
      <c r="GU108" s="146"/>
      <c r="GV108" s="146"/>
      <c r="GW108" s="146"/>
      <c r="GX108" s="146"/>
      <c r="GY108" s="146"/>
      <c r="GZ108" s="146"/>
      <c r="HA108" s="146"/>
      <c r="HB108" s="146"/>
      <c r="HC108" s="146"/>
      <c r="HD108" s="146"/>
      <c r="HE108" s="146"/>
      <c r="HF108" s="146"/>
      <c r="HG108" s="146"/>
      <c r="HH108" s="146"/>
      <c r="HI108" s="146"/>
      <c r="HJ108" s="146"/>
      <c r="HK108" s="146"/>
      <c r="HL108" s="146"/>
      <c r="HM108" s="146"/>
      <c r="HN108" s="146"/>
      <c r="HO108" s="146"/>
      <c r="HP108" s="146"/>
      <c r="HQ108" s="146"/>
      <c r="HR108" s="146"/>
      <c r="HS108" s="146"/>
      <c r="HT108" s="146"/>
      <c r="HU108" s="146"/>
      <c r="HV108" s="146"/>
      <c r="HW108" s="146"/>
      <c r="HX108" s="146"/>
      <c r="HY108" s="146"/>
      <c r="HZ108" s="146"/>
      <c r="IA108" s="146"/>
      <c r="IB108" s="146"/>
      <c r="IC108" s="146"/>
      <c r="ID108" s="146"/>
      <c r="IE108" s="146"/>
    </row>
    <row r="109" spans="1:239" ht="14.15" customHeight="1">
      <c r="A109" s="146"/>
      <c r="B109" s="152"/>
      <c r="C109" s="152"/>
      <c r="D109" s="152"/>
      <c r="E109" s="152"/>
      <c r="F109" s="152"/>
      <c r="G109" s="152"/>
      <c r="H109" s="152"/>
      <c r="I109" s="143"/>
      <c r="J109" s="143"/>
      <c r="L109" s="1170"/>
      <c r="M109" s="1170"/>
      <c r="N109" s="639"/>
      <c r="O109" s="639"/>
      <c r="P109" s="639"/>
      <c r="Q109" s="639"/>
      <c r="S109" s="649"/>
      <c r="T109" s="639"/>
      <c r="U109" s="639"/>
      <c r="V109" s="639"/>
      <c r="W109" s="639"/>
      <c r="X109" s="639"/>
      <c r="Y109" s="639"/>
      <c r="Z109" s="639"/>
      <c r="AA109" s="639"/>
      <c r="AB109" s="639"/>
      <c r="AC109" s="639"/>
      <c r="AD109" s="639"/>
      <c r="AE109" s="639"/>
      <c r="AF109" s="639"/>
      <c r="AG109" s="639"/>
      <c r="AH109" s="639"/>
      <c r="AI109" s="639"/>
      <c r="AJ109" s="639"/>
      <c r="AK109" s="639"/>
      <c r="AL109" s="639"/>
      <c r="AM109" s="639"/>
      <c r="AN109" s="639"/>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c r="CA109" s="146"/>
      <c r="CB109" s="146"/>
      <c r="CC109" s="146"/>
      <c r="CD109" s="146"/>
      <c r="CE109" s="146"/>
      <c r="CF109" s="146"/>
      <c r="CG109" s="146"/>
      <c r="CH109" s="146"/>
      <c r="CI109" s="146"/>
      <c r="CJ109" s="146"/>
      <c r="CK109" s="146"/>
      <c r="CL109" s="146"/>
      <c r="CM109" s="146"/>
      <c r="CN109" s="146"/>
      <c r="CO109" s="146"/>
      <c r="CP109" s="146"/>
      <c r="CQ109" s="146"/>
      <c r="CR109" s="146"/>
      <c r="CS109" s="146"/>
      <c r="CT109" s="146"/>
      <c r="CU109" s="146"/>
      <c r="CV109" s="146"/>
      <c r="CW109" s="146"/>
      <c r="CX109" s="146"/>
      <c r="CY109" s="146"/>
      <c r="CZ109" s="146"/>
      <c r="DA109" s="146"/>
      <c r="DB109" s="146"/>
      <c r="DC109" s="146"/>
      <c r="DD109" s="146"/>
      <c r="DE109" s="146"/>
      <c r="DF109" s="146"/>
      <c r="DG109" s="146"/>
      <c r="DH109" s="146"/>
      <c r="DI109" s="146"/>
      <c r="DJ109" s="146"/>
      <c r="DK109" s="146"/>
      <c r="DL109" s="146"/>
      <c r="DM109" s="146"/>
      <c r="DN109" s="146"/>
      <c r="DO109" s="146"/>
      <c r="DP109" s="146"/>
      <c r="DQ109" s="146"/>
      <c r="DR109" s="146"/>
      <c r="DS109" s="146"/>
      <c r="DT109" s="146"/>
      <c r="DU109" s="146"/>
      <c r="DV109" s="146"/>
      <c r="DW109" s="146"/>
      <c r="DX109" s="146"/>
      <c r="DY109" s="146"/>
      <c r="DZ109" s="146"/>
      <c r="EA109" s="146"/>
      <c r="EB109" s="146"/>
      <c r="EC109" s="146"/>
      <c r="ED109" s="146"/>
      <c r="EE109" s="146"/>
      <c r="EF109" s="146"/>
      <c r="EG109" s="146"/>
      <c r="EH109" s="146"/>
      <c r="EI109" s="146"/>
      <c r="EJ109" s="146"/>
      <c r="EK109" s="146"/>
      <c r="EL109" s="146"/>
      <c r="EM109" s="146"/>
      <c r="EN109" s="146"/>
      <c r="EO109" s="146"/>
      <c r="EP109" s="146"/>
      <c r="EQ109" s="146"/>
      <c r="ER109" s="146"/>
      <c r="ES109" s="146"/>
      <c r="ET109" s="146"/>
      <c r="EU109" s="146"/>
      <c r="EV109" s="146"/>
      <c r="EW109" s="146"/>
      <c r="EX109" s="146"/>
      <c r="EY109" s="146"/>
      <c r="EZ109" s="146"/>
      <c r="FA109" s="146"/>
      <c r="FB109" s="146"/>
      <c r="FC109" s="146"/>
      <c r="FD109" s="146"/>
      <c r="FE109" s="146"/>
      <c r="FF109" s="146"/>
      <c r="FG109" s="146"/>
      <c r="FH109" s="146"/>
      <c r="FI109" s="146"/>
      <c r="FJ109" s="146"/>
      <c r="FK109" s="146"/>
      <c r="FL109" s="146"/>
      <c r="FM109" s="146"/>
      <c r="FN109" s="146"/>
      <c r="FO109" s="146"/>
      <c r="FP109" s="146"/>
      <c r="FQ109" s="146"/>
      <c r="FR109" s="146"/>
      <c r="FS109" s="146"/>
      <c r="FT109" s="146"/>
      <c r="FU109" s="146"/>
      <c r="FV109" s="146"/>
      <c r="FW109" s="146"/>
      <c r="FX109" s="146"/>
      <c r="FY109" s="146"/>
      <c r="FZ109" s="146"/>
      <c r="GA109" s="146"/>
      <c r="GB109" s="146"/>
      <c r="GC109" s="146"/>
      <c r="GD109" s="146"/>
      <c r="GE109" s="146"/>
      <c r="GF109" s="146"/>
      <c r="GG109" s="146"/>
      <c r="GH109" s="146"/>
      <c r="GI109" s="146"/>
      <c r="GJ109" s="146"/>
      <c r="GK109" s="146"/>
      <c r="GL109" s="146"/>
      <c r="GM109" s="146"/>
      <c r="GN109" s="146"/>
      <c r="GO109" s="146"/>
      <c r="GP109" s="146"/>
      <c r="GQ109" s="146"/>
      <c r="GR109" s="146"/>
      <c r="GS109" s="146"/>
      <c r="GT109" s="146"/>
      <c r="GU109" s="146"/>
      <c r="GV109" s="146"/>
      <c r="GW109" s="146"/>
      <c r="GX109" s="146"/>
      <c r="GY109" s="146"/>
      <c r="GZ109" s="146"/>
      <c r="HA109" s="146"/>
      <c r="HB109" s="146"/>
      <c r="HC109" s="146"/>
      <c r="HD109" s="146"/>
      <c r="HE109" s="146"/>
      <c r="HF109" s="146"/>
      <c r="HG109" s="146"/>
      <c r="HH109" s="146"/>
      <c r="HI109" s="146"/>
      <c r="HJ109" s="146"/>
      <c r="HK109" s="146"/>
      <c r="HL109" s="146"/>
      <c r="HM109" s="146"/>
      <c r="HN109" s="146"/>
      <c r="HO109" s="146"/>
      <c r="HP109" s="146"/>
      <c r="HQ109" s="146"/>
      <c r="HR109" s="146"/>
      <c r="HS109" s="146"/>
      <c r="HT109" s="146"/>
      <c r="HU109" s="146"/>
      <c r="HV109" s="146"/>
      <c r="HW109" s="146"/>
      <c r="HX109" s="146"/>
      <c r="HY109" s="146"/>
      <c r="HZ109" s="146"/>
      <c r="IA109" s="146"/>
      <c r="IB109" s="146"/>
      <c r="IC109" s="146"/>
      <c r="ID109" s="146"/>
      <c r="IE109" s="146"/>
    </row>
    <row r="110" spans="1:239" ht="14.15" customHeight="1">
      <c r="A110" s="146"/>
      <c r="B110" s="152"/>
      <c r="C110" s="152"/>
      <c r="D110" s="152"/>
      <c r="E110" s="152"/>
      <c r="F110" s="152"/>
      <c r="G110" s="152"/>
      <c r="H110" s="152"/>
      <c r="I110" s="143"/>
      <c r="J110" s="143"/>
      <c r="L110" s="1170"/>
      <c r="M110" s="1170"/>
      <c r="N110" s="639"/>
      <c r="O110" s="639"/>
      <c r="P110" s="639"/>
      <c r="Q110" s="639"/>
      <c r="S110" s="649"/>
      <c r="T110" s="639"/>
      <c r="U110" s="639"/>
      <c r="V110" s="639"/>
      <c r="W110" s="639"/>
      <c r="X110" s="639"/>
      <c r="Y110" s="639"/>
      <c r="Z110" s="639"/>
      <c r="AA110" s="639"/>
      <c r="AB110" s="639"/>
      <c r="AC110" s="639"/>
      <c r="AD110" s="639"/>
      <c r="AE110" s="639"/>
      <c r="AF110" s="639"/>
      <c r="AG110" s="639"/>
      <c r="AH110" s="639"/>
      <c r="AI110" s="639"/>
      <c r="AJ110" s="639"/>
      <c r="AK110" s="639"/>
      <c r="AL110" s="639"/>
      <c r="AM110" s="639"/>
      <c r="AN110" s="639"/>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6"/>
      <c r="GD110" s="146"/>
      <c r="GE110" s="146"/>
      <c r="GF110" s="146"/>
      <c r="GG110" s="146"/>
      <c r="GH110" s="146"/>
      <c r="GI110" s="146"/>
      <c r="GJ110" s="146"/>
      <c r="GK110" s="146"/>
      <c r="GL110" s="146"/>
      <c r="GM110" s="146"/>
      <c r="GN110" s="146"/>
      <c r="GO110" s="146"/>
      <c r="GP110" s="146"/>
      <c r="GQ110" s="146"/>
      <c r="GR110" s="146"/>
      <c r="GS110" s="146"/>
      <c r="GT110" s="146"/>
      <c r="GU110" s="146"/>
      <c r="GV110" s="146"/>
      <c r="GW110" s="146"/>
      <c r="GX110" s="146"/>
      <c r="GY110" s="146"/>
      <c r="GZ110" s="146"/>
      <c r="HA110" s="146"/>
      <c r="HB110" s="146"/>
      <c r="HC110" s="146"/>
      <c r="HD110" s="146"/>
      <c r="HE110" s="146"/>
      <c r="HF110" s="146"/>
      <c r="HG110" s="146"/>
      <c r="HH110" s="146"/>
      <c r="HI110" s="146"/>
      <c r="HJ110" s="146"/>
      <c r="HK110" s="146"/>
      <c r="HL110" s="146"/>
      <c r="HM110" s="146"/>
      <c r="HN110" s="146"/>
      <c r="HO110" s="146"/>
      <c r="HP110" s="146"/>
      <c r="HQ110" s="146"/>
      <c r="HR110" s="146"/>
      <c r="HS110" s="146"/>
      <c r="HT110" s="146"/>
      <c r="HU110" s="146"/>
      <c r="HV110" s="146"/>
      <c r="HW110" s="146"/>
      <c r="HX110" s="146"/>
      <c r="HY110" s="146"/>
      <c r="HZ110" s="146"/>
      <c r="IA110" s="146"/>
      <c r="IB110" s="146"/>
      <c r="IC110" s="146"/>
      <c r="ID110" s="146"/>
      <c r="IE110" s="146"/>
    </row>
    <row r="111" spans="1:239" ht="14.15" customHeight="1">
      <c r="N111" s="639"/>
      <c r="O111" s="639"/>
      <c r="P111" s="639"/>
      <c r="Q111" s="639"/>
      <c r="S111" s="649"/>
      <c r="T111" s="639"/>
      <c r="U111" s="639"/>
      <c r="V111" s="639"/>
      <c r="W111" s="639"/>
      <c r="X111" s="639"/>
      <c r="Y111" s="639"/>
      <c r="Z111" s="639"/>
      <c r="AA111" s="639"/>
      <c r="AB111" s="639"/>
      <c r="AC111" s="639"/>
      <c r="AD111" s="639"/>
      <c r="AE111" s="639"/>
      <c r="AF111" s="639"/>
      <c r="AG111" s="639"/>
      <c r="AH111" s="639"/>
      <c r="AI111" s="639"/>
      <c r="AJ111" s="639"/>
      <c r="AK111" s="639"/>
      <c r="AL111" s="639"/>
      <c r="AM111" s="639"/>
      <c r="AN111" s="639"/>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c r="CA111" s="146"/>
      <c r="CB111" s="146"/>
      <c r="CC111" s="146"/>
      <c r="CD111" s="146"/>
      <c r="CE111" s="146"/>
      <c r="CF111" s="146"/>
      <c r="CG111" s="146"/>
      <c r="CH111" s="146"/>
      <c r="CI111" s="146"/>
      <c r="CJ111" s="146"/>
      <c r="CK111" s="146"/>
      <c r="CL111" s="146"/>
      <c r="CM111" s="146"/>
      <c r="CN111" s="146"/>
      <c r="CO111" s="146"/>
      <c r="CP111" s="146"/>
      <c r="CQ111" s="146"/>
      <c r="CR111" s="146"/>
      <c r="CS111" s="146"/>
      <c r="CT111" s="146"/>
      <c r="CU111" s="146"/>
      <c r="CV111" s="146"/>
      <c r="CW111" s="146"/>
      <c r="CX111" s="146"/>
      <c r="CY111" s="146"/>
      <c r="CZ111" s="146"/>
      <c r="DA111" s="146"/>
      <c r="DB111" s="146"/>
      <c r="DC111" s="146"/>
      <c r="DD111" s="146"/>
      <c r="DE111" s="146"/>
      <c r="DF111" s="146"/>
      <c r="DG111" s="146"/>
      <c r="DH111" s="146"/>
      <c r="DI111" s="146"/>
      <c r="DJ111" s="146"/>
      <c r="DK111" s="146"/>
      <c r="DL111" s="146"/>
      <c r="DM111" s="146"/>
      <c r="DN111" s="146"/>
      <c r="DO111" s="146"/>
      <c r="DP111" s="146"/>
      <c r="DQ111" s="146"/>
      <c r="DR111" s="146"/>
      <c r="DS111" s="146"/>
      <c r="DT111" s="146"/>
      <c r="DU111" s="146"/>
      <c r="DV111" s="146"/>
      <c r="DW111" s="146"/>
      <c r="DX111" s="146"/>
      <c r="DY111" s="146"/>
      <c r="DZ111" s="146"/>
      <c r="EA111" s="146"/>
      <c r="EB111" s="146"/>
      <c r="EC111" s="146"/>
      <c r="ED111" s="146"/>
      <c r="EE111" s="146"/>
      <c r="EF111" s="146"/>
      <c r="EG111" s="146"/>
      <c r="EH111" s="146"/>
      <c r="EI111" s="146"/>
      <c r="EJ111" s="146"/>
      <c r="EK111" s="146"/>
      <c r="EL111" s="146"/>
      <c r="EM111" s="146"/>
      <c r="EN111" s="146"/>
      <c r="EO111" s="146"/>
      <c r="EP111" s="146"/>
      <c r="EQ111" s="146"/>
      <c r="ER111" s="146"/>
      <c r="ES111" s="146"/>
      <c r="ET111" s="146"/>
      <c r="EU111" s="146"/>
      <c r="EV111" s="146"/>
      <c r="EW111" s="146"/>
      <c r="EX111" s="146"/>
      <c r="EY111" s="146"/>
      <c r="EZ111" s="146"/>
      <c r="FA111" s="146"/>
      <c r="FB111" s="146"/>
      <c r="FC111" s="146"/>
      <c r="FD111" s="146"/>
      <c r="FE111" s="146"/>
      <c r="FF111" s="146"/>
      <c r="FG111" s="146"/>
      <c r="FH111" s="146"/>
      <c r="FI111" s="146"/>
      <c r="FJ111" s="146"/>
      <c r="FK111" s="146"/>
      <c r="FL111" s="146"/>
      <c r="FM111" s="146"/>
      <c r="FN111" s="146"/>
      <c r="FO111" s="146"/>
      <c r="FP111" s="146"/>
      <c r="FQ111" s="146"/>
      <c r="FR111" s="146"/>
      <c r="FS111" s="146"/>
      <c r="FT111" s="146"/>
      <c r="FU111" s="146"/>
      <c r="FV111" s="146"/>
      <c r="FW111" s="146"/>
      <c r="FX111" s="146"/>
      <c r="FY111" s="146"/>
      <c r="FZ111" s="146"/>
      <c r="GA111" s="146"/>
      <c r="GB111" s="146"/>
      <c r="GC111" s="146"/>
      <c r="GD111" s="146"/>
      <c r="GE111" s="146"/>
      <c r="GF111" s="146"/>
      <c r="GG111" s="146"/>
      <c r="GH111" s="146"/>
      <c r="GI111" s="146"/>
      <c r="GJ111" s="146"/>
      <c r="GK111" s="146"/>
      <c r="GL111" s="146"/>
      <c r="GM111" s="146"/>
      <c r="GN111" s="146"/>
      <c r="GO111" s="146"/>
      <c r="GP111" s="146"/>
      <c r="GQ111" s="146"/>
      <c r="GR111" s="146"/>
      <c r="GS111" s="146"/>
      <c r="GT111" s="146"/>
      <c r="GU111" s="146"/>
      <c r="GV111" s="146"/>
      <c r="GW111" s="146"/>
      <c r="GX111" s="146"/>
      <c r="GY111" s="146"/>
      <c r="GZ111" s="146"/>
      <c r="HA111" s="146"/>
      <c r="HB111" s="146"/>
      <c r="HC111" s="146"/>
      <c r="HD111" s="146"/>
      <c r="HE111" s="146"/>
      <c r="HF111" s="146"/>
      <c r="HG111" s="146"/>
      <c r="HH111" s="146"/>
      <c r="HI111" s="146"/>
      <c r="HJ111" s="146"/>
      <c r="HK111" s="146"/>
      <c r="HL111" s="146"/>
      <c r="HM111" s="146"/>
      <c r="HN111" s="146"/>
      <c r="HO111" s="146"/>
      <c r="HP111" s="146"/>
      <c r="HQ111" s="146"/>
      <c r="HR111" s="146"/>
      <c r="HS111" s="146"/>
      <c r="HT111" s="146"/>
      <c r="HU111" s="146"/>
      <c r="HV111" s="146"/>
      <c r="HW111" s="146"/>
      <c r="HX111" s="146"/>
      <c r="HY111" s="146"/>
      <c r="HZ111" s="146"/>
      <c r="IA111" s="146"/>
      <c r="IB111" s="146"/>
      <c r="IC111" s="146"/>
      <c r="ID111" s="146"/>
      <c r="IE111" s="146"/>
    </row>
    <row r="112" spans="1:239" ht="14.15" customHeight="1">
      <c r="N112" s="639"/>
      <c r="O112" s="639"/>
      <c r="P112" s="639"/>
      <c r="Q112" s="639"/>
      <c r="S112" s="649"/>
      <c r="T112" s="639"/>
      <c r="U112" s="639"/>
      <c r="V112" s="639"/>
      <c r="W112" s="639"/>
      <c r="X112" s="639"/>
      <c r="Y112" s="639"/>
      <c r="Z112" s="639"/>
      <c r="AA112" s="639"/>
      <c r="AB112" s="639"/>
      <c r="AC112" s="639"/>
      <c r="AD112" s="639"/>
      <c r="AE112" s="639"/>
      <c r="AF112" s="639"/>
      <c r="AG112" s="639"/>
      <c r="AH112" s="639"/>
      <c r="AI112" s="639"/>
      <c r="AJ112" s="639"/>
      <c r="AK112" s="639"/>
      <c r="AL112" s="639"/>
      <c r="AM112" s="639"/>
      <c r="AN112" s="639"/>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c r="CC112" s="146"/>
      <c r="CD112" s="146"/>
      <c r="CE112" s="146"/>
      <c r="CF112" s="146"/>
      <c r="CG112" s="146"/>
      <c r="CH112" s="146"/>
      <c r="CI112" s="146"/>
      <c r="CJ112" s="146"/>
      <c r="CK112" s="146"/>
      <c r="CL112" s="146"/>
      <c r="CM112" s="146"/>
      <c r="CN112" s="146"/>
      <c r="CO112" s="146"/>
      <c r="CP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c r="DK112" s="146"/>
      <c r="DL112" s="146"/>
      <c r="DM112" s="146"/>
      <c r="DN112" s="146"/>
      <c r="DO112" s="146"/>
      <c r="DP112" s="146"/>
      <c r="DQ112" s="146"/>
      <c r="DR112" s="146"/>
      <c r="DS112" s="146"/>
      <c r="DT112" s="146"/>
      <c r="DU112" s="146"/>
      <c r="DV112" s="146"/>
      <c r="DW112" s="146"/>
      <c r="DX112" s="146"/>
      <c r="DY112" s="146"/>
      <c r="DZ112" s="146"/>
      <c r="EA112" s="146"/>
      <c r="EB112" s="146"/>
      <c r="EC112" s="146"/>
      <c r="ED112" s="146"/>
      <c r="EE112" s="146"/>
      <c r="EF112" s="146"/>
      <c r="EG112" s="146"/>
      <c r="EH112" s="146"/>
      <c r="EI112" s="146"/>
      <c r="EJ112" s="146"/>
      <c r="EK112" s="146"/>
      <c r="EL112" s="146"/>
      <c r="EM112" s="146"/>
      <c r="EN112" s="146"/>
      <c r="EO112" s="146"/>
      <c r="EP112" s="146"/>
      <c r="EQ112" s="146"/>
      <c r="ER112" s="146"/>
      <c r="ES112" s="146"/>
      <c r="ET112" s="146"/>
      <c r="EU112" s="146"/>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c r="GU112" s="146"/>
      <c r="GV112" s="146"/>
      <c r="GW112" s="146"/>
      <c r="GX112" s="146"/>
      <c r="GY112" s="146"/>
      <c r="GZ112" s="146"/>
      <c r="HA112" s="146"/>
      <c r="HB112" s="146"/>
      <c r="HC112" s="146"/>
      <c r="HD112" s="146"/>
      <c r="HE112" s="146"/>
      <c r="HF112" s="146"/>
      <c r="HG112" s="146"/>
      <c r="HH112" s="146"/>
      <c r="HI112" s="146"/>
      <c r="HJ112" s="146"/>
      <c r="HK112" s="146"/>
      <c r="HL112" s="146"/>
      <c r="HM112" s="146"/>
      <c r="HN112" s="146"/>
      <c r="HO112" s="146"/>
      <c r="HP112" s="146"/>
      <c r="HQ112" s="146"/>
      <c r="HR112" s="146"/>
      <c r="HS112" s="146"/>
      <c r="HT112" s="146"/>
      <c r="HU112" s="146"/>
      <c r="HV112" s="146"/>
      <c r="HW112" s="146"/>
      <c r="HX112" s="146"/>
      <c r="HY112" s="146"/>
      <c r="HZ112" s="146"/>
      <c r="IA112" s="146"/>
      <c r="IB112" s="146"/>
      <c r="IC112" s="146"/>
      <c r="ID112" s="146"/>
      <c r="IE112" s="146"/>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hyperlinks>
    <hyperlink ref="S1" location="TOC!A1" display="Back"/>
  </hyperlinks>
  <printOptions horizontalCentered="1"/>
  <pageMargins left="0.4" right="0.25" top="0.5" bottom="0.25" header="0.25" footer="0"/>
  <pageSetup scale="71" orientation="landscape" r:id="rId2"/>
  <headerFooter scaleWithDoc="0">
    <oddHeader>&amp;R&amp;P</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V58"/>
  <sheetViews>
    <sheetView zoomScaleNormal="100" workbookViewId="0"/>
  </sheetViews>
  <sheetFormatPr defaultColWidth="12.453125" defaultRowHeight="12.5"/>
  <cols>
    <col min="1" max="1" width="18.7265625" style="80" customWidth="1"/>
    <col min="2" max="2" width="3.7265625" style="80" customWidth="1"/>
    <col min="3" max="3" width="18.7265625" style="80" customWidth="1"/>
    <col min="4" max="4" width="3.7265625" style="80" customWidth="1"/>
    <col min="5" max="5" width="85.7265625" style="80" customWidth="1"/>
    <col min="6" max="19" width="12.453125" style="80" customWidth="1"/>
    <col min="20" max="20" width="12.453125" style="7" customWidth="1"/>
    <col min="21" max="21" width="24.453125" style="7" customWidth="1"/>
    <col min="22" max="16384" width="12.453125" style="80"/>
  </cols>
  <sheetData>
    <row r="1" spans="1:48" ht="18">
      <c r="A1" s="81" t="s">
        <v>302</v>
      </c>
      <c r="F1" s="939" t="s">
        <v>1018</v>
      </c>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row>
    <row r="2" spans="1:48" ht="15.5">
      <c r="A2" s="8" t="s">
        <v>303</v>
      </c>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ht="15.5">
      <c r="A3" s="8"/>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row>
    <row r="4" spans="1:48" ht="16" thickBot="1">
      <c r="A4" s="8"/>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row>
    <row r="5" spans="1:48">
      <c r="A5" s="82"/>
      <c r="B5" s="82"/>
      <c r="C5" s="911"/>
      <c r="D5" s="82"/>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row>
    <row r="6" spans="1:48" ht="15.5">
      <c r="A6" s="83" t="s">
        <v>304</v>
      </c>
      <c r="B6" s="84"/>
      <c r="C6" s="912" t="s">
        <v>19</v>
      </c>
      <c r="D6" s="84"/>
      <c r="U6" s="427"/>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row>
    <row r="7" spans="1:48" ht="15.5" hidden="1">
      <c r="A7" s="85"/>
      <c r="B7" s="86"/>
      <c r="C7" s="87"/>
      <c r="D7" s="86"/>
      <c r="F7" s="85"/>
      <c r="S7" s="257"/>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row>
    <row r="8" spans="1:48" hidden="1">
      <c r="A8" s="85">
        <v>2006</v>
      </c>
      <c r="C8" s="255">
        <v>9132261251</v>
      </c>
      <c r="S8" s="257"/>
      <c r="V8" s="195"/>
      <c r="W8" s="468"/>
      <c r="X8" s="468"/>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row>
    <row r="9" spans="1:48" hidden="1">
      <c r="A9" s="85">
        <v>2007</v>
      </c>
      <c r="C9" s="89">
        <v>9601762403.6699944</v>
      </c>
      <c r="S9" s="257"/>
      <c r="V9" s="195"/>
      <c r="W9" s="468"/>
      <c r="X9" s="468"/>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row>
    <row r="10" spans="1:48" hidden="1">
      <c r="A10" s="85">
        <v>2008</v>
      </c>
      <c r="C10" s="89">
        <v>9201320075.0499992</v>
      </c>
      <c r="S10" s="257"/>
      <c r="V10" s="195"/>
      <c r="W10" s="468"/>
      <c r="X10" s="468"/>
      <c r="Y10" s="195"/>
      <c r="Z10" s="195"/>
      <c r="AA10" s="195"/>
      <c r="AB10" s="195"/>
      <c r="AC10" s="195"/>
      <c r="AD10" s="195"/>
    </row>
    <row r="11" spans="1:48" ht="24.75" hidden="1" customHeight="1">
      <c r="A11" s="913">
        <v>2009</v>
      </c>
      <c r="C11" s="910">
        <v>8838405972.0000038</v>
      </c>
      <c r="S11" s="257"/>
      <c r="V11" s="195"/>
      <c r="W11" s="468"/>
      <c r="X11" s="468"/>
      <c r="Y11" s="195"/>
      <c r="Z11" s="195"/>
      <c r="AA11" s="195"/>
      <c r="AB11" s="195"/>
      <c r="AC11" s="195"/>
      <c r="AD11" s="195"/>
    </row>
    <row r="12" spans="1:48" ht="21" customHeight="1">
      <c r="A12" s="913">
        <v>2010</v>
      </c>
      <c r="C12" s="88">
        <v>9537700528</v>
      </c>
      <c r="S12" s="257"/>
      <c r="V12" s="195"/>
      <c r="W12" s="468"/>
      <c r="X12" s="468"/>
      <c r="Y12" s="195"/>
      <c r="Z12" s="195"/>
      <c r="AA12" s="195"/>
      <c r="AB12" s="195"/>
      <c r="AC12" s="195"/>
      <c r="AD12" s="195"/>
    </row>
    <row r="13" spans="1:48">
      <c r="A13" s="913">
        <v>2011</v>
      </c>
      <c r="C13" s="88">
        <v>9846787045</v>
      </c>
      <c r="S13" s="257"/>
      <c r="V13" s="195"/>
      <c r="W13" s="468"/>
      <c r="X13" s="468"/>
      <c r="Y13" s="195"/>
      <c r="Z13" s="195"/>
      <c r="AA13" s="195"/>
      <c r="AB13" s="195"/>
      <c r="AC13" s="195"/>
      <c r="AD13" s="195"/>
    </row>
    <row r="14" spans="1:48">
      <c r="A14" s="913">
        <v>2012</v>
      </c>
      <c r="C14" s="88">
        <v>10527113882</v>
      </c>
      <c r="S14" s="257"/>
      <c r="V14" s="195"/>
      <c r="W14" s="468"/>
      <c r="X14" s="468"/>
      <c r="Y14" s="195"/>
      <c r="Z14" s="195"/>
      <c r="AA14" s="195"/>
      <c r="AB14" s="195"/>
      <c r="AC14" s="195"/>
      <c r="AD14" s="195"/>
    </row>
    <row r="15" spans="1:48">
      <c r="A15" s="913">
        <v>2013</v>
      </c>
      <c r="C15" s="88">
        <v>10586343685</v>
      </c>
      <c r="S15" s="257"/>
      <c r="V15" s="195"/>
      <c r="W15" s="468"/>
      <c r="X15" s="468"/>
      <c r="Y15" s="195"/>
      <c r="Z15" s="195"/>
      <c r="AA15" s="195"/>
      <c r="AB15" s="195"/>
      <c r="AC15" s="195"/>
      <c r="AD15" s="195"/>
    </row>
    <row r="16" spans="1:48">
      <c r="A16" s="913">
        <v>2014</v>
      </c>
      <c r="C16" s="88">
        <v>11623977320</v>
      </c>
      <c r="S16" s="257"/>
      <c r="V16" s="195"/>
      <c r="W16" s="468"/>
      <c r="X16" s="468"/>
      <c r="Y16" s="195"/>
      <c r="Z16" s="195"/>
      <c r="AA16" s="195"/>
      <c r="AB16" s="195"/>
      <c r="AC16" s="195"/>
      <c r="AD16" s="195"/>
    </row>
    <row r="17" spans="1:30">
      <c r="A17" s="913">
        <v>2015</v>
      </c>
      <c r="C17" s="88">
        <v>12071058964</v>
      </c>
      <c r="S17" s="257"/>
      <c r="V17" s="195"/>
      <c r="W17" s="468"/>
      <c r="X17" s="468"/>
      <c r="Y17" s="195"/>
      <c r="Z17" s="195"/>
      <c r="AA17" s="195"/>
      <c r="AB17" s="195"/>
      <c r="AC17" s="195"/>
      <c r="AD17" s="195"/>
    </row>
    <row r="18" spans="1:30">
      <c r="A18" s="913">
        <v>2016</v>
      </c>
      <c r="C18" s="88">
        <v>11800977144.559999</v>
      </c>
      <c r="E18" s="408"/>
      <c r="S18" s="257"/>
      <c r="V18" s="195"/>
      <c r="W18" s="468"/>
      <c r="X18" s="468"/>
      <c r="Y18" s="195"/>
      <c r="Z18" s="195"/>
      <c r="AA18" s="195"/>
      <c r="AB18" s="195"/>
      <c r="AC18" s="195"/>
      <c r="AD18" s="195"/>
    </row>
    <row r="19" spans="1:30">
      <c r="A19" s="913">
        <v>2017</v>
      </c>
      <c r="C19" s="88">
        <v>12342418241.27</v>
      </c>
      <c r="E19" s="526"/>
      <c r="F19" s="90"/>
      <c r="S19" s="257"/>
      <c r="V19" s="195"/>
      <c r="W19" s="468"/>
      <c r="X19" s="468"/>
      <c r="Y19" s="195"/>
      <c r="Z19" s="195"/>
      <c r="AA19" s="195"/>
      <c r="AB19" s="195"/>
      <c r="AC19" s="195"/>
      <c r="AD19" s="195"/>
    </row>
    <row r="20" spans="1:30">
      <c r="A20" s="913">
        <v>2018</v>
      </c>
      <c r="C20" s="88">
        <v>14112424787.530001</v>
      </c>
      <c r="E20" s="568">
        <f>C20/C19-1</f>
        <v>0.14340840762805573</v>
      </c>
      <c r="F20" s="90"/>
      <c r="S20" s="257"/>
      <c r="V20" s="195"/>
      <c r="W20" s="468"/>
      <c r="X20" s="468"/>
      <c r="Y20" s="195"/>
      <c r="Z20" s="195"/>
      <c r="AA20" s="195"/>
      <c r="AB20" s="195"/>
      <c r="AC20" s="195"/>
      <c r="AD20" s="195"/>
    </row>
    <row r="21" spans="1:30">
      <c r="A21" s="913">
        <v>2019</v>
      </c>
      <c r="C21" s="88">
        <v>14172033140.65</v>
      </c>
      <c r="E21" s="568"/>
      <c r="F21" s="85"/>
      <c r="S21" s="257"/>
      <c r="V21" s="195"/>
      <c r="W21" s="468"/>
      <c r="X21" s="468"/>
      <c r="Y21" s="195"/>
      <c r="Z21" s="195"/>
      <c r="AA21" s="195"/>
      <c r="AB21" s="195"/>
      <c r="AC21" s="195"/>
      <c r="AD21" s="195"/>
    </row>
    <row r="22" spans="1:30">
      <c r="A22" s="913">
        <v>2020</v>
      </c>
      <c r="B22" s="91"/>
      <c r="C22" s="88">
        <v>14728931857.1</v>
      </c>
      <c r="D22" s="91"/>
      <c r="E22" s="408"/>
      <c r="F22" s="85"/>
      <c r="S22" s="257"/>
      <c r="V22" s="195"/>
      <c r="W22" s="468"/>
      <c r="X22" s="468"/>
      <c r="Y22" s="195"/>
      <c r="Z22" s="195"/>
      <c r="AA22" s="195"/>
      <c r="AB22" s="195"/>
      <c r="AC22" s="195"/>
      <c r="AD22" s="195"/>
    </row>
    <row r="23" spans="1:30">
      <c r="A23" s="913"/>
      <c r="B23" s="91"/>
      <c r="C23" s="88"/>
      <c r="D23" s="91"/>
      <c r="E23" s="408"/>
      <c r="F23" s="85"/>
      <c r="S23" s="257"/>
      <c r="V23" s="195"/>
      <c r="W23" s="468"/>
      <c r="X23" s="468"/>
      <c r="Y23" s="195"/>
      <c r="Z23" s="195"/>
      <c r="AA23" s="195"/>
      <c r="AB23" s="195"/>
      <c r="AC23" s="195"/>
      <c r="AD23" s="195"/>
    </row>
    <row r="24" spans="1:30">
      <c r="B24" s="91"/>
      <c r="C24" s="88"/>
      <c r="D24" s="91"/>
      <c r="E24" s="408"/>
      <c r="F24" s="85"/>
      <c r="S24" s="257"/>
      <c r="V24" s="195"/>
      <c r="W24" s="468"/>
      <c r="X24" s="468"/>
      <c r="Y24" s="195"/>
      <c r="Z24" s="195"/>
      <c r="AA24" s="195"/>
      <c r="AB24" s="195"/>
      <c r="AC24" s="195"/>
      <c r="AD24" s="195"/>
    </row>
    <row r="25" spans="1:30">
      <c r="B25" s="91"/>
      <c r="C25" s="520"/>
      <c r="D25" s="91"/>
      <c r="E25" s="408"/>
      <c r="F25" s="85"/>
      <c r="S25" s="257"/>
      <c r="V25" s="195"/>
      <c r="W25" s="468"/>
      <c r="X25" s="468"/>
      <c r="Y25" s="195"/>
      <c r="Z25" s="195"/>
      <c r="AA25" s="195"/>
      <c r="AB25" s="195"/>
      <c r="AC25" s="195"/>
      <c r="AD25" s="195"/>
    </row>
    <row r="26" spans="1:30" s="1259" customFormat="1" ht="10" customHeight="1">
      <c r="A26" s="1257" t="s">
        <v>18</v>
      </c>
      <c r="B26" s="1258"/>
      <c r="D26" s="1258"/>
      <c r="F26" s="1260"/>
      <c r="S26" s="1261"/>
      <c r="V26" s="1262"/>
      <c r="W26" s="1263"/>
      <c r="X26" s="1264"/>
      <c r="Y26" s="1262"/>
      <c r="Z26" s="1262"/>
      <c r="AA26" s="1262"/>
      <c r="AB26" s="1262"/>
      <c r="AC26" s="1262"/>
      <c r="AD26" s="1262"/>
    </row>
    <row r="27" spans="1:30" s="1259" customFormat="1" ht="10" customHeight="1">
      <c r="A27" s="1257" t="s">
        <v>785</v>
      </c>
      <c r="B27" s="1258"/>
      <c r="D27" s="1258"/>
      <c r="F27" s="1260"/>
      <c r="T27" s="1265"/>
      <c r="V27" s="1262"/>
      <c r="W27" s="1262"/>
      <c r="X27" s="1262"/>
      <c r="Y27" s="1262"/>
      <c r="Z27" s="1262"/>
      <c r="AA27" s="1262"/>
      <c r="AB27" s="1262"/>
      <c r="AC27" s="1262"/>
      <c r="AD27" s="1262"/>
    </row>
    <row r="28" spans="1:30" ht="13">
      <c r="A28" s="862" t="s">
        <v>992</v>
      </c>
      <c r="B28" s="91"/>
      <c r="D28" s="91"/>
      <c r="F28" s="85"/>
      <c r="T28" s="578"/>
      <c r="V28" s="195"/>
      <c r="W28" s="195"/>
      <c r="X28" s="195"/>
      <c r="Y28" s="195"/>
      <c r="Z28" s="195"/>
      <c r="AA28" s="195"/>
      <c r="AB28" s="195"/>
      <c r="AC28" s="195"/>
      <c r="AD28" s="195"/>
    </row>
    <row r="29" spans="1:30">
      <c r="A29" s="4"/>
      <c r="B29" s="91"/>
      <c r="D29" s="91"/>
      <c r="F29" s="85"/>
      <c r="T29" s="578"/>
      <c r="V29" s="195"/>
      <c r="W29" s="195"/>
      <c r="X29" s="195"/>
      <c r="Y29" s="195"/>
      <c r="Z29" s="195"/>
      <c r="AA29" s="195"/>
      <c r="AB29" s="195"/>
      <c r="AC29" s="195"/>
      <c r="AD29" s="195"/>
    </row>
    <row r="30" spans="1:30">
      <c r="A30" s="85"/>
      <c r="B30" s="92"/>
      <c r="D30" s="92"/>
      <c r="V30" s="195"/>
      <c r="W30" s="195"/>
      <c r="X30" s="195"/>
      <c r="Y30" s="195"/>
      <c r="Z30" s="195"/>
      <c r="AA30" s="195"/>
      <c r="AB30" s="195"/>
      <c r="AC30" s="195"/>
      <c r="AD30" s="195"/>
    </row>
    <row r="31" spans="1:30">
      <c r="A31" s="85"/>
      <c r="B31" s="92"/>
      <c r="D31" s="92"/>
      <c r="V31" s="195"/>
      <c r="W31" s="195"/>
      <c r="X31" s="195"/>
      <c r="Y31" s="195"/>
      <c r="Z31" s="195"/>
      <c r="AA31" s="195"/>
      <c r="AB31" s="195"/>
      <c r="AC31" s="195"/>
      <c r="AD31" s="195"/>
    </row>
    <row r="32" spans="1:30">
      <c r="A32" s="85"/>
      <c r="B32" s="92"/>
      <c r="D32" s="92"/>
      <c r="V32" s="195"/>
      <c r="W32" s="195"/>
      <c r="X32" s="195"/>
      <c r="Y32" s="195"/>
      <c r="Z32" s="195"/>
      <c r="AA32" s="195"/>
      <c r="AB32" s="195"/>
      <c r="AC32" s="195"/>
      <c r="AD32" s="195"/>
    </row>
    <row r="33" spans="1:30">
      <c r="A33" s="85"/>
      <c r="B33" s="92"/>
      <c r="D33" s="92"/>
      <c r="V33" s="195"/>
      <c r="W33" s="195"/>
      <c r="X33" s="195"/>
      <c r="Y33" s="195"/>
      <c r="Z33" s="195"/>
      <c r="AA33" s="195"/>
      <c r="AB33" s="195"/>
      <c r="AC33" s="195"/>
      <c r="AD33" s="195"/>
    </row>
    <row r="34" spans="1:30">
      <c r="A34" s="85"/>
      <c r="B34" s="92"/>
      <c r="D34" s="92"/>
      <c r="V34" s="195"/>
      <c r="W34" s="195"/>
      <c r="X34" s="195"/>
      <c r="Y34" s="195"/>
      <c r="Z34" s="195"/>
      <c r="AA34" s="195"/>
      <c r="AB34" s="195"/>
      <c r="AC34" s="195"/>
      <c r="AD34" s="195"/>
    </row>
    <row r="35" spans="1:30">
      <c r="A35" s="85"/>
      <c r="B35" s="92"/>
      <c r="D35" s="92"/>
      <c r="V35" s="195"/>
      <c r="W35" s="195"/>
      <c r="X35" s="195"/>
      <c r="Y35" s="195"/>
      <c r="Z35" s="195"/>
      <c r="AA35" s="195"/>
      <c r="AB35" s="195"/>
      <c r="AC35" s="195"/>
      <c r="AD35" s="195"/>
    </row>
    <row r="36" spans="1:30">
      <c r="A36" s="85"/>
      <c r="B36" s="92"/>
      <c r="D36" s="92"/>
      <c r="V36" s="195"/>
      <c r="W36" s="195"/>
      <c r="X36" s="195"/>
      <c r="Y36" s="195"/>
      <c r="Z36" s="195"/>
      <c r="AA36" s="195"/>
      <c r="AB36" s="195"/>
      <c r="AC36" s="195"/>
      <c r="AD36" s="195"/>
    </row>
    <row r="37" spans="1:30">
      <c r="A37" s="85"/>
      <c r="B37" s="92"/>
      <c r="D37" s="92"/>
      <c r="V37" s="195"/>
      <c r="W37" s="195"/>
      <c r="X37" s="195"/>
      <c r="Y37" s="195"/>
      <c r="Z37" s="195"/>
      <c r="AA37" s="195"/>
      <c r="AB37" s="195"/>
      <c r="AC37" s="195"/>
      <c r="AD37" s="195"/>
    </row>
    <row r="38" spans="1:30">
      <c r="A38" s="85"/>
      <c r="B38" s="92"/>
      <c r="D38" s="92"/>
      <c r="V38" s="195"/>
      <c r="W38" s="195"/>
      <c r="X38" s="195"/>
      <c r="Y38" s="195"/>
      <c r="Z38" s="195"/>
      <c r="AA38" s="195"/>
      <c r="AB38" s="195"/>
      <c r="AC38" s="195"/>
      <c r="AD38" s="195"/>
    </row>
    <row r="39" spans="1:30">
      <c r="A39" s="85"/>
      <c r="B39" s="92"/>
      <c r="D39" s="92"/>
    </row>
    <row r="40" spans="1:30">
      <c r="A40" s="85"/>
      <c r="B40" s="92"/>
      <c r="D40" s="92"/>
    </row>
    <row r="41" spans="1:30">
      <c r="A41" s="85"/>
      <c r="B41" s="92"/>
      <c r="D41" s="92"/>
    </row>
    <row r="42" spans="1:30">
      <c r="A42" s="85"/>
      <c r="B42" s="92"/>
      <c r="D42" s="92"/>
    </row>
    <row r="43" spans="1:30">
      <c r="E43" s="93"/>
    </row>
    <row r="50" spans="1:5" s="772" customFormat="1" ht="12.75" customHeight="1">
      <c r="B50" s="773"/>
      <c r="C50" s="773"/>
      <c r="D50" s="773"/>
      <c r="E50" s="774"/>
    </row>
    <row r="56" spans="1:5" ht="15.5">
      <c r="A56" s="5"/>
      <c r="B56" s="5"/>
      <c r="D56" s="5"/>
    </row>
    <row r="57" spans="1:5" ht="15.5">
      <c r="A57" s="2"/>
      <c r="B57" s="2"/>
      <c r="C57" s="2"/>
      <c r="D57" s="2"/>
      <c r="E57" s="18"/>
    </row>
    <row r="58" spans="1:5" ht="15.5">
      <c r="C58" s="2"/>
      <c r="E58" s="2"/>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hyperlinks>
    <hyperlink ref="F1" location="TOC!A1" display="Back"/>
  </hyperlinks>
  <pageMargins left="0.6" right="0.25" top="0.5" bottom="0.25" header="0.25" footer="0"/>
  <pageSetup firstPageNumber="3" orientation="landscape" r:id="rId2"/>
  <headerFooter scaleWithDoc="0">
    <oddHeader>&amp;R&amp;P</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J46"/>
  <sheetViews>
    <sheetView zoomScale="95" zoomScaleNormal="95" workbookViewId="0"/>
  </sheetViews>
  <sheetFormatPr defaultColWidth="9.1796875" defaultRowHeight="12.5"/>
  <cols>
    <col min="1" max="1" width="10.7265625" style="260" customWidth="1"/>
    <col min="2" max="2" width="4.7265625" style="260" customWidth="1"/>
    <col min="3" max="3" width="8" style="260" customWidth="1"/>
    <col min="4" max="4" width="18.7265625" style="260" customWidth="1"/>
    <col min="5" max="5" width="16.7265625" style="260" customWidth="1"/>
    <col min="6" max="8" width="17.7265625" style="260" customWidth="1"/>
    <col min="9" max="9" width="18.7265625" style="260" customWidth="1"/>
    <col min="10" max="10" width="17.7265625" style="260" customWidth="1"/>
    <col min="11" max="11" width="11.7265625" style="871" customWidth="1"/>
    <col min="12" max="16384" width="9.1796875" style="260"/>
  </cols>
  <sheetData>
    <row r="1" spans="1:12" ht="18">
      <c r="A1" s="258" t="s">
        <v>319</v>
      </c>
      <c r="B1" s="258"/>
      <c r="C1" s="258"/>
      <c r="D1" s="259"/>
      <c r="E1" s="159"/>
      <c r="F1" s="259"/>
      <c r="G1" s="259"/>
      <c r="H1" s="259"/>
      <c r="I1" s="259"/>
      <c r="J1" s="160"/>
      <c r="K1" s="160"/>
      <c r="L1" s="939" t="s">
        <v>1018</v>
      </c>
    </row>
    <row r="2" spans="1:12" ht="15.5">
      <c r="A2" s="1189" t="s">
        <v>762</v>
      </c>
      <c r="B2" s="1189"/>
      <c r="C2" s="1189"/>
      <c r="D2" s="1189"/>
      <c r="E2" s="1189"/>
      <c r="F2" s="1189"/>
      <c r="G2" s="1189"/>
      <c r="H2" s="1189"/>
      <c r="I2" s="1189"/>
      <c r="J2" s="1189"/>
      <c r="K2" s="1189"/>
      <c r="L2" s="1189"/>
    </row>
    <row r="3" spans="1:12" ht="15" customHeight="1">
      <c r="A3" s="533" t="s">
        <v>1216</v>
      </c>
      <c r="B3" s="533"/>
      <c r="C3" s="533"/>
      <c r="D3" s="259"/>
      <c r="E3" s="159"/>
      <c r="F3" s="259"/>
      <c r="G3" s="259"/>
      <c r="H3" s="259"/>
      <c r="I3" s="259"/>
      <c r="J3" s="160"/>
      <c r="K3" s="160"/>
      <c r="L3" s="259"/>
    </row>
    <row r="4" spans="1:12" ht="6" customHeight="1" thickBot="1">
      <c r="B4" s="261"/>
      <c r="C4" s="262"/>
      <c r="D4" s="261"/>
      <c r="E4" s="261"/>
      <c r="F4" s="263"/>
      <c r="G4" s="263"/>
      <c r="H4" s="263"/>
      <c r="I4" s="263"/>
      <c r="J4" s="263"/>
      <c r="K4" s="263"/>
    </row>
    <row r="5" spans="1:12" ht="46.5">
      <c r="A5" s="1148" t="s">
        <v>1231</v>
      </c>
      <c r="B5" s="1148"/>
      <c r="C5" s="1149"/>
      <c r="D5" s="1150" t="s">
        <v>1230</v>
      </c>
      <c r="E5" s="1150" t="s">
        <v>1232</v>
      </c>
      <c r="F5" s="1150" t="s">
        <v>1233</v>
      </c>
      <c r="G5" s="1150" t="s">
        <v>1234</v>
      </c>
      <c r="H5" s="1150" t="s">
        <v>1235</v>
      </c>
      <c r="I5" s="1150" t="s">
        <v>1236</v>
      </c>
      <c r="J5" s="1150" t="s">
        <v>1237</v>
      </c>
      <c r="K5" s="1150" t="s">
        <v>1238</v>
      </c>
    </row>
    <row r="6" spans="1:12" s="1158" customFormat="1" ht="21" customHeight="1">
      <c r="A6" s="1155">
        <v>0</v>
      </c>
      <c r="B6" s="160" t="s">
        <v>313</v>
      </c>
      <c r="C6" s="162">
        <v>999</v>
      </c>
      <c r="D6" s="1156">
        <v>32520138.067249998</v>
      </c>
      <c r="E6" s="1156">
        <v>403827267.62</v>
      </c>
      <c r="F6" s="1156">
        <v>12732488744.42</v>
      </c>
      <c r="G6" s="1156">
        <v>1019234858.9</v>
      </c>
      <c r="H6" s="1156">
        <v>13751723603.32</v>
      </c>
      <c r="I6" s="1156">
        <v>4234856.2300000004</v>
      </c>
      <c r="J6" s="1156">
        <v>84837.6</v>
      </c>
      <c r="K6" s="1157">
        <f>J6/I6</f>
        <v>2.0033171232356099E-2</v>
      </c>
    </row>
    <row r="7" spans="1:12" ht="15" customHeight="1">
      <c r="A7" s="161">
        <v>1000</v>
      </c>
      <c r="B7" s="160" t="s">
        <v>313</v>
      </c>
      <c r="C7" s="162">
        <v>1999</v>
      </c>
      <c r="D7" s="582">
        <v>96850365.717500001</v>
      </c>
      <c r="E7" s="582">
        <v>86207298.049999997</v>
      </c>
      <c r="F7" s="582">
        <v>98912231.840000004</v>
      </c>
      <c r="G7" s="582">
        <v>242676281.15000001</v>
      </c>
      <c r="H7" s="582">
        <v>341588512.99000001</v>
      </c>
      <c r="I7" s="582">
        <v>10712826.82</v>
      </c>
      <c r="J7" s="582">
        <v>214310.65</v>
      </c>
      <c r="K7" s="869">
        <f t="shared" ref="K7:K29" si="0">J7/I7</f>
        <v>2.0005051290467885E-2</v>
      </c>
    </row>
    <row r="8" spans="1:12" ht="15" customHeight="1">
      <c r="A8" s="161">
        <v>2000</v>
      </c>
      <c r="B8" s="160" t="s">
        <v>313</v>
      </c>
      <c r="C8" s="162">
        <v>2999</v>
      </c>
      <c r="D8" s="582">
        <v>158176211.7947</v>
      </c>
      <c r="E8" s="582">
        <v>83803928.4799999</v>
      </c>
      <c r="F8" s="582">
        <v>104342259.51000001</v>
      </c>
      <c r="G8" s="582">
        <v>251754580.09999999</v>
      </c>
      <c r="H8" s="582">
        <v>356096839.61000001</v>
      </c>
      <c r="I8" s="582">
        <v>14626752.66</v>
      </c>
      <c r="J8" s="582">
        <v>292613.84000000003</v>
      </c>
      <c r="K8" s="869">
        <f t="shared" si="0"/>
        <v>2.0005386486107439E-2</v>
      </c>
    </row>
    <row r="9" spans="1:12" ht="15" customHeight="1">
      <c r="A9" s="161">
        <v>3000</v>
      </c>
      <c r="B9" s="160" t="s">
        <v>313</v>
      </c>
      <c r="C9" s="162">
        <v>3999</v>
      </c>
      <c r="D9" s="582">
        <v>216083702.8524</v>
      </c>
      <c r="E9" s="582">
        <v>82695508.099999994</v>
      </c>
      <c r="F9" s="582">
        <v>82794895.680000007</v>
      </c>
      <c r="G9" s="582">
        <v>261677764.90000001</v>
      </c>
      <c r="H9" s="582">
        <v>344472660.57999998</v>
      </c>
      <c r="I9" s="582">
        <v>17616521.239999998</v>
      </c>
      <c r="J9" s="582">
        <v>362614.82</v>
      </c>
      <c r="K9" s="869">
        <f t="shared" si="0"/>
        <v>2.058379262624498E-2</v>
      </c>
    </row>
    <row r="10" spans="1:12" ht="15" customHeight="1">
      <c r="A10" s="161">
        <v>4000</v>
      </c>
      <c r="B10" s="160" t="s">
        <v>313</v>
      </c>
      <c r="C10" s="162">
        <v>4999</v>
      </c>
      <c r="D10" s="582">
        <v>268610787.81400001</v>
      </c>
      <c r="E10" s="582">
        <v>80426606.359999999</v>
      </c>
      <c r="F10" s="582">
        <v>83197538.549999997</v>
      </c>
      <c r="G10" s="582">
        <v>265767662.05000001</v>
      </c>
      <c r="H10" s="582">
        <v>348965200.60000002</v>
      </c>
      <c r="I10" s="582">
        <v>19435058.719999999</v>
      </c>
      <c r="J10" s="582">
        <v>431555.92</v>
      </c>
      <c r="K10" s="869">
        <f t="shared" si="0"/>
        <v>2.2205022697250693E-2</v>
      </c>
    </row>
    <row r="11" spans="1:12" ht="15" customHeight="1">
      <c r="A11" s="161">
        <v>5000</v>
      </c>
      <c r="B11" s="160" t="s">
        <v>313</v>
      </c>
      <c r="C11" s="162">
        <v>5999</v>
      </c>
      <c r="D11" s="582">
        <v>317595634.35939997</v>
      </c>
      <c r="E11" s="582">
        <v>78829823.400000006</v>
      </c>
      <c r="F11" s="582">
        <v>86990697.840000004</v>
      </c>
      <c r="G11" s="582">
        <v>262084847.55000001</v>
      </c>
      <c r="H11" s="582">
        <v>349075545.38999999</v>
      </c>
      <c r="I11" s="582">
        <v>20871661.079999998</v>
      </c>
      <c r="J11" s="582">
        <v>500914.91</v>
      </c>
      <c r="K11" s="869">
        <f t="shared" si="0"/>
        <v>2.3999762552679396E-2</v>
      </c>
    </row>
    <row r="12" spans="1:12" ht="15" customHeight="1">
      <c r="A12" s="161">
        <v>6000</v>
      </c>
      <c r="B12" s="160" t="s">
        <v>313</v>
      </c>
      <c r="C12" s="162">
        <v>6999</v>
      </c>
      <c r="D12" s="582">
        <v>360188382.26020002</v>
      </c>
      <c r="E12" s="582">
        <v>77158417.860000104</v>
      </c>
      <c r="F12" s="582">
        <v>88235698.010000005</v>
      </c>
      <c r="G12" s="582">
        <v>252841616.09999999</v>
      </c>
      <c r="H12" s="582">
        <v>341077314.11000001</v>
      </c>
      <c r="I12" s="582">
        <v>22162999.109999999</v>
      </c>
      <c r="J12" s="582">
        <v>594095.34</v>
      </c>
      <c r="K12" s="869">
        <f t="shared" si="0"/>
        <v>2.6805728640396088E-2</v>
      </c>
    </row>
    <row r="13" spans="1:12" ht="15" customHeight="1">
      <c r="A13" s="161">
        <v>7000</v>
      </c>
      <c r="B13" s="160" t="s">
        <v>313</v>
      </c>
      <c r="C13" s="162">
        <v>7999</v>
      </c>
      <c r="D13" s="582">
        <v>405197552.51179999</v>
      </c>
      <c r="E13" s="582">
        <v>76361786.549999997</v>
      </c>
      <c r="F13" s="582">
        <v>58146557.880000003</v>
      </c>
      <c r="G13" s="582">
        <v>248325013.65000001</v>
      </c>
      <c r="H13" s="582">
        <v>306471571.52999997</v>
      </c>
      <c r="I13" s="582">
        <v>22935706.66</v>
      </c>
      <c r="J13" s="582">
        <v>678904.07</v>
      </c>
      <c r="K13" s="869">
        <f>J13/I13</f>
        <v>2.9600311865865134E-2</v>
      </c>
    </row>
    <row r="14" spans="1:12" ht="15" customHeight="1">
      <c r="A14" s="161">
        <v>8000</v>
      </c>
      <c r="B14" s="160" t="s">
        <v>313</v>
      </c>
      <c r="C14" s="162">
        <v>8999</v>
      </c>
      <c r="D14" s="582">
        <v>448319687.75880003</v>
      </c>
      <c r="E14" s="582">
        <v>76100608.379999995</v>
      </c>
      <c r="F14" s="582">
        <v>65453560.240000002</v>
      </c>
      <c r="G14" s="582">
        <v>244844611.65000001</v>
      </c>
      <c r="H14" s="582">
        <v>310298171.88999999</v>
      </c>
      <c r="I14" s="582">
        <v>24282465.25</v>
      </c>
      <c r="J14" s="582">
        <v>770938.01</v>
      </c>
      <c r="K14" s="869">
        <f t="shared" si="0"/>
        <v>3.1748753763788461E-2</v>
      </c>
    </row>
    <row r="15" spans="1:12" ht="15" customHeight="1">
      <c r="A15" s="161">
        <v>9000</v>
      </c>
      <c r="B15" s="160" t="s">
        <v>313</v>
      </c>
      <c r="C15" s="162">
        <v>9999</v>
      </c>
      <c r="D15" s="582">
        <v>490443709.92549998</v>
      </c>
      <c r="E15" s="582">
        <v>75572927.189999998</v>
      </c>
      <c r="F15" s="582">
        <v>66847400.219999999</v>
      </c>
      <c r="G15" s="582">
        <v>240391227.80000001</v>
      </c>
      <c r="H15" s="582">
        <v>307238628.01999998</v>
      </c>
      <c r="I15" s="582">
        <v>24088702.309999999</v>
      </c>
      <c r="J15" s="582">
        <v>809990.14</v>
      </c>
      <c r="K15" s="869">
        <f t="shared" si="0"/>
        <v>3.3625312379892996E-2</v>
      </c>
    </row>
    <row r="16" spans="1:12" ht="15" customHeight="1">
      <c r="A16" s="161">
        <v>10000</v>
      </c>
      <c r="B16" s="160" t="s">
        <v>313</v>
      </c>
      <c r="C16" s="162">
        <v>10999</v>
      </c>
      <c r="D16" s="582">
        <v>547952586.50810003</v>
      </c>
      <c r="E16" s="582">
        <v>78767211.189999998</v>
      </c>
      <c r="F16" s="582">
        <v>73689676.459999993</v>
      </c>
      <c r="G16" s="582">
        <v>244685424.75</v>
      </c>
      <c r="H16" s="582">
        <v>318375101.20999998</v>
      </c>
      <c r="I16" s="582">
        <v>25616797.219999999</v>
      </c>
      <c r="J16" s="582">
        <v>901061.23</v>
      </c>
      <c r="K16" s="869">
        <f t="shared" si="0"/>
        <v>3.5174624769114676E-2</v>
      </c>
    </row>
    <row r="17" spans="1:11" ht="15" customHeight="1">
      <c r="A17" s="161">
        <v>11000</v>
      </c>
      <c r="B17" s="160" t="s">
        <v>313</v>
      </c>
      <c r="C17" s="162">
        <v>11999</v>
      </c>
      <c r="D17" s="582">
        <v>593397048.59299898</v>
      </c>
      <c r="E17" s="582">
        <v>78501976.580000103</v>
      </c>
      <c r="F17" s="582">
        <v>67760224.849999994</v>
      </c>
      <c r="G17" s="582">
        <v>243133994.94999999</v>
      </c>
      <c r="H17" s="582">
        <v>310894219.80000001</v>
      </c>
      <c r="I17" s="582">
        <v>36389207.090000004</v>
      </c>
      <c r="J17" s="582">
        <v>1249046.0900000001</v>
      </c>
      <c r="K17" s="869">
        <f t="shared" si="0"/>
        <v>3.4324630567266368E-2</v>
      </c>
    </row>
    <row r="18" spans="1:11" ht="15" customHeight="1">
      <c r="A18" s="161">
        <v>12000</v>
      </c>
      <c r="B18" s="160" t="s">
        <v>313</v>
      </c>
      <c r="C18" s="162">
        <v>12999</v>
      </c>
      <c r="D18" s="582">
        <v>625425878.95000005</v>
      </c>
      <c r="E18" s="582">
        <v>77329235.709999993</v>
      </c>
      <c r="F18" s="582">
        <v>54669986.969999999</v>
      </c>
      <c r="G18" s="582">
        <v>238269726.15000001</v>
      </c>
      <c r="H18" s="582">
        <v>292939713.12</v>
      </c>
      <c r="I18" s="582">
        <v>269961628.68000001</v>
      </c>
      <c r="J18" s="582">
        <v>8573969.4800000004</v>
      </c>
      <c r="K18" s="869">
        <f t="shared" si="0"/>
        <v>3.1759956116441966E-2</v>
      </c>
    </row>
    <row r="19" spans="1:11" ht="15" customHeight="1">
      <c r="A19" s="161">
        <v>13000</v>
      </c>
      <c r="B19" s="160" t="s">
        <v>313</v>
      </c>
      <c r="C19" s="162">
        <v>13999</v>
      </c>
      <c r="D19" s="582">
        <v>644520750.85900104</v>
      </c>
      <c r="E19" s="582">
        <v>75449247.960000098</v>
      </c>
      <c r="F19" s="582">
        <v>90483533.560000002</v>
      </c>
      <c r="G19" s="582">
        <v>228542219.25</v>
      </c>
      <c r="H19" s="582">
        <v>319025752.81</v>
      </c>
      <c r="I19" s="582">
        <v>286165531.74000001</v>
      </c>
      <c r="J19" s="582">
        <v>9699415.3800000008</v>
      </c>
      <c r="K19" s="869">
        <f t="shared" si="0"/>
        <v>3.3894422298254109E-2</v>
      </c>
    </row>
    <row r="20" spans="1:11" ht="15" customHeight="1">
      <c r="A20" s="161">
        <v>14000</v>
      </c>
      <c r="B20" s="160" t="s">
        <v>313</v>
      </c>
      <c r="C20" s="162">
        <v>14999</v>
      </c>
      <c r="D20" s="582">
        <v>681332393.69200003</v>
      </c>
      <c r="E20" s="582">
        <v>76518875.160000101</v>
      </c>
      <c r="F20" s="582">
        <v>55066082.640000001</v>
      </c>
      <c r="G20" s="582">
        <v>225143053.75</v>
      </c>
      <c r="H20" s="582">
        <v>280209136.38999999</v>
      </c>
      <c r="I20" s="582">
        <v>311712000.02999997</v>
      </c>
      <c r="J20" s="582">
        <v>11079254.720000001</v>
      </c>
      <c r="K20" s="869">
        <f t="shared" si="0"/>
        <v>3.554324093693443E-2</v>
      </c>
    </row>
    <row r="21" spans="1:11" ht="15" customHeight="1">
      <c r="A21" s="161">
        <v>15000</v>
      </c>
      <c r="B21" s="160" t="s">
        <v>313</v>
      </c>
      <c r="C21" s="162">
        <v>19999</v>
      </c>
      <c r="D21" s="582">
        <v>3926306475.3593001</v>
      </c>
      <c r="E21" s="582">
        <v>371214545.12</v>
      </c>
      <c r="F21" s="582">
        <v>312401905.36000001</v>
      </c>
      <c r="G21" s="582">
        <v>1091291865.95</v>
      </c>
      <c r="H21" s="582">
        <v>1403693771.3099999</v>
      </c>
      <c r="I21" s="582">
        <v>1929652261.45</v>
      </c>
      <c r="J21" s="582">
        <v>75321094.430000097</v>
      </c>
      <c r="K21" s="869">
        <f>J21/I21</f>
        <v>3.9033506676172579E-2</v>
      </c>
    </row>
    <row r="22" spans="1:11" ht="15" customHeight="1">
      <c r="A22" s="161">
        <v>20000</v>
      </c>
      <c r="B22" s="160" t="s">
        <v>313</v>
      </c>
      <c r="C22" s="162">
        <v>24999</v>
      </c>
      <c r="D22" s="582">
        <v>4739212028.7534199</v>
      </c>
      <c r="E22" s="582">
        <v>356008440.11000001</v>
      </c>
      <c r="F22" s="582">
        <v>332307964.30000001</v>
      </c>
      <c r="G22" s="582">
        <v>1048883716.45</v>
      </c>
      <c r="H22" s="582">
        <v>1381191680.75</v>
      </c>
      <c r="I22" s="582">
        <v>2559835017.5300002</v>
      </c>
      <c r="J22" s="582">
        <v>108224072.11</v>
      </c>
      <c r="K22" s="869">
        <f t="shared" si="0"/>
        <v>4.2277752811751924E-2</v>
      </c>
    </row>
    <row r="23" spans="1:11" ht="15" customHeight="1">
      <c r="A23" s="161">
        <v>25000</v>
      </c>
      <c r="B23" s="160" t="s">
        <v>313</v>
      </c>
      <c r="C23" s="162">
        <v>29999</v>
      </c>
      <c r="D23" s="582">
        <v>5556198400.6999998</v>
      </c>
      <c r="E23" s="582">
        <v>347968861.38999999</v>
      </c>
      <c r="F23" s="582">
        <v>307402559.87</v>
      </c>
      <c r="G23" s="582">
        <v>1012170836.6</v>
      </c>
      <c r="H23" s="582">
        <v>1319573396.47</v>
      </c>
      <c r="I23" s="582">
        <v>3531165084.8000002</v>
      </c>
      <c r="J23" s="582">
        <v>157219664.24000001</v>
      </c>
      <c r="K23" s="869">
        <f>J23/I23</f>
        <v>4.4523453439420463E-2</v>
      </c>
    </row>
    <row r="24" spans="1:11" ht="15" customHeight="1">
      <c r="A24" s="161">
        <v>30000</v>
      </c>
      <c r="B24" s="160" t="s">
        <v>313</v>
      </c>
      <c r="C24" s="162">
        <v>34999</v>
      </c>
      <c r="D24" s="582">
        <v>6251845242.0610104</v>
      </c>
      <c r="E24" s="582">
        <v>337462222.35000002</v>
      </c>
      <c r="F24" s="582">
        <v>363162199.69999999</v>
      </c>
      <c r="G24" s="582">
        <v>972934046.89999998</v>
      </c>
      <c r="H24" s="582">
        <v>1336096246.5999999</v>
      </c>
      <c r="I24" s="582">
        <v>4186696405.27</v>
      </c>
      <c r="J24" s="582">
        <v>195634609.78999999</v>
      </c>
      <c r="K24" s="869">
        <f t="shared" si="0"/>
        <v>4.672767997788068E-2</v>
      </c>
    </row>
    <row r="25" spans="1:11" ht="15" customHeight="1">
      <c r="A25" s="161">
        <v>35000</v>
      </c>
      <c r="B25" s="160" t="s">
        <v>313</v>
      </c>
      <c r="C25" s="162">
        <v>39999</v>
      </c>
      <c r="D25" s="582">
        <v>6571220114.0817003</v>
      </c>
      <c r="E25" s="582">
        <v>313464156.16000003</v>
      </c>
      <c r="F25" s="582">
        <v>364760374.52999997</v>
      </c>
      <c r="G25" s="582">
        <v>895544520.55000103</v>
      </c>
      <c r="H25" s="582">
        <v>1260304895.0799999</v>
      </c>
      <c r="I25" s="582">
        <v>4577649315.9499998</v>
      </c>
      <c r="J25" s="582">
        <v>220414355.52000001</v>
      </c>
      <c r="K25" s="869">
        <f t="shared" si="0"/>
        <v>4.8150118173536281E-2</v>
      </c>
    </row>
    <row r="26" spans="1:11" ht="15" customHeight="1">
      <c r="A26" s="161">
        <v>40000</v>
      </c>
      <c r="B26" s="160" t="s">
        <v>313</v>
      </c>
      <c r="C26" s="162">
        <v>44999</v>
      </c>
      <c r="D26" s="582">
        <v>6764923931.3214998</v>
      </c>
      <c r="E26" s="582">
        <v>288338811.41000003</v>
      </c>
      <c r="F26" s="582">
        <v>376679702.35000002</v>
      </c>
      <c r="G26" s="582">
        <v>821197248.35000098</v>
      </c>
      <c r="H26" s="582">
        <v>1197876950.7</v>
      </c>
      <c r="I26" s="582">
        <v>4836311663.25</v>
      </c>
      <c r="J26" s="582">
        <v>238322823.31</v>
      </c>
      <c r="K26" s="869">
        <f t="shared" si="0"/>
        <v>4.9277805051514634E-2</v>
      </c>
    </row>
    <row r="27" spans="1:11" ht="15" customHeight="1">
      <c r="A27" s="161">
        <v>45000</v>
      </c>
      <c r="B27" s="160" t="s">
        <v>313</v>
      </c>
      <c r="C27" s="162">
        <v>49999</v>
      </c>
      <c r="D27" s="582">
        <v>6861284766.1996002</v>
      </c>
      <c r="E27" s="582">
        <v>263597790</v>
      </c>
      <c r="F27" s="582">
        <v>384704457.06999999</v>
      </c>
      <c r="G27" s="582">
        <v>748628052.35000002</v>
      </c>
      <c r="H27" s="582">
        <v>1133332509.4200001</v>
      </c>
      <c r="I27" s="582">
        <v>5071209300.0299997</v>
      </c>
      <c r="J27" s="582">
        <v>253625226.47</v>
      </c>
      <c r="K27" s="869">
        <f t="shared" si="0"/>
        <v>5.001277041917785E-2</v>
      </c>
    </row>
    <row r="28" spans="1:11" ht="15" customHeight="1">
      <c r="A28" s="161">
        <v>50000</v>
      </c>
      <c r="B28" s="160" t="s">
        <v>313</v>
      </c>
      <c r="C28" s="162">
        <v>74999</v>
      </c>
      <c r="D28" s="582">
        <v>32708974854.212002</v>
      </c>
      <c r="E28" s="582">
        <v>1032139732.59</v>
      </c>
      <c r="F28" s="582">
        <v>1977393875</v>
      </c>
      <c r="G28" s="582">
        <v>2835117498.6999998</v>
      </c>
      <c r="H28" s="582">
        <v>4812511373.6999998</v>
      </c>
      <c r="I28" s="582">
        <v>25784502281.790001</v>
      </c>
      <c r="J28" s="582">
        <v>1324114103.73</v>
      </c>
      <c r="K28" s="869">
        <f t="shared" si="0"/>
        <v>5.1353099208943813E-2</v>
      </c>
    </row>
    <row r="29" spans="1:11">
      <c r="A29" s="161">
        <v>75000</v>
      </c>
      <c r="B29" s="160" t="s">
        <v>313</v>
      </c>
      <c r="C29" s="162">
        <v>99999</v>
      </c>
      <c r="D29" s="582">
        <v>29940529220.408501</v>
      </c>
      <c r="E29" s="582">
        <v>753754134.46000099</v>
      </c>
      <c r="F29" s="582">
        <v>1823613380.3099999</v>
      </c>
      <c r="G29" s="582">
        <v>1938448243.3</v>
      </c>
      <c r="H29" s="582">
        <v>3762061623.6100001</v>
      </c>
      <c r="I29" s="582">
        <v>25101898911.880001</v>
      </c>
      <c r="J29" s="582">
        <v>1324120346.4000001</v>
      </c>
      <c r="K29" s="869">
        <f t="shared" si="0"/>
        <v>5.2749807934782671E-2</v>
      </c>
    </row>
    <row r="30" spans="1:11" ht="21" customHeight="1">
      <c r="A30" s="1151">
        <v>100000</v>
      </c>
      <c r="B30" s="587" t="s">
        <v>311</v>
      </c>
      <c r="C30" s="1152" t="s">
        <v>324</v>
      </c>
      <c r="D30" s="1153">
        <v>214411414278.36099</v>
      </c>
      <c r="E30" s="1153">
        <v>2378275940.2199998</v>
      </c>
      <c r="F30" s="1153">
        <v>15524134114.27</v>
      </c>
      <c r="G30" s="1153">
        <v>4372920813.6499996</v>
      </c>
      <c r="H30" s="1153">
        <v>19897054927.919998</v>
      </c>
      <c r="I30" s="1153">
        <v>194216743393.28</v>
      </c>
      <c r="J30" s="1153">
        <v>10795692038.9</v>
      </c>
      <c r="K30" s="1154">
        <f>J30/I30</f>
        <v>5.5585794768678712E-2</v>
      </c>
    </row>
    <row r="31" spans="1:11" ht="13">
      <c r="A31" s="94" t="s">
        <v>16</v>
      </c>
      <c r="B31" s="94"/>
      <c r="C31" s="94"/>
      <c r="D31" s="96">
        <f>SUM(D6:D30)</f>
        <v>323618524143.1217</v>
      </c>
      <c r="E31" s="96">
        <f t="shared" ref="E31:J31" si="1">SUM(E6:E30)</f>
        <v>7949775352.4000015</v>
      </c>
      <c r="F31" s="96">
        <f t="shared" si="1"/>
        <v>35575639621.43</v>
      </c>
      <c r="G31" s="96">
        <f t="shared" si="1"/>
        <v>20206509725.5</v>
      </c>
      <c r="H31" s="96">
        <f>SUM(H6:H30)</f>
        <v>55782149346.93</v>
      </c>
      <c r="I31" s="96">
        <f t="shared" si="1"/>
        <v>272906476350.07001</v>
      </c>
      <c r="J31" s="96">
        <f t="shared" si="1"/>
        <v>14728931857.1</v>
      </c>
      <c r="K31" s="870">
        <f>J31/I31</f>
        <v>5.3970620463423907E-2</v>
      </c>
    </row>
    <row r="32" spans="1:11">
      <c r="D32" s="273"/>
    </row>
    <row r="33" spans="1:36" s="1273" customFormat="1" ht="10" customHeight="1">
      <c r="A33" s="1266" t="s">
        <v>1</v>
      </c>
      <c r="B33" s="1267"/>
      <c r="C33" s="1268"/>
      <c r="D33" s="1269"/>
      <c r="E33" s="1269"/>
      <c r="F33" s="1269"/>
      <c r="G33" s="1269"/>
      <c r="H33" s="1270"/>
      <c r="I33" s="1269"/>
      <c r="J33" s="1271"/>
      <c r="K33" s="1272"/>
      <c r="P33" s="1274"/>
      <c r="Q33" s="1275"/>
      <c r="R33" s="1276"/>
      <c r="S33" s="1277"/>
      <c r="T33" s="1277"/>
      <c r="U33" s="1277"/>
      <c r="V33" s="1277"/>
      <c r="W33" s="1278"/>
      <c r="X33" s="1277"/>
      <c r="Y33" s="1277"/>
      <c r="Z33" s="1277"/>
      <c r="AC33" s="1279"/>
      <c r="AD33" s="1279"/>
      <c r="AE33" s="1279"/>
      <c r="AF33" s="1279"/>
      <c r="AG33" s="1279"/>
      <c r="AH33" s="1279"/>
      <c r="AI33" s="1279"/>
      <c r="AJ33" s="1279"/>
    </row>
    <row r="34" spans="1:36" s="1273" customFormat="1" ht="10" customHeight="1">
      <c r="A34" s="1280" t="s">
        <v>779</v>
      </c>
      <c r="B34" s="1281"/>
      <c r="C34" s="1282"/>
      <c r="D34" s="1281"/>
      <c r="E34" s="1281"/>
      <c r="F34" s="1281"/>
      <c r="G34" s="1281"/>
      <c r="H34" s="1283"/>
      <c r="I34" s="1281"/>
      <c r="J34" s="1281"/>
      <c r="K34" s="1283"/>
    </row>
    <row r="35" spans="1:36" s="1273" customFormat="1" ht="10" customHeight="1">
      <c r="A35" s="1284" t="s">
        <v>780</v>
      </c>
      <c r="C35" s="1282"/>
      <c r="H35" s="1283"/>
      <c r="K35" s="1283"/>
    </row>
    <row r="36" spans="1:36" s="1273" customFormat="1" ht="10" customHeight="1">
      <c r="A36" s="1284" t="s">
        <v>781</v>
      </c>
      <c r="C36" s="1282"/>
      <c r="H36" s="1283"/>
      <c r="K36" s="1283"/>
    </row>
    <row r="37" spans="1:36" s="1273" customFormat="1" ht="10" customHeight="1">
      <c r="A37" s="1280" t="s">
        <v>782</v>
      </c>
      <c r="F37" s="1275"/>
      <c r="K37" s="1283"/>
    </row>
    <row r="38" spans="1:36" s="1273" customFormat="1" ht="10" customHeight="1">
      <c r="A38" s="1280" t="s">
        <v>783</v>
      </c>
      <c r="B38" s="1285"/>
      <c r="C38" s="1285"/>
      <c r="D38" s="1285"/>
      <c r="E38" s="1285"/>
      <c r="F38" s="1285"/>
      <c r="G38" s="1285"/>
      <c r="H38" s="1285"/>
      <c r="I38" s="1285"/>
      <c r="J38" s="1285"/>
      <c r="K38" s="1285"/>
    </row>
    <row r="39" spans="1:36" s="1286" customFormat="1" ht="10" customHeight="1">
      <c r="A39" s="1280" t="s">
        <v>784</v>
      </c>
      <c r="K39" s="1287"/>
    </row>
    <row r="40" spans="1:36" s="1286" customFormat="1" ht="10" customHeight="1">
      <c r="A40" s="1280" t="s">
        <v>1276</v>
      </c>
      <c r="K40" s="1287"/>
    </row>
    <row r="41" spans="1:36" s="772" customFormat="1" ht="12.75" customHeight="1">
      <c r="A41" s="862" t="s">
        <v>992</v>
      </c>
      <c r="B41" s="773"/>
      <c r="C41" s="773"/>
      <c r="D41" s="773"/>
      <c r="E41" s="774"/>
      <c r="K41" s="872"/>
    </row>
    <row r="46" spans="1:36">
      <c r="F46" s="265"/>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hyperlinks>
    <hyperlink ref="L1" location="TOC!A1" display="Back"/>
  </hyperlinks>
  <pageMargins left="0.4" right="0.25" top="0.5" bottom="0.25" header="0.25" footer="0"/>
  <pageSetup scale="84" orientation="landscape" r:id="rId2"/>
  <headerFooter scaleWithDoc="0">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D36"/>
  <sheetViews>
    <sheetView zoomScaleNormal="100" workbookViewId="0"/>
  </sheetViews>
  <sheetFormatPr defaultColWidth="9.1796875" defaultRowHeight="12.5"/>
  <cols>
    <col min="1" max="1" width="12.453125" style="260" customWidth="1"/>
    <col min="2" max="2" width="4.7265625" style="260" customWidth="1"/>
    <col min="3" max="3" width="8" style="260" customWidth="1"/>
    <col min="4" max="4" width="11.7265625" style="260" customWidth="1"/>
    <col min="5" max="5" width="14.7265625" style="260" customWidth="1"/>
    <col min="6" max="7" width="13.7265625" style="260" customWidth="1"/>
    <col min="8" max="8" width="52.7265625" style="260" customWidth="1"/>
    <col min="9" max="24" width="9.1796875" style="260"/>
    <col min="25" max="25" width="16.453125" style="398" customWidth="1"/>
    <col min="26" max="26" width="9.1796875" style="398"/>
    <col min="27" max="16384" width="9.1796875" style="260"/>
  </cols>
  <sheetData>
    <row r="1" spans="1:11" ht="17.149999999999999" customHeight="1">
      <c r="A1" s="266" t="s">
        <v>315</v>
      </c>
      <c r="B1" s="266"/>
      <c r="C1" s="266"/>
      <c r="K1" s="939" t="s">
        <v>1018</v>
      </c>
    </row>
    <row r="2" spans="1:11" ht="15" customHeight="1">
      <c r="A2" s="264" t="s">
        <v>316</v>
      </c>
      <c r="B2" s="264"/>
      <c r="C2" s="264"/>
    </row>
    <row r="3" spans="1:11" ht="15" customHeight="1">
      <c r="A3" s="533" t="s">
        <v>1216</v>
      </c>
      <c r="B3" s="264"/>
      <c r="C3" s="264"/>
    </row>
    <row r="4" spans="1:11" ht="6" customHeight="1"/>
    <row r="5" spans="1:11" ht="46.5">
      <c r="A5" s="583" t="s">
        <v>920</v>
      </c>
      <c r="B5" s="584"/>
      <c r="C5" s="584"/>
      <c r="D5" s="585" t="s">
        <v>921</v>
      </c>
      <c r="E5" s="585" t="s">
        <v>923</v>
      </c>
      <c r="F5" s="585" t="s">
        <v>924</v>
      </c>
      <c r="G5" s="585" t="s">
        <v>922</v>
      </c>
    </row>
    <row r="6" spans="1:11" ht="21" customHeight="1">
      <c r="A6" s="162">
        <v>999</v>
      </c>
      <c r="B6" s="160" t="s">
        <v>311</v>
      </c>
      <c r="C6" s="159" t="s">
        <v>312</v>
      </c>
      <c r="D6" s="586">
        <v>176731</v>
      </c>
      <c r="E6" s="586">
        <v>60602</v>
      </c>
      <c r="F6" s="586">
        <v>15367</v>
      </c>
      <c r="G6" s="1451">
        <f>252701-1</f>
        <v>252700</v>
      </c>
      <c r="K6" s="1413">
        <f>SUM(D6:F6)-G6</f>
        <v>0</v>
      </c>
    </row>
    <row r="7" spans="1:11" ht="12.75" customHeight="1">
      <c r="A7" s="162">
        <v>1000</v>
      </c>
      <c r="B7" s="160" t="s">
        <v>313</v>
      </c>
      <c r="C7" s="162">
        <v>1999</v>
      </c>
      <c r="D7" s="586">
        <v>55114</v>
      </c>
      <c r="E7" s="586">
        <v>7351</v>
      </c>
      <c r="F7" s="586">
        <v>2323</v>
      </c>
      <c r="G7" s="1451">
        <v>64788</v>
      </c>
      <c r="K7" s="1413">
        <f t="shared" ref="K7:K31" si="0">SUM(D7:F7)-G7</f>
        <v>0</v>
      </c>
    </row>
    <row r="8" spans="1:11" ht="12.75" customHeight="1">
      <c r="A8" s="162">
        <v>2000</v>
      </c>
      <c r="B8" s="160" t="s">
        <v>313</v>
      </c>
      <c r="C8" s="162">
        <v>2999</v>
      </c>
      <c r="D8" s="586">
        <v>54372</v>
      </c>
      <c r="E8" s="586">
        <v>6768</v>
      </c>
      <c r="F8" s="586">
        <v>2213</v>
      </c>
      <c r="G8" s="1451">
        <v>63353</v>
      </c>
      <c r="K8" s="1413">
        <f t="shared" si="0"/>
        <v>0</v>
      </c>
    </row>
    <row r="9" spans="1:11" ht="12.75" customHeight="1">
      <c r="A9" s="162">
        <v>3000</v>
      </c>
      <c r="B9" s="160" t="s">
        <v>313</v>
      </c>
      <c r="C9" s="162">
        <v>3999</v>
      </c>
      <c r="D9" s="586">
        <v>53208</v>
      </c>
      <c r="E9" s="586">
        <v>6589</v>
      </c>
      <c r="F9" s="586">
        <v>2019</v>
      </c>
      <c r="G9" s="1451">
        <v>61816</v>
      </c>
      <c r="K9" s="1413">
        <f t="shared" si="0"/>
        <v>0</v>
      </c>
    </row>
    <row r="10" spans="1:11" ht="12.75" customHeight="1">
      <c r="A10" s="162">
        <v>4000</v>
      </c>
      <c r="B10" s="160" t="s">
        <v>313</v>
      </c>
      <c r="C10" s="162">
        <v>4999</v>
      </c>
      <c r="D10" s="586">
        <v>51556</v>
      </c>
      <c r="E10" s="586">
        <v>6288</v>
      </c>
      <c r="F10" s="586">
        <v>1907</v>
      </c>
      <c r="G10" s="1451">
        <v>59751</v>
      </c>
      <c r="K10" s="1413">
        <f t="shared" si="0"/>
        <v>0</v>
      </c>
    </row>
    <row r="11" spans="1:11" ht="12.75" customHeight="1">
      <c r="A11" s="162">
        <v>5000</v>
      </c>
      <c r="B11" s="160" t="s">
        <v>313</v>
      </c>
      <c r="C11" s="162">
        <v>5999</v>
      </c>
      <c r="D11" s="586">
        <v>49729</v>
      </c>
      <c r="E11" s="586">
        <v>6193</v>
      </c>
      <c r="F11" s="586">
        <v>1876</v>
      </c>
      <c r="G11" s="1451">
        <v>57798</v>
      </c>
      <c r="K11" s="1413">
        <f t="shared" si="0"/>
        <v>0</v>
      </c>
    </row>
    <row r="12" spans="1:11" ht="12.75" customHeight="1">
      <c r="A12" s="162">
        <v>6000</v>
      </c>
      <c r="B12" s="160" t="s">
        <v>313</v>
      </c>
      <c r="C12" s="162">
        <v>6999</v>
      </c>
      <c r="D12" s="586">
        <v>47589</v>
      </c>
      <c r="E12" s="586">
        <v>6105</v>
      </c>
      <c r="F12" s="586">
        <v>1776</v>
      </c>
      <c r="G12" s="1451">
        <v>55470</v>
      </c>
      <c r="K12" s="1413">
        <f t="shared" si="0"/>
        <v>0</v>
      </c>
    </row>
    <row r="13" spans="1:11" ht="12.75" customHeight="1">
      <c r="A13" s="162">
        <v>7000</v>
      </c>
      <c r="B13" s="160" t="s">
        <v>313</v>
      </c>
      <c r="C13" s="162">
        <v>7999</v>
      </c>
      <c r="D13" s="586">
        <v>46286</v>
      </c>
      <c r="E13" s="586">
        <v>6039</v>
      </c>
      <c r="F13" s="586">
        <v>1730</v>
      </c>
      <c r="G13" s="1451">
        <v>54055</v>
      </c>
      <c r="K13" s="1413">
        <f t="shared" si="0"/>
        <v>0</v>
      </c>
    </row>
    <row r="14" spans="1:11" ht="12.75" customHeight="1">
      <c r="A14" s="162">
        <v>8000</v>
      </c>
      <c r="B14" s="160" t="s">
        <v>313</v>
      </c>
      <c r="C14" s="162">
        <v>8999</v>
      </c>
      <c r="D14" s="586">
        <v>44942</v>
      </c>
      <c r="E14" s="586">
        <v>6196</v>
      </c>
      <c r="F14" s="586">
        <v>1627</v>
      </c>
      <c r="G14" s="1451">
        <v>52765</v>
      </c>
      <c r="K14" s="1413">
        <f t="shared" si="0"/>
        <v>0</v>
      </c>
    </row>
    <row r="15" spans="1:11" ht="12.75" customHeight="1">
      <c r="A15" s="162">
        <v>9000</v>
      </c>
      <c r="B15" s="160" t="s">
        <v>313</v>
      </c>
      <c r="C15" s="162">
        <v>9999</v>
      </c>
      <c r="D15" s="586">
        <v>43949</v>
      </c>
      <c r="E15" s="586">
        <v>6083</v>
      </c>
      <c r="F15" s="586">
        <v>1615</v>
      </c>
      <c r="G15" s="1451">
        <v>51647</v>
      </c>
      <c r="K15" s="1413">
        <f t="shared" si="0"/>
        <v>0</v>
      </c>
    </row>
    <row r="16" spans="1:11" ht="12.75" customHeight="1">
      <c r="A16" s="162">
        <v>10000</v>
      </c>
      <c r="B16" s="160" t="s">
        <v>313</v>
      </c>
      <c r="C16" s="162">
        <v>10999</v>
      </c>
      <c r="D16" s="586">
        <v>44179</v>
      </c>
      <c r="E16" s="586">
        <v>6358</v>
      </c>
      <c r="F16" s="586">
        <v>1677</v>
      </c>
      <c r="G16" s="1451">
        <v>52214</v>
      </c>
      <c r="K16" s="1413">
        <f t="shared" si="0"/>
        <v>0</v>
      </c>
    </row>
    <row r="17" spans="1:30" ht="12.75" customHeight="1">
      <c r="A17" s="162">
        <v>11000</v>
      </c>
      <c r="B17" s="160" t="s">
        <v>313</v>
      </c>
      <c r="C17" s="162">
        <v>11999</v>
      </c>
      <c r="D17" s="586">
        <v>43699</v>
      </c>
      <c r="E17" s="586">
        <v>6268</v>
      </c>
      <c r="F17" s="586">
        <v>1636</v>
      </c>
      <c r="G17" s="1451">
        <v>51603</v>
      </c>
      <c r="K17" s="1413">
        <f t="shared" si="0"/>
        <v>0</v>
      </c>
      <c r="X17" s="269"/>
      <c r="AA17" s="267"/>
      <c r="AB17" s="267"/>
      <c r="AC17" s="271"/>
    </row>
    <row r="18" spans="1:30" ht="12.75" customHeight="1">
      <c r="A18" s="162">
        <v>12000</v>
      </c>
      <c r="B18" s="160" t="s">
        <v>313</v>
      </c>
      <c r="C18" s="162">
        <v>12999</v>
      </c>
      <c r="D18" s="586">
        <v>41923</v>
      </c>
      <c r="E18" s="586">
        <v>6533</v>
      </c>
      <c r="F18" s="586">
        <v>1631</v>
      </c>
      <c r="G18" s="1451">
        <v>50087</v>
      </c>
      <c r="K18" s="1413">
        <f t="shared" si="0"/>
        <v>0</v>
      </c>
      <c r="X18" s="398"/>
      <c r="AA18" s="267"/>
      <c r="AB18" s="398"/>
      <c r="AC18" s="398"/>
      <c r="AD18" s="398"/>
    </row>
    <row r="19" spans="1:30" ht="12.75" customHeight="1">
      <c r="A19" s="162">
        <v>13000</v>
      </c>
      <c r="B19" s="160" t="s">
        <v>313</v>
      </c>
      <c r="C19" s="162">
        <v>13999</v>
      </c>
      <c r="D19" s="586">
        <v>39567</v>
      </c>
      <c r="E19" s="586">
        <v>6571</v>
      </c>
      <c r="F19" s="586">
        <v>1610</v>
      </c>
      <c r="G19" s="1451">
        <v>47748</v>
      </c>
      <c r="K19" s="1413">
        <f t="shared" si="0"/>
        <v>0</v>
      </c>
      <c r="X19" s="398"/>
      <c r="AA19" s="569" t="e">
        <f>#REF!/#REF!</f>
        <v>#REF!</v>
      </c>
      <c r="AB19" s="398"/>
      <c r="AC19" s="398"/>
      <c r="AD19" s="398"/>
    </row>
    <row r="20" spans="1:30" ht="12.75" customHeight="1">
      <c r="A20" s="162">
        <v>14000</v>
      </c>
      <c r="B20" s="160" t="s">
        <v>313</v>
      </c>
      <c r="C20" s="162">
        <v>14999</v>
      </c>
      <c r="D20" s="586">
        <v>38766</v>
      </c>
      <c r="E20" s="586">
        <v>6623</v>
      </c>
      <c r="F20" s="586">
        <v>1602</v>
      </c>
      <c r="G20" s="1451">
        <v>46991</v>
      </c>
      <c r="K20" s="1413">
        <f t="shared" si="0"/>
        <v>0</v>
      </c>
      <c r="X20" s="398"/>
      <c r="AA20" s="569" t="e">
        <f>#REF!/#REF!</f>
        <v>#REF!</v>
      </c>
      <c r="AB20" s="398"/>
      <c r="AC20" s="398"/>
      <c r="AD20" s="398"/>
    </row>
    <row r="21" spans="1:30" ht="12.75" customHeight="1">
      <c r="A21" s="162">
        <v>15000</v>
      </c>
      <c r="B21" s="160" t="s">
        <v>313</v>
      </c>
      <c r="C21" s="162">
        <v>19999</v>
      </c>
      <c r="D21" s="586">
        <v>182041</v>
      </c>
      <c r="E21" s="586">
        <v>34774</v>
      </c>
      <c r="F21" s="586">
        <v>7915</v>
      </c>
      <c r="G21" s="1451">
        <v>224730</v>
      </c>
      <c r="K21" s="1413">
        <f t="shared" si="0"/>
        <v>0</v>
      </c>
      <c r="X21" s="398"/>
      <c r="AA21" s="569" t="e">
        <f>#REF!/#REF!</f>
        <v>#REF!</v>
      </c>
      <c r="AB21" s="398"/>
      <c r="AC21" s="398"/>
      <c r="AD21" s="398"/>
    </row>
    <row r="22" spans="1:30" ht="12.75" customHeight="1">
      <c r="A22" s="162">
        <v>20000</v>
      </c>
      <c r="B22" s="160" t="s">
        <v>313</v>
      </c>
      <c r="C22" s="162">
        <v>24999</v>
      </c>
      <c r="D22" s="586">
        <v>164455</v>
      </c>
      <c r="E22" s="586">
        <v>38377</v>
      </c>
      <c r="F22" s="586">
        <v>7934</v>
      </c>
      <c r="G22" s="1451">
        <v>210766</v>
      </c>
      <c r="K22" s="1413">
        <f t="shared" si="0"/>
        <v>0</v>
      </c>
      <c r="X22" s="398"/>
      <c r="AA22" s="570" t="e">
        <f>SUM(AA19:AA21)</f>
        <v>#REF!</v>
      </c>
      <c r="AB22" s="398"/>
      <c r="AC22" s="398"/>
      <c r="AD22" s="398"/>
    </row>
    <row r="23" spans="1:30" ht="12.75" customHeight="1">
      <c r="A23" s="162">
        <v>25000</v>
      </c>
      <c r="B23" s="160" t="s">
        <v>313</v>
      </c>
      <c r="C23" s="162">
        <v>29999</v>
      </c>
      <c r="D23" s="586">
        <v>155005</v>
      </c>
      <c r="E23" s="586">
        <v>39002</v>
      </c>
      <c r="F23" s="586">
        <v>8199</v>
      </c>
      <c r="G23" s="1451">
        <v>202206</v>
      </c>
      <c r="H23" s="434"/>
      <c r="K23" s="1413">
        <f t="shared" si="0"/>
        <v>0</v>
      </c>
      <c r="X23" s="398"/>
      <c r="AA23" s="267"/>
      <c r="AB23" s="398"/>
      <c r="AC23" s="398"/>
      <c r="AD23" s="398"/>
    </row>
    <row r="24" spans="1:30" ht="12.75" customHeight="1">
      <c r="A24" s="162">
        <v>30000</v>
      </c>
      <c r="B24" s="160" t="s">
        <v>313</v>
      </c>
      <c r="C24" s="162">
        <v>34999</v>
      </c>
      <c r="D24" s="586">
        <v>143478</v>
      </c>
      <c r="E24" s="586">
        <v>40587</v>
      </c>
      <c r="F24" s="586">
        <v>8479</v>
      </c>
      <c r="G24" s="1451">
        <v>192544</v>
      </c>
      <c r="K24" s="1413">
        <f t="shared" si="0"/>
        <v>0</v>
      </c>
      <c r="X24" s="398"/>
      <c r="AA24" s="267"/>
      <c r="AB24" s="398"/>
      <c r="AC24" s="398"/>
      <c r="AD24" s="398"/>
    </row>
    <row r="25" spans="1:30" ht="12.75" customHeight="1">
      <c r="A25" s="162">
        <v>35000</v>
      </c>
      <c r="B25" s="160" t="s">
        <v>313</v>
      </c>
      <c r="C25" s="162">
        <v>39999</v>
      </c>
      <c r="D25" s="586">
        <v>126405</v>
      </c>
      <c r="E25" s="586">
        <v>40838</v>
      </c>
      <c r="F25" s="586">
        <v>8212</v>
      </c>
      <c r="G25" s="1451">
        <v>175455</v>
      </c>
      <c r="K25" s="1413">
        <f t="shared" si="0"/>
        <v>0</v>
      </c>
      <c r="X25" s="398"/>
      <c r="AA25" s="398"/>
      <c r="AB25" s="398"/>
      <c r="AC25" s="398"/>
      <c r="AD25" s="398"/>
    </row>
    <row r="26" spans="1:30" ht="12.75" customHeight="1">
      <c r="A26" s="162">
        <v>40000</v>
      </c>
      <c r="B26" s="160" t="s">
        <v>313</v>
      </c>
      <c r="C26" s="162">
        <v>44999</v>
      </c>
      <c r="D26" s="586">
        <v>110231</v>
      </c>
      <c r="E26" s="586">
        <v>41063</v>
      </c>
      <c r="F26" s="586">
        <v>8042</v>
      </c>
      <c r="G26" s="1451">
        <v>159336</v>
      </c>
      <c r="H26" s="434"/>
      <c r="K26" s="1413">
        <f t="shared" si="0"/>
        <v>0</v>
      </c>
    </row>
    <row r="27" spans="1:30" ht="12.75" customHeight="1">
      <c r="A27" s="162">
        <v>45000</v>
      </c>
      <c r="B27" s="160" t="s">
        <v>313</v>
      </c>
      <c r="C27" s="162">
        <v>49999</v>
      </c>
      <c r="D27" s="586">
        <v>96700</v>
      </c>
      <c r="E27" s="586">
        <v>40282</v>
      </c>
      <c r="F27" s="586">
        <v>7599</v>
      </c>
      <c r="G27" s="1451">
        <v>144581</v>
      </c>
      <c r="K27" s="1413">
        <f t="shared" si="0"/>
        <v>0</v>
      </c>
    </row>
    <row r="28" spans="1:30" ht="12.75" customHeight="1">
      <c r="A28" s="162">
        <v>50000</v>
      </c>
      <c r="B28" s="160" t="s">
        <v>313</v>
      </c>
      <c r="C28" s="162">
        <v>74999</v>
      </c>
      <c r="D28" s="586">
        <v>310544</v>
      </c>
      <c r="E28" s="586">
        <v>195176</v>
      </c>
      <c r="F28" s="586">
        <v>26481</v>
      </c>
      <c r="G28" s="1451">
        <v>532201</v>
      </c>
      <c r="K28" s="1413">
        <f t="shared" si="0"/>
        <v>0</v>
      </c>
    </row>
    <row r="29" spans="1:30" ht="12.75" customHeight="1">
      <c r="A29" s="162">
        <v>75000</v>
      </c>
      <c r="B29" s="160" t="s">
        <v>313</v>
      </c>
      <c r="C29" s="162">
        <v>99999</v>
      </c>
      <c r="D29" s="586">
        <v>148728</v>
      </c>
      <c r="E29" s="586">
        <v>182065</v>
      </c>
      <c r="F29" s="586">
        <v>14415</v>
      </c>
      <c r="G29" s="1451">
        <v>345208</v>
      </c>
      <c r="H29" s="434"/>
      <c r="K29" s="1413">
        <f t="shared" si="0"/>
        <v>0</v>
      </c>
    </row>
    <row r="30" spans="1:30" ht="21" customHeight="1">
      <c r="A30" s="914">
        <v>100000</v>
      </c>
      <c r="B30" s="587" t="s">
        <v>311</v>
      </c>
      <c r="C30" s="587" t="s">
        <v>324</v>
      </c>
      <c r="D30" s="588">
        <v>193401</v>
      </c>
      <c r="E30" s="588">
        <v>685289</v>
      </c>
      <c r="F30" s="588">
        <v>25666</v>
      </c>
      <c r="G30" s="1153">
        <v>904356</v>
      </c>
      <c r="K30" s="1413">
        <f t="shared" si="0"/>
        <v>0</v>
      </c>
    </row>
    <row r="31" spans="1:30" ht="12.75" customHeight="1">
      <c r="A31" s="94" t="s">
        <v>314</v>
      </c>
      <c r="B31" s="94"/>
      <c r="C31" s="94"/>
      <c r="D31" s="95">
        <f>SUM(D6:D30)</f>
        <v>2462598</v>
      </c>
      <c r="E31" s="95">
        <f>SUM(E6:E30)</f>
        <v>1488020</v>
      </c>
      <c r="F31" s="95">
        <f>SUM(F6:F30)</f>
        <v>163551</v>
      </c>
      <c r="G31" s="95">
        <f>SUM(G6:G30)</f>
        <v>4114169</v>
      </c>
      <c r="K31" s="1413">
        <f t="shared" si="0"/>
        <v>0</v>
      </c>
    </row>
    <row r="32" spans="1:30" ht="9" customHeight="1"/>
    <row r="34" spans="1:7" ht="13">
      <c r="A34" s="862" t="s">
        <v>992</v>
      </c>
    </row>
    <row r="35" spans="1:7" s="772" customFormat="1" ht="12.75" customHeight="1">
      <c r="B35" s="773"/>
      <c r="C35" s="773"/>
      <c r="D35" s="773"/>
      <c r="E35" s="774"/>
      <c r="G35" s="1412"/>
    </row>
    <row r="36" spans="1:7">
      <c r="G36" s="434"/>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hyperlinks>
    <hyperlink ref="K1" location="TOC!A1" display="Back"/>
  </hyperlinks>
  <pageMargins left="0.5" right="0.25" top="0.5" bottom="0.25" header="0.25" footer="9.8039219999999996E-3"/>
  <pageSetup orientation="landscape" r:id="rId2"/>
  <headerFooter scaleWithDoc="0">
    <oddHeader>&amp;R&amp;P</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4"/>
  <sheetViews>
    <sheetView zoomScaleNormal="100" workbookViewId="0"/>
  </sheetViews>
  <sheetFormatPr defaultColWidth="9.1796875" defaultRowHeight="12.5"/>
  <cols>
    <col min="1" max="1" width="10.7265625" style="260" customWidth="1"/>
    <col min="2" max="2" width="4.453125" style="260" bestFit="1" customWidth="1"/>
    <col min="3" max="3" width="8" style="260" customWidth="1"/>
    <col min="4" max="4" width="14.81640625" style="260" bestFit="1" customWidth="1"/>
    <col min="5" max="5" width="10.7265625" style="260" customWidth="1"/>
    <col min="6" max="6" width="12.7265625" style="260" customWidth="1"/>
    <col min="7" max="7" width="10.7265625" style="260" customWidth="1"/>
    <col min="8" max="8" width="11.1796875" style="260" bestFit="1" customWidth="1"/>
    <col min="9" max="9" width="15.7265625" style="260" customWidth="1"/>
    <col min="10" max="10" width="48.7265625" style="260" customWidth="1"/>
    <col min="11" max="16384" width="9.1796875" style="260"/>
  </cols>
  <sheetData>
    <row r="1" spans="1:13" s="259" customFormat="1" ht="17.149999999999999" customHeight="1">
      <c r="A1" s="266" t="s">
        <v>305</v>
      </c>
      <c r="B1" s="160"/>
      <c r="C1" s="268"/>
      <c r="D1" s="268"/>
      <c r="M1" s="939" t="s">
        <v>1018</v>
      </c>
    </row>
    <row r="2" spans="1:13" s="259" customFormat="1" ht="15" customHeight="1">
      <c r="A2" s="264" t="s">
        <v>306</v>
      </c>
      <c r="B2" s="160"/>
      <c r="C2" s="268"/>
      <c r="D2" s="268"/>
    </row>
    <row r="3" spans="1:13" s="259" customFormat="1" ht="15" customHeight="1">
      <c r="A3" s="577" t="s">
        <v>1216</v>
      </c>
      <c r="B3" s="160"/>
      <c r="C3" s="268"/>
      <c r="D3" s="268"/>
    </row>
    <row r="4" spans="1:13" ht="6" customHeight="1"/>
    <row r="5" spans="1:13" s="270" customFormat="1" ht="33" customHeight="1">
      <c r="A5" s="915" t="s">
        <v>925</v>
      </c>
      <c r="B5" s="915"/>
      <c r="C5" s="915"/>
      <c r="D5" s="916" t="s">
        <v>926</v>
      </c>
      <c r="E5" s="917" t="s">
        <v>307</v>
      </c>
      <c r="F5" s="917" t="s">
        <v>308</v>
      </c>
      <c r="G5" s="918" t="s">
        <v>309</v>
      </c>
      <c r="H5" s="917" t="s">
        <v>310</v>
      </c>
      <c r="I5" s="916" t="s">
        <v>927</v>
      </c>
    </row>
    <row r="6" spans="1:13" s="270" customFormat="1" ht="21" customHeight="1">
      <c r="A6" s="162">
        <v>999</v>
      </c>
      <c r="B6" s="160" t="s">
        <v>311</v>
      </c>
      <c r="C6" s="159" t="s">
        <v>312</v>
      </c>
      <c r="D6" s="1451">
        <f>252701-1</f>
        <v>252700</v>
      </c>
      <c r="E6" s="1451">
        <f>312010-1</f>
        <v>312009</v>
      </c>
      <c r="F6" s="1451">
        <v>84709</v>
      </c>
      <c r="G6" s="1451">
        <v>66841</v>
      </c>
      <c r="H6" s="1451">
        <v>769</v>
      </c>
      <c r="I6" s="1451">
        <f>464329-1</f>
        <v>464328</v>
      </c>
      <c r="J6" s="260"/>
      <c r="M6" s="1414">
        <f>SUM(E6:H6)-I6</f>
        <v>0</v>
      </c>
    </row>
    <row r="7" spans="1:13" ht="12.75" customHeight="1">
      <c r="A7" s="162">
        <v>1000</v>
      </c>
      <c r="B7" s="160" t="s">
        <v>313</v>
      </c>
      <c r="C7" s="162">
        <v>1999</v>
      </c>
      <c r="D7" s="582">
        <v>64788</v>
      </c>
      <c r="E7" s="582">
        <v>71922</v>
      </c>
      <c r="F7" s="582">
        <v>16331</v>
      </c>
      <c r="G7" s="582">
        <v>9360</v>
      </c>
      <c r="H7" s="582">
        <v>128</v>
      </c>
      <c r="I7" s="582">
        <v>97741</v>
      </c>
      <c r="M7" s="1414">
        <f t="shared" ref="M7:M31" si="0">SUM(E7:H7)-I7</f>
        <v>0</v>
      </c>
    </row>
    <row r="8" spans="1:13" ht="12.75" customHeight="1">
      <c r="A8" s="162">
        <v>2000</v>
      </c>
      <c r="B8" s="160" t="s">
        <v>313</v>
      </c>
      <c r="C8" s="162">
        <v>2999</v>
      </c>
      <c r="D8" s="582">
        <v>63353</v>
      </c>
      <c r="E8" s="582">
        <v>69964</v>
      </c>
      <c r="F8" s="582">
        <v>16041</v>
      </c>
      <c r="G8" s="582">
        <v>8864</v>
      </c>
      <c r="H8" s="582">
        <v>100</v>
      </c>
      <c r="I8" s="582">
        <v>94969</v>
      </c>
      <c r="M8" s="1414">
        <f t="shared" si="0"/>
        <v>0</v>
      </c>
    </row>
    <row r="9" spans="1:13" ht="12.75" customHeight="1">
      <c r="A9" s="162">
        <v>3000</v>
      </c>
      <c r="B9" s="160" t="s">
        <v>313</v>
      </c>
      <c r="C9" s="162">
        <v>3999</v>
      </c>
      <c r="D9" s="582">
        <v>61816</v>
      </c>
      <c r="E9" s="582">
        <v>68307</v>
      </c>
      <c r="F9" s="582">
        <v>16211</v>
      </c>
      <c r="G9" s="582">
        <v>9114</v>
      </c>
      <c r="H9" s="582">
        <v>103</v>
      </c>
      <c r="I9" s="582">
        <v>93735</v>
      </c>
      <c r="M9" s="1414">
        <f t="shared" si="0"/>
        <v>0</v>
      </c>
    </row>
    <row r="10" spans="1:13" ht="12.75" customHeight="1">
      <c r="A10" s="162">
        <v>4000</v>
      </c>
      <c r="B10" s="160" t="s">
        <v>313</v>
      </c>
      <c r="C10" s="162">
        <v>4999</v>
      </c>
      <c r="D10" s="582">
        <v>59751</v>
      </c>
      <c r="E10" s="582">
        <v>65987</v>
      </c>
      <c r="F10" s="582">
        <v>16162</v>
      </c>
      <c r="G10" s="582">
        <v>9018</v>
      </c>
      <c r="H10" s="582">
        <v>104</v>
      </c>
      <c r="I10" s="582">
        <v>91271</v>
      </c>
      <c r="M10" s="1414">
        <f t="shared" si="0"/>
        <v>0</v>
      </c>
    </row>
    <row r="11" spans="1:13" ht="12.75" customHeight="1">
      <c r="A11" s="162">
        <v>5000</v>
      </c>
      <c r="B11" s="160" t="s">
        <v>313</v>
      </c>
      <c r="C11" s="162">
        <v>5999</v>
      </c>
      <c r="D11" s="582">
        <v>57798</v>
      </c>
      <c r="E11" s="582">
        <v>63967</v>
      </c>
      <c r="F11" s="582">
        <v>16009</v>
      </c>
      <c r="G11" s="582">
        <v>9344</v>
      </c>
      <c r="H11" s="582">
        <v>98</v>
      </c>
      <c r="I11" s="582">
        <v>89418</v>
      </c>
      <c r="M11" s="1414">
        <f t="shared" si="0"/>
        <v>0</v>
      </c>
    </row>
    <row r="12" spans="1:13" ht="12.75" customHeight="1">
      <c r="A12" s="162">
        <v>6000</v>
      </c>
      <c r="B12" s="160" t="s">
        <v>313</v>
      </c>
      <c r="C12" s="162">
        <v>6999</v>
      </c>
      <c r="D12" s="582">
        <v>55470</v>
      </c>
      <c r="E12" s="582">
        <v>61546</v>
      </c>
      <c r="F12" s="582">
        <v>16263</v>
      </c>
      <c r="G12" s="582">
        <v>9559</v>
      </c>
      <c r="H12" s="582">
        <v>103</v>
      </c>
      <c r="I12" s="582">
        <v>87471</v>
      </c>
      <c r="M12" s="1414">
        <f t="shared" si="0"/>
        <v>0</v>
      </c>
    </row>
    <row r="13" spans="1:13" ht="12.75" customHeight="1">
      <c r="A13" s="162">
        <v>7000</v>
      </c>
      <c r="B13" s="160" t="s">
        <v>313</v>
      </c>
      <c r="C13" s="162">
        <v>7999</v>
      </c>
      <c r="D13" s="582">
        <v>54055</v>
      </c>
      <c r="E13" s="582">
        <v>60073</v>
      </c>
      <c r="F13" s="582">
        <v>16621</v>
      </c>
      <c r="G13" s="582">
        <v>9688</v>
      </c>
      <c r="H13" s="582">
        <v>111</v>
      </c>
      <c r="I13" s="582">
        <v>86493</v>
      </c>
      <c r="M13" s="1414">
        <f t="shared" si="0"/>
        <v>0</v>
      </c>
    </row>
    <row r="14" spans="1:13" ht="12.75" customHeight="1">
      <c r="A14" s="162">
        <v>8000</v>
      </c>
      <c r="B14" s="160" t="s">
        <v>313</v>
      </c>
      <c r="C14" s="162">
        <v>8999</v>
      </c>
      <c r="D14" s="582">
        <v>52765</v>
      </c>
      <c r="E14" s="582">
        <v>58952</v>
      </c>
      <c r="F14" s="582">
        <v>17039</v>
      </c>
      <c r="G14" s="582">
        <v>9832</v>
      </c>
      <c r="H14" s="582">
        <v>104</v>
      </c>
      <c r="I14" s="582">
        <v>85927</v>
      </c>
      <c r="M14" s="1414">
        <f t="shared" si="0"/>
        <v>0</v>
      </c>
    </row>
    <row r="15" spans="1:13" ht="12.75" customHeight="1">
      <c r="A15" s="162">
        <v>9000</v>
      </c>
      <c r="B15" s="160" t="s">
        <v>313</v>
      </c>
      <c r="C15" s="162">
        <v>9999</v>
      </c>
      <c r="D15" s="582">
        <v>51647</v>
      </c>
      <c r="E15" s="582">
        <v>57741</v>
      </c>
      <c r="F15" s="582">
        <v>17513</v>
      </c>
      <c r="G15" s="582">
        <v>9985</v>
      </c>
      <c r="H15" s="582">
        <v>108</v>
      </c>
      <c r="I15" s="582">
        <v>85347</v>
      </c>
      <c r="M15" s="1414">
        <f t="shared" si="0"/>
        <v>0</v>
      </c>
    </row>
    <row r="16" spans="1:13" ht="12.75" customHeight="1">
      <c r="A16" s="162">
        <v>10000</v>
      </c>
      <c r="B16" s="160" t="s">
        <v>313</v>
      </c>
      <c r="C16" s="162">
        <v>10999</v>
      </c>
      <c r="D16" s="582">
        <v>52214</v>
      </c>
      <c r="E16" s="582">
        <v>58574</v>
      </c>
      <c r="F16" s="582">
        <v>19605</v>
      </c>
      <c r="G16" s="582">
        <v>10407</v>
      </c>
      <c r="H16" s="582">
        <v>110</v>
      </c>
      <c r="I16" s="582">
        <v>88696</v>
      </c>
      <c r="M16" s="1414">
        <f t="shared" si="0"/>
        <v>0</v>
      </c>
    </row>
    <row r="17" spans="1:13" ht="12.75" customHeight="1">
      <c r="A17" s="162">
        <v>11000</v>
      </c>
      <c r="B17" s="160" t="s">
        <v>313</v>
      </c>
      <c r="C17" s="162">
        <v>11999</v>
      </c>
      <c r="D17" s="582">
        <v>51603</v>
      </c>
      <c r="E17" s="582">
        <v>57895</v>
      </c>
      <c r="F17" s="582">
        <v>19678</v>
      </c>
      <c r="G17" s="582">
        <v>10503</v>
      </c>
      <c r="H17" s="582">
        <v>125</v>
      </c>
      <c r="I17" s="582">
        <v>88201</v>
      </c>
      <c r="M17" s="1414">
        <f t="shared" si="0"/>
        <v>0</v>
      </c>
    </row>
    <row r="18" spans="1:13" ht="12.75" customHeight="1">
      <c r="A18" s="162">
        <v>12000</v>
      </c>
      <c r="B18" s="160" t="s">
        <v>313</v>
      </c>
      <c r="C18" s="162">
        <v>12999</v>
      </c>
      <c r="D18" s="582">
        <v>50087</v>
      </c>
      <c r="E18" s="582">
        <v>56661</v>
      </c>
      <c r="F18" s="582">
        <v>19118</v>
      </c>
      <c r="G18" s="582">
        <v>11010</v>
      </c>
      <c r="H18" s="582">
        <v>115</v>
      </c>
      <c r="I18" s="582">
        <v>86904</v>
      </c>
      <c r="M18" s="1414">
        <f t="shared" si="0"/>
        <v>0</v>
      </c>
    </row>
    <row r="19" spans="1:13" ht="12.75" customHeight="1">
      <c r="A19" s="162">
        <v>13000</v>
      </c>
      <c r="B19" s="160" t="s">
        <v>313</v>
      </c>
      <c r="C19" s="162">
        <v>13999</v>
      </c>
      <c r="D19" s="582">
        <v>47748</v>
      </c>
      <c r="E19" s="582">
        <v>54349</v>
      </c>
      <c r="F19" s="582">
        <v>19008</v>
      </c>
      <c r="G19" s="582">
        <v>11411</v>
      </c>
      <c r="H19" s="582">
        <v>108</v>
      </c>
      <c r="I19" s="582">
        <v>84876</v>
      </c>
      <c r="M19" s="1414">
        <f t="shared" si="0"/>
        <v>0</v>
      </c>
    </row>
    <row r="20" spans="1:13" ht="12.75" customHeight="1">
      <c r="A20" s="162">
        <v>14000</v>
      </c>
      <c r="B20" s="160" t="s">
        <v>313</v>
      </c>
      <c r="C20" s="162">
        <v>14999</v>
      </c>
      <c r="D20" s="582">
        <v>46991</v>
      </c>
      <c r="E20" s="582">
        <v>53667</v>
      </c>
      <c r="F20" s="582">
        <v>20799</v>
      </c>
      <c r="G20" s="582">
        <v>11384</v>
      </c>
      <c r="H20" s="582">
        <v>121</v>
      </c>
      <c r="I20" s="582">
        <v>85971</v>
      </c>
      <c r="M20" s="1414">
        <f t="shared" si="0"/>
        <v>0</v>
      </c>
    </row>
    <row r="21" spans="1:13" ht="12.75" customHeight="1">
      <c r="A21" s="162">
        <v>15000</v>
      </c>
      <c r="B21" s="160" t="s">
        <v>313</v>
      </c>
      <c r="C21" s="162">
        <v>19999</v>
      </c>
      <c r="D21" s="582">
        <v>224730</v>
      </c>
      <c r="E21" s="582">
        <v>259800</v>
      </c>
      <c r="F21" s="582">
        <v>98089</v>
      </c>
      <c r="G21" s="582">
        <v>58052</v>
      </c>
      <c r="H21" s="582">
        <v>596</v>
      </c>
      <c r="I21" s="582">
        <v>416537</v>
      </c>
      <c r="M21" s="1414">
        <f t="shared" si="0"/>
        <v>0</v>
      </c>
    </row>
    <row r="22" spans="1:13" ht="12.75" customHeight="1">
      <c r="A22" s="162">
        <v>20000</v>
      </c>
      <c r="B22" s="160" t="s">
        <v>313</v>
      </c>
      <c r="C22" s="162">
        <v>24999</v>
      </c>
      <c r="D22" s="582">
        <v>210766</v>
      </c>
      <c r="E22" s="582">
        <v>249516</v>
      </c>
      <c r="F22" s="582">
        <v>91627</v>
      </c>
      <c r="G22" s="582">
        <v>56934</v>
      </c>
      <c r="H22" s="582">
        <v>531</v>
      </c>
      <c r="I22" s="582">
        <v>398608</v>
      </c>
      <c r="M22" s="1414">
        <f t="shared" si="0"/>
        <v>0</v>
      </c>
    </row>
    <row r="23" spans="1:13" ht="12.75" customHeight="1">
      <c r="A23" s="162">
        <v>25000</v>
      </c>
      <c r="B23" s="160" t="s">
        <v>313</v>
      </c>
      <c r="C23" s="162">
        <v>29999</v>
      </c>
      <c r="D23" s="582">
        <v>202206</v>
      </c>
      <c r="E23" s="582">
        <v>241679</v>
      </c>
      <c r="F23" s="582">
        <v>92007</v>
      </c>
      <c r="G23" s="582">
        <v>54155</v>
      </c>
      <c r="H23" s="582">
        <v>534</v>
      </c>
      <c r="I23" s="582">
        <v>388375</v>
      </c>
      <c r="M23" s="1414">
        <f t="shared" si="0"/>
        <v>0</v>
      </c>
    </row>
    <row r="24" spans="1:13" ht="12.75" customHeight="1">
      <c r="A24" s="162">
        <v>30000</v>
      </c>
      <c r="B24" s="160" t="s">
        <v>313</v>
      </c>
      <c r="C24" s="162">
        <v>34999</v>
      </c>
      <c r="D24" s="582">
        <v>192544</v>
      </c>
      <c r="E24" s="582">
        <v>233590</v>
      </c>
      <c r="F24" s="582">
        <v>90995</v>
      </c>
      <c r="G24" s="582">
        <v>50630</v>
      </c>
      <c r="H24" s="582">
        <v>457</v>
      </c>
      <c r="I24" s="582">
        <v>375672</v>
      </c>
      <c r="M24" s="1414">
        <f t="shared" si="0"/>
        <v>0</v>
      </c>
    </row>
    <row r="25" spans="1:13" ht="12.75" customHeight="1">
      <c r="A25" s="162">
        <v>35000</v>
      </c>
      <c r="B25" s="160" t="s">
        <v>313</v>
      </c>
      <c r="C25" s="162">
        <v>39999</v>
      </c>
      <c r="D25" s="582">
        <v>175455</v>
      </c>
      <c r="E25" s="582">
        <v>216766</v>
      </c>
      <c r="F25" s="582">
        <v>84139</v>
      </c>
      <c r="G25" s="582">
        <v>47087</v>
      </c>
      <c r="H25" s="582">
        <v>409</v>
      </c>
      <c r="I25" s="582">
        <v>348401</v>
      </c>
      <c r="M25" s="1414">
        <f t="shared" si="0"/>
        <v>0</v>
      </c>
    </row>
    <row r="26" spans="1:13" ht="12.75" customHeight="1">
      <c r="A26" s="162">
        <v>40000</v>
      </c>
      <c r="B26" s="160" t="s">
        <v>313</v>
      </c>
      <c r="C26" s="162">
        <v>44999</v>
      </c>
      <c r="D26" s="582">
        <v>159336</v>
      </c>
      <c r="E26" s="582">
        <v>200885</v>
      </c>
      <c r="F26" s="582">
        <v>75376</v>
      </c>
      <c r="G26" s="582">
        <v>43597</v>
      </c>
      <c r="H26" s="582">
        <v>392</v>
      </c>
      <c r="I26" s="582">
        <v>320250</v>
      </c>
      <c r="M26" s="1414">
        <f t="shared" si="0"/>
        <v>0</v>
      </c>
    </row>
    <row r="27" spans="1:13" ht="12.75" customHeight="1">
      <c r="A27" s="162">
        <v>45000</v>
      </c>
      <c r="B27" s="160" t="s">
        <v>313</v>
      </c>
      <c r="C27" s="162">
        <v>49999</v>
      </c>
      <c r="D27" s="582">
        <v>144581</v>
      </c>
      <c r="E27" s="582">
        <v>185306</v>
      </c>
      <c r="F27" s="582">
        <v>67837</v>
      </c>
      <c r="G27" s="582">
        <v>39047</v>
      </c>
      <c r="H27" s="582">
        <v>356</v>
      </c>
      <c r="I27" s="582">
        <v>292546</v>
      </c>
      <c r="M27" s="1414">
        <f t="shared" si="0"/>
        <v>0</v>
      </c>
    </row>
    <row r="28" spans="1:13" ht="12.75" customHeight="1">
      <c r="A28" s="162">
        <v>50000</v>
      </c>
      <c r="B28" s="160" t="s">
        <v>313</v>
      </c>
      <c r="C28" s="162">
        <v>74999</v>
      </c>
      <c r="D28" s="582">
        <v>532201</v>
      </c>
      <c r="E28" s="582">
        <v>729509</v>
      </c>
      <c r="F28" s="582">
        <v>261116</v>
      </c>
      <c r="G28" s="582">
        <v>152235</v>
      </c>
      <c r="H28" s="582">
        <v>1206</v>
      </c>
      <c r="I28" s="582">
        <v>1144066</v>
      </c>
      <c r="M28" s="1414">
        <f t="shared" si="0"/>
        <v>0</v>
      </c>
    </row>
    <row r="29" spans="1:13" ht="12.75" customHeight="1">
      <c r="A29" s="162">
        <v>75000</v>
      </c>
      <c r="B29" s="160" t="s">
        <v>313</v>
      </c>
      <c r="C29" s="162">
        <v>99999</v>
      </c>
      <c r="D29" s="582">
        <v>345208</v>
      </c>
      <c r="E29" s="582">
        <v>529040</v>
      </c>
      <c r="F29" s="582">
        <v>202053</v>
      </c>
      <c r="G29" s="582">
        <v>100173</v>
      </c>
      <c r="H29" s="582">
        <v>750</v>
      </c>
      <c r="I29" s="582">
        <v>832016</v>
      </c>
      <c r="M29" s="1414">
        <f t="shared" si="0"/>
        <v>0</v>
      </c>
    </row>
    <row r="30" spans="1:13" ht="21" customHeight="1">
      <c r="A30" s="914">
        <v>100000</v>
      </c>
      <c r="B30" s="587" t="s">
        <v>311</v>
      </c>
      <c r="C30" s="587" t="s">
        <v>324</v>
      </c>
      <c r="D30" s="1153">
        <v>904356</v>
      </c>
      <c r="E30" s="1153">
        <v>1594337</v>
      </c>
      <c r="F30" s="1153">
        <v>768241</v>
      </c>
      <c r="G30" s="1153">
        <v>241914</v>
      </c>
      <c r="H30" s="1153">
        <v>1462</v>
      </c>
      <c r="I30" s="1153">
        <v>2605954</v>
      </c>
      <c r="M30" s="1414">
        <f t="shared" si="0"/>
        <v>0</v>
      </c>
    </row>
    <row r="31" spans="1:13" ht="15" customHeight="1">
      <c r="A31" s="94" t="s">
        <v>314</v>
      </c>
      <c r="B31" s="94"/>
      <c r="C31" s="94"/>
      <c r="D31" s="95">
        <f t="shared" ref="D31:I31" si="1">SUM(D6:D30)</f>
        <v>4114169</v>
      </c>
      <c r="E31" s="95">
        <f t="shared" si="1"/>
        <v>5612042</v>
      </c>
      <c r="F31" s="95">
        <f t="shared" si="1"/>
        <v>2162587</v>
      </c>
      <c r="G31" s="95">
        <f t="shared" si="1"/>
        <v>1050144</v>
      </c>
      <c r="H31" s="95">
        <f t="shared" si="1"/>
        <v>9000</v>
      </c>
      <c r="I31" s="95">
        <f t="shared" si="1"/>
        <v>8833773</v>
      </c>
      <c r="M31" s="1414">
        <f t="shared" si="0"/>
        <v>0</v>
      </c>
    </row>
    <row r="32" spans="1:13" ht="6" customHeight="1"/>
    <row r="34" spans="1:5" s="772" customFormat="1" ht="12.75" customHeight="1">
      <c r="A34" s="862" t="s">
        <v>992</v>
      </c>
      <c r="B34" s="773"/>
      <c r="C34" s="773"/>
      <c r="D34" s="773"/>
      <c r="E34" s="774"/>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hyperlinks>
    <hyperlink ref="M1" location="TOC!A1" display="Back"/>
  </hyperlinks>
  <pageMargins left="0.4" right="0.25" top="0.5" bottom="0.25" header="0.25" footer="0"/>
  <pageSetup scale="91" orientation="landscape" r:id="rId2"/>
  <headerFooter scaleWithDoc="0">
    <oddHeader>&amp;R&amp;P</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82"/>
  <sheetViews>
    <sheetView showOutlineSymbols="0" zoomScale="90" zoomScaleNormal="90" workbookViewId="0">
      <pane ySplit="3610" topLeftCell="A148"/>
      <selection pane="bottomLeft" activeCell="A178" sqref="A178:A199"/>
    </sheetView>
  </sheetViews>
  <sheetFormatPr defaultColWidth="10.7265625" defaultRowHeight="17.149999999999999" customHeight="1"/>
  <cols>
    <col min="1" max="1" width="13.7265625" style="199" customWidth="1"/>
    <col min="2" max="2" width="6.6328125" style="1127" hidden="1" customWidth="1"/>
    <col min="3" max="3" width="12.6328125" style="199" customWidth="1"/>
    <col min="4" max="8" width="13.6328125" style="199" customWidth="1"/>
    <col min="9" max="12" width="14.6328125" style="199" customWidth="1"/>
    <col min="13" max="13" width="15.6328125" style="199" customWidth="1"/>
    <col min="14" max="14" width="15.6328125" style="247" customWidth="1"/>
    <col min="15" max="16384" width="10.7265625" style="199"/>
  </cols>
  <sheetData>
    <row r="1" spans="1:15" ht="18">
      <c r="A1" s="198" t="s">
        <v>603</v>
      </c>
      <c r="B1" s="1123"/>
      <c r="D1" s="200"/>
      <c r="E1" s="200"/>
      <c r="F1" s="200"/>
      <c r="G1" s="200"/>
      <c r="H1" s="200"/>
      <c r="I1" s="200"/>
      <c r="J1" s="200"/>
      <c r="K1" s="200"/>
      <c r="L1" s="200"/>
      <c r="M1" s="200"/>
      <c r="O1" s="939" t="s">
        <v>1018</v>
      </c>
    </row>
    <row r="2" spans="1:15" ht="17.149999999999999" customHeight="1">
      <c r="A2" s="201" t="s">
        <v>604</v>
      </c>
      <c r="B2" s="1124"/>
      <c r="D2" s="200"/>
      <c r="E2" s="200"/>
      <c r="F2" s="200"/>
      <c r="G2" s="200"/>
      <c r="H2" s="200"/>
      <c r="I2" s="200"/>
      <c r="J2" s="200"/>
      <c r="K2" s="200"/>
      <c r="L2" s="200"/>
      <c r="M2" s="200"/>
    </row>
    <row r="3" spans="1:15" ht="17.149999999999999" customHeight="1">
      <c r="A3" s="202" t="s">
        <v>1216</v>
      </c>
      <c r="B3" s="1125"/>
      <c r="D3" s="203"/>
      <c r="E3" s="203"/>
      <c r="F3" s="203"/>
      <c r="G3" s="203"/>
      <c r="H3" s="203"/>
      <c r="I3" s="203"/>
      <c r="J3" s="203"/>
      <c r="K3" s="203"/>
      <c r="L3" s="203"/>
      <c r="M3" s="203"/>
    </row>
    <row r="4" spans="1:15" ht="2" customHeight="1">
      <c r="A4" s="201"/>
      <c r="B4" s="1124"/>
      <c r="D4" s="203"/>
      <c r="E4" s="203"/>
      <c r="F4" s="203"/>
      <c r="G4" s="203"/>
      <c r="H4" s="203"/>
      <c r="I4" s="203"/>
      <c r="J4" s="203"/>
      <c r="K4" s="203"/>
      <c r="L4" s="203"/>
      <c r="M4" s="203"/>
    </row>
    <row r="5" spans="1:15" s="204" customFormat="1" ht="2" customHeight="1">
      <c r="A5" s="202"/>
      <c r="B5" s="1125"/>
      <c r="C5" s="199"/>
      <c r="D5" s="203"/>
      <c r="E5" s="203"/>
      <c r="F5" s="203"/>
      <c r="G5" s="203"/>
      <c r="H5" s="203"/>
      <c r="I5" s="203"/>
      <c r="J5" s="203"/>
      <c r="K5" s="203"/>
      <c r="L5" s="203"/>
      <c r="M5" s="203"/>
      <c r="N5" s="1116"/>
    </row>
    <row r="6" spans="1:15" s="204" customFormat="1" ht="2" customHeight="1" thickBot="1">
      <c r="A6" s="201"/>
      <c r="B6" s="1124"/>
      <c r="C6" s="199"/>
      <c r="D6" s="1117"/>
      <c r="E6" s="1117"/>
      <c r="F6" s="1117"/>
      <c r="G6" s="1117"/>
      <c r="H6" s="1117"/>
      <c r="I6" s="1117"/>
      <c r="J6" s="1117"/>
      <c r="K6" s="1117"/>
      <c r="L6" s="1117"/>
      <c r="M6" s="1117"/>
      <c r="N6" s="1118"/>
    </row>
    <row r="7" spans="1:15" s="204" customFormat="1" ht="26">
      <c r="A7" s="1120" t="s">
        <v>21</v>
      </c>
      <c r="B7" s="1122" t="s">
        <v>963</v>
      </c>
      <c r="C7" s="1121" t="s">
        <v>605</v>
      </c>
      <c r="D7" s="1288" t="s">
        <v>1220</v>
      </c>
      <c r="E7" s="1288" t="s">
        <v>1221</v>
      </c>
      <c r="F7" s="1288" t="s">
        <v>1222</v>
      </c>
      <c r="G7" s="1288" t="s">
        <v>1223</v>
      </c>
      <c r="H7" s="1288" t="s">
        <v>1224</v>
      </c>
      <c r="I7" s="1288" t="s">
        <v>1225</v>
      </c>
      <c r="J7" s="1288" t="s">
        <v>1226</v>
      </c>
      <c r="K7" s="1288" t="s">
        <v>1227</v>
      </c>
      <c r="L7" s="1288" t="s">
        <v>1228</v>
      </c>
      <c r="M7" s="1288" t="s">
        <v>1229</v>
      </c>
      <c r="N7" s="1288" t="s">
        <v>1230</v>
      </c>
    </row>
    <row r="8" spans="1:15" s="205" customFormat="1" ht="34" customHeight="1">
      <c r="A8" s="172" t="s">
        <v>327</v>
      </c>
      <c r="B8" s="1108" t="s">
        <v>1082</v>
      </c>
      <c r="C8" s="171">
        <v>5173125.4459999995</v>
      </c>
      <c r="D8" s="171">
        <v>12372459.282</v>
      </c>
      <c r="E8" s="171">
        <v>18128001.809999999</v>
      </c>
      <c r="F8" s="171">
        <v>22376439.383000001</v>
      </c>
      <c r="G8" s="171">
        <v>30344512.598000001</v>
      </c>
      <c r="H8" s="171">
        <v>35072393.420999996</v>
      </c>
      <c r="I8" s="171">
        <v>73686426.090499997</v>
      </c>
      <c r="J8" s="171">
        <v>64779384.43</v>
      </c>
      <c r="K8" s="171">
        <v>129067525.56</v>
      </c>
      <c r="L8" s="171">
        <v>91993219.164000005</v>
      </c>
      <c r="M8" s="171">
        <v>316766570.02600002</v>
      </c>
      <c r="N8" s="272">
        <f t="shared" ref="N8:N42" si="0">SUM(C8:M8)</f>
        <v>799760057.2105</v>
      </c>
    </row>
    <row r="9" spans="1:15" s="204" customFormat="1" ht="17.25" customHeight="1">
      <c r="A9" s="196" t="s">
        <v>331</v>
      </c>
      <c r="B9" s="1109" t="s">
        <v>1083</v>
      </c>
      <c r="C9" s="206">
        <v>8405721.1359999999</v>
      </c>
      <c r="D9" s="206">
        <v>20394523.475000001</v>
      </c>
      <c r="E9" s="206">
        <v>31271536.293999996</v>
      </c>
      <c r="F9" s="206">
        <v>42686351.078000002</v>
      </c>
      <c r="G9" s="206">
        <v>50948098.335900001</v>
      </c>
      <c r="H9" s="206">
        <v>64288307.614</v>
      </c>
      <c r="I9" s="206">
        <v>158716115.116</v>
      </c>
      <c r="J9" s="206">
        <v>163950599.685</v>
      </c>
      <c r="K9" s="206">
        <v>408606159.40899998</v>
      </c>
      <c r="L9" s="206">
        <v>369710902.986</v>
      </c>
      <c r="M9" s="206">
        <v>4239300650.8299999</v>
      </c>
      <c r="N9" s="590">
        <f t="shared" si="0"/>
        <v>5558278965.9589005</v>
      </c>
    </row>
    <row r="10" spans="1:15" s="204" customFormat="1" ht="17.149999999999999" customHeight="1">
      <c r="A10" s="196" t="s">
        <v>335</v>
      </c>
      <c r="B10" s="1109" t="s">
        <v>1084</v>
      </c>
      <c r="C10" s="206">
        <v>1782663.571</v>
      </c>
      <c r="D10" s="206">
        <v>4081331.5539999995</v>
      </c>
      <c r="E10" s="206">
        <v>6466960.125</v>
      </c>
      <c r="F10" s="206">
        <v>8403864.1919999998</v>
      </c>
      <c r="G10" s="206">
        <v>10961046.055</v>
      </c>
      <c r="H10" s="206">
        <v>12866772.221999999</v>
      </c>
      <c r="I10" s="206">
        <v>25342356.725000001</v>
      </c>
      <c r="J10" s="206">
        <v>26692585.506999999</v>
      </c>
      <c r="K10" s="206">
        <v>57269703.998000003</v>
      </c>
      <c r="L10" s="206">
        <v>48827223.100000001</v>
      </c>
      <c r="M10" s="206">
        <v>130969566.913</v>
      </c>
      <c r="N10" s="590">
        <f t="shared" si="0"/>
        <v>333664073.96200001</v>
      </c>
    </row>
    <row r="11" spans="1:15" s="204" customFormat="1" ht="17.149999999999999" customHeight="1">
      <c r="A11" s="196" t="s">
        <v>339</v>
      </c>
      <c r="B11" s="1109" t="s">
        <v>1085</v>
      </c>
      <c r="C11" s="206">
        <v>1084574.75</v>
      </c>
      <c r="D11" s="206">
        <v>2866169.0289999996</v>
      </c>
      <c r="E11" s="206">
        <v>5146558.9869999997</v>
      </c>
      <c r="F11" s="206">
        <v>7074994.0149999997</v>
      </c>
      <c r="G11" s="206">
        <v>8554658.2919999994</v>
      </c>
      <c r="H11" s="206">
        <v>10538051.512</v>
      </c>
      <c r="I11" s="206">
        <v>24569824.068999998</v>
      </c>
      <c r="J11" s="206">
        <v>25104948.546</v>
      </c>
      <c r="K11" s="206">
        <v>54441672.101999998</v>
      </c>
      <c r="L11" s="206">
        <v>49030589.821999997</v>
      </c>
      <c r="M11" s="206">
        <v>160539055.625</v>
      </c>
      <c r="N11" s="590">
        <f t="shared" si="0"/>
        <v>348951096.74899995</v>
      </c>
    </row>
    <row r="12" spans="1:15" s="204" customFormat="1" ht="17.149999999999999" customHeight="1">
      <c r="A12" s="196" t="s">
        <v>343</v>
      </c>
      <c r="B12" s="1109" t="s">
        <v>1086</v>
      </c>
      <c r="C12" s="206">
        <v>2370969.7814000002</v>
      </c>
      <c r="D12" s="206">
        <v>6833310.8539999994</v>
      </c>
      <c r="E12" s="206">
        <v>12029758.540000001</v>
      </c>
      <c r="F12" s="206">
        <v>15703040.300000001</v>
      </c>
      <c r="G12" s="206">
        <v>20909576.533</v>
      </c>
      <c r="H12" s="206">
        <v>24976900.27</v>
      </c>
      <c r="I12" s="206">
        <v>57432053.194000006</v>
      </c>
      <c r="J12" s="206">
        <v>54554731.299999997</v>
      </c>
      <c r="K12" s="206">
        <v>118566270.058</v>
      </c>
      <c r="L12" s="206">
        <v>107393478.654</v>
      </c>
      <c r="M12" s="206">
        <v>267432102.73899999</v>
      </c>
      <c r="N12" s="590">
        <f t="shared" si="0"/>
        <v>688202192.2234</v>
      </c>
    </row>
    <row r="13" spans="1:15" s="204" customFormat="1" ht="34" customHeight="1">
      <c r="A13" s="196" t="s">
        <v>347</v>
      </c>
      <c r="B13" s="1109" t="s">
        <v>1087</v>
      </c>
      <c r="C13" s="206">
        <v>1309886.5559</v>
      </c>
      <c r="D13" s="206">
        <v>3657936.5589999999</v>
      </c>
      <c r="E13" s="206">
        <v>6567518.8770000003</v>
      </c>
      <c r="F13" s="206">
        <v>7868747.4879999999</v>
      </c>
      <c r="G13" s="206">
        <v>10289991.776000001</v>
      </c>
      <c r="H13" s="206">
        <v>12651957.808</v>
      </c>
      <c r="I13" s="206">
        <v>28498310.07</v>
      </c>
      <c r="J13" s="206">
        <v>25780924.471999999</v>
      </c>
      <c r="K13" s="206">
        <v>61407768.590999998</v>
      </c>
      <c r="L13" s="206">
        <v>52193467.487999998</v>
      </c>
      <c r="M13" s="206">
        <v>141595435.54899999</v>
      </c>
      <c r="N13" s="590">
        <f t="shared" si="0"/>
        <v>351821945.23390001</v>
      </c>
    </row>
    <row r="14" spans="1:15" s="204" customFormat="1" ht="17.149999999999999" customHeight="1">
      <c r="A14" s="196" t="s">
        <v>351</v>
      </c>
      <c r="B14" s="1109" t="s">
        <v>1088</v>
      </c>
      <c r="C14" s="206">
        <v>17614243.633299999</v>
      </c>
      <c r="D14" s="206">
        <v>42658920.751000002</v>
      </c>
      <c r="E14" s="206">
        <v>61260971.783</v>
      </c>
      <c r="F14" s="206">
        <v>75195171.687000006</v>
      </c>
      <c r="G14" s="206">
        <v>89988573.929000005</v>
      </c>
      <c r="H14" s="206">
        <v>102710594.263</v>
      </c>
      <c r="I14" s="206">
        <v>242376305.30900002</v>
      </c>
      <c r="J14" s="206">
        <v>321250352.48000002</v>
      </c>
      <c r="K14" s="206">
        <v>1169041351.402</v>
      </c>
      <c r="L14" s="206">
        <v>1296577160.948</v>
      </c>
      <c r="M14" s="206">
        <v>12726291052.322001</v>
      </c>
      <c r="N14" s="590">
        <f t="shared" si="0"/>
        <v>16144964698.507301</v>
      </c>
    </row>
    <row r="15" spans="1:15" s="204" customFormat="1" ht="17.149999999999999" customHeight="1">
      <c r="A15" s="196" t="s">
        <v>355</v>
      </c>
      <c r="B15" s="1109" t="s">
        <v>1089</v>
      </c>
      <c r="C15" s="206">
        <v>5670240.8470000001</v>
      </c>
      <c r="D15" s="206">
        <v>17474834.603</v>
      </c>
      <c r="E15" s="206">
        <v>28877235.535</v>
      </c>
      <c r="F15" s="206">
        <v>37758055.818000004</v>
      </c>
      <c r="G15" s="206">
        <v>45904384.423</v>
      </c>
      <c r="H15" s="206">
        <v>56127232.773999996</v>
      </c>
      <c r="I15" s="206">
        <v>133009795.11499999</v>
      </c>
      <c r="J15" s="206">
        <v>145664183.48019999</v>
      </c>
      <c r="K15" s="206">
        <v>349797233.56099999</v>
      </c>
      <c r="L15" s="206">
        <v>314431111.528</v>
      </c>
      <c r="M15" s="206">
        <v>982044388.33800006</v>
      </c>
      <c r="N15" s="590">
        <f t="shared" si="0"/>
        <v>2116758696.0221999</v>
      </c>
    </row>
    <row r="16" spans="1:15" s="204" customFormat="1" ht="17.149999999999999" customHeight="1">
      <c r="A16" s="196" t="s">
        <v>359</v>
      </c>
      <c r="B16" s="1109" t="s">
        <v>1090</v>
      </c>
      <c r="C16" s="206">
        <v>498160.27600000001</v>
      </c>
      <c r="D16" s="206">
        <v>1278369.923</v>
      </c>
      <c r="E16" s="206">
        <v>2133414.6230000001</v>
      </c>
      <c r="F16" s="206">
        <v>2594203.142</v>
      </c>
      <c r="G16" s="206">
        <v>3734818.71</v>
      </c>
      <c r="H16" s="206">
        <v>4429477.4730000002</v>
      </c>
      <c r="I16" s="206">
        <v>8131107.5879999995</v>
      </c>
      <c r="J16" s="206">
        <v>8859683.1270000003</v>
      </c>
      <c r="K16" s="206">
        <v>16527359.465</v>
      </c>
      <c r="L16" s="206">
        <v>14481114.331</v>
      </c>
      <c r="M16" s="206">
        <v>52230288.425999999</v>
      </c>
      <c r="N16" s="590">
        <f t="shared" si="0"/>
        <v>114897997.08399999</v>
      </c>
    </row>
    <row r="17" spans="1:14" s="204" customFormat="1" ht="17.149999999999999" customHeight="1">
      <c r="A17" s="196" t="s">
        <v>747</v>
      </c>
      <c r="B17" s="1109" t="s">
        <v>1091</v>
      </c>
      <c r="C17" s="206">
        <v>6387110.0460999999</v>
      </c>
      <c r="D17" s="206">
        <v>17510598.398000002</v>
      </c>
      <c r="E17" s="206">
        <v>27285249.765999995</v>
      </c>
      <c r="F17" s="206">
        <v>35914456.961000003</v>
      </c>
      <c r="G17" s="206">
        <v>47618886.842</v>
      </c>
      <c r="H17" s="206">
        <v>54947010.759000003</v>
      </c>
      <c r="I17" s="206">
        <v>126775308.127</v>
      </c>
      <c r="J17" s="206">
        <v>130052491.294</v>
      </c>
      <c r="K17" s="206">
        <v>312013647.66100001</v>
      </c>
      <c r="L17" s="206">
        <v>289031543.29500002</v>
      </c>
      <c r="M17" s="206">
        <v>1462883004.392</v>
      </c>
      <c r="N17" s="590">
        <f t="shared" si="0"/>
        <v>2510419307.5411</v>
      </c>
    </row>
    <row r="18" spans="1:14" s="204" customFormat="1" ht="34" customHeight="1">
      <c r="A18" s="196" t="s">
        <v>367</v>
      </c>
      <c r="B18" s="1109" t="s">
        <v>1092</v>
      </c>
      <c r="C18" s="206">
        <v>447418.99600000004</v>
      </c>
      <c r="D18" s="206">
        <v>1271121.9179999998</v>
      </c>
      <c r="E18" s="206">
        <v>2156261.662</v>
      </c>
      <c r="F18" s="206">
        <v>2909474.139</v>
      </c>
      <c r="G18" s="206">
        <v>3354960.8330000001</v>
      </c>
      <c r="H18" s="206">
        <v>4532544.3490000004</v>
      </c>
      <c r="I18" s="206">
        <v>9907316.2949999999</v>
      </c>
      <c r="J18" s="206">
        <v>10153851</v>
      </c>
      <c r="K18" s="206">
        <v>20429301.280000001</v>
      </c>
      <c r="L18" s="206">
        <v>19758382.530999999</v>
      </c>
      <c r="M18" s="206">
        <v>49350226.077</v>
      </c>
      <c r="N18" s="590">
        <f t="shared" si="0"/>
        <v>124270859.08000001</v>
      </c>
    </row>
    <row r="19" spans="1:14" s="204" customFormat="1" ht="17.149999999999999" customHeight="1">
      <c r="A19" s="196" t="s">
        <v>371</v>
      </c>
      <c r="B19" s="1109" t="s">
        <v>1093</v>
      </c>
      <c r="C19" s="206">
        <v>2651990.355</v>
      </c>
      <c r="D19" s="206">
        <v>7154687.4270000011</v>
      </c>
      <c r="E19" s="206">
        <v>10748832.924999999</v>
      </c>
      <c r="F19" s="206">
        <v>14137745.846999999</v>
      </c>
      <c r="G19" s="206">
        <v>16662178.747</v>
      </c>
      <c r="H19" s="206">
        <v>21429705.638999999</v>
      </c>
      <c r="I19" s="206">
        <v>52712586.870999999</v>
      </c>
      <c r="J19" s="206">
        <v>54992234.798999995</v>
      </c>
      <c r="K19" s="206">
        <v>135883219.14300001</v>
      </c>
      <c r="L19" s="206">
        <v>131430046.632</v>
      </c>
      <c r="M19" s="206">
        <v>612141586.52100003</v>
      </c>
      <c r="N19" s="590">
        <f t="shared" si="0"/>
        <v>1059944814.906</v>
      </c>
    </row>
    <row r="20" spans="1:14" s="204" customFormat="1" ht="17.149999999999999" customHeight="1">
      <c r="A20" s="196" t="s">
        <v>375</v>
      </c>
      <c r="B20" s="1109" t="s">
        <v>1094</v>
      </c>
      <c r="C20" s="206">
        <v>1395069.8840000001</v>
      </c>
      <c r="D20" s="206">
        <v>4179604.2060000002</v>
      </c>
      <c r="E20" s="206">
        <v>6862164.0959999999</v>
      </c>
      <c r="F20" s="206">
        <v>8855126.7060000002</v>
      </c>
      <c r="G20" s="206">
        <v>11046224.09</v>
      </c>
      <c r="H20" s="206">
        <v>12012508.106000001</v>
      </c>
      <c r="I20" s="206">
        <v>26502823.675999999</v>
      </c>
      <c r="J20" s="206">
        <v>24529152.961999997</v>
      </c>
      <c r="K20" s="206">
        <v>51014752.847000003</v>
      </c>
      <c r="L20" s="206">
        <v>31270077.210999999</v>
      </c>
      <c r="M20" s="206">
        <v>90419431.939999998</v>
      </c>
      <c r="N20" s="590">
        <f t="shared" si="0"/>
        <v>268086935.72400001</v>
      </c>
    </row>
    <row r="21" spans="1:14" s="204" customFormat="1" ht="17.149999999999999" customHeight="1">
      <c r="A21" s="196" t="s">
        <v>379</v>
      </c>
      <c r="B21" s="1109" t="s">
        <v>1095</v>
      </c>
      <c r="C21" s="206">
        <v>1247315.0969</v>
      </c>
      <c r="D21" s="206">
        <v>3850063.7690000003</v>
      </c>
      <c r="E21" s="206">
        <v>6954215.7690000003</v>
      </c>
      <c r="F21" s="206">
        <v>9093150.2980000004</v>
      </c>
      <c r="G21" s="206">
        <v>10158398.824999999</v>
      </c>
      <c r="H21" s="206">
        <v>11886352.481000001</v>
      </c>
      <c r="I21" s="206">
        <v>24478343.228</v>
      </c>
      <c r="J21" s="206">
        <v>22455651.269000001</v>
      </c>
      <c r="K21" s="206">
        <v>53071456.843000002</v>
      </c>
      <c r="L21" s="206">
        <v>41005117.684</v>
      </c>
      <c r="M21" s="206">
        <v>81642273.441</v>
      </c>
      <c r="N21" s="590">
        <f t="shared" si="0"/>
        <v>265842338.70389998</v>
      </c>
    </row>
    <row r="22" spans="1:14" s="204" customFormat="1" ht="17.149999999999999" customHeight="1">
      <c r="A22" s="196" t="s">
        <v>383</v>
      </c>
      <c r="B22" s="1109" t="s">
        <v>1096</v>
      </c>
      <c r="C22" s="206">
        <v>1197896.858</v>
      </c>
      <c r="D22" s="206">
        <v>3453638.3319999999</v>
      </c>
      <c r="E22" s="206">
        <v>5615844.5820000004</v>
      </c>
      <c r="F22" s="206">
        <v>7594341.9249999998</v>
      </c>
      <c r="G22" s="206">
        <v>10264239.336999999</v>
      </c>
      <c r="H22" s="206">
        <v>10938620.401000001</v>
      </c>
      <c r="I22" s="206">
        <v>30362410.343000002</v>
      </c>
      <c r="J22" s="206">
        <v>27096196.524999999</v>
      </c>
      <c r="K22" s="206">
        <v>48168283.990000002</v>
      </c>
      <c r="L22" s="206">
        <v>36536268.854999997</v>
      </c>
      <c r="M22" s="206">
        <v>95419177.277999997</v>
      </c>
      <c r="N22" s="590">
        <f t="shared" si="0"/>
        <v>276646918.426</v>
      </c>
    </row>
    <row r="23" spans="1:14" s="204" customFormat="1" ht="34" customHeight="1">
      <c r="A23" s="196" t="s">
        <v>387</v>
      </c>
      <c r="B23" s="1109" t="s">
        <v>1097</v>
      </c>
      <c r="C23" s="206">
        <v>4799878.233</v>
      </c>
      <c r="D23" s="206">
        <v>13604153.8138</v>
      </c>
      <c r="E23" s="206">
        <v>21790988.109999999</v>
      </c>
      <c r="F23" s="206">
        <v>28474781.477000002</v>
      </c>
      <c r="G23" s="206">
        <v>37795795.696999997</v>
      </c>
      <c r="H23" s="206">
        <v>42153744.494999997</v>
      </c>
      <c r="I23" s="206">
        <v>99042937.862000003</v>
      </c>
      <c r="J23" s="206">
        <v>95108620.199000001</v>
      </c>
      <c r="K23" s="206">
        <v>201917059.706</v>
      </c>
      <c r="L23" s="206">
        <v>173163002.62</v>
      </c>
      <c r="M23" s="206">
        <v>507363196.45099998</v>
      </c>
      <c r="N23" s="590">
        <f t="shared" si="0"/>
        <v>1225214158.6638</v>
      </c>
    </row>
    <row r="24" spans="1:14" s="204" customFormat="1" ht="17.149999999999999" customHeight="1">
      <c r="A24" s="196" t="s">
        <v>389</v>
      </c>
      <c r="B24" s="1109" t="s">
        <v>1098</v>
      </c>
      <c r="C24" s="206">
        <v>2105093.2769999998</v>
      </c>
      <c r="D24" s="206">
        <v>6752541.4100000001</v>
      </c>
      <c r="E24" s="206">
        <v>10429320.52</v>
      </c>
      <c r="F24" s="206">
        <v>13861354.566</v>
      </c>
      <c r="G24" s="206">
        <v>17930058.116</v>
      </c>
      <c r="H24" s="206">
        <v>20025641.245000001</v>
      </c>
      <c r="I24" s="206">
        <v>51880962.553000003</v>
      </c>
      <c r="J24" s="206">
        <v>59471029.336999997</v>
      </c>
      <c r="K24" s="206">
        <v>140176609.51499999</v>
      </c>
      <c r="L24" s="206">
        <v>127313596.87800001</v>
      </c>
      <c r="M24" s="206">
        <v>334226288.94199997</v>
      </c>
      <c r="N24" s="590">
        <f t="shared" si="0"/>
        <v>784172496.35899997</v>
      </c>
    </row>
    <row r="25" spans="1:14" s="204" customFormat="1" ht="17.149999999999999" customHeight="1">
      <c r="A25" s="196" t="s">
        <v>392</v>
      </c>
      <c r="B25" s="1109" t="s">
        <v>1099</v>
      </c>
      <c r="C25" s="206">
        <v>2924749.3470000001</v>
      </c>
      <c r="D25" s="206">
        <v>8076352.0950000007</v>
      </c>
      <c r="E25" s="206">
        <v>12595198.759999998</v>
      </c>
      <c r="F25" s="206">
        <v>17261714.037999999</v>
      </c>
      <c r="G25" s="206">
        <v>22572952.063999999</v>
      </c>
      <c r="H25" s="206">
        <v>23521244.916999999</v>
      </c>
      <c r="I25" s="206">
        <v>48132257.306000002</v>
      </c>
      <c r="J25" s="206">
        <v>45399224.260000005</v>
      </c>
      <c r="K25" s="206">
        <v>100516555.68700001</v>
      </c>
      <c r="L25" s="206">
        <v>75752362.408000007</v>
      </c>
      <c r="M25" s="206">
        <v>153081744.56400001</v>
      </c>
      <c r="N25" s="590">
        <f t="shared" si="0"/>
        <v>509834355.44599998</v>
      </c>
    </row>
    <row r="26" spans="1:14" s="204" customFormat="1" ht="17.149999999999999" customHeight="1">
      <c r="A26" s="196" t="s">
        <v>395</v>
      </c>
      <c r="B26" s="1109" t="s">
        <v>1100</v>
      </c>
      <c r="C26" s="206">
        <v>512465.022</v>
      </c>
      <c r="D26" s="206">
        <v>1379360.693</v>
      </c>
      <c r="E26" s="206">
        <v>2909016.7879999997</v>
      </c>
      <c r="F26" s="206">
        <v>3741901.6460000002</v>
      </c>
      <c r="G26" s="206">
        <v>4685978.9709999999</v>
      </c>
      <c r="H26" s="206">
        <v>6184602.0880000005</v>
      </c>
      <c r="I26" s="206">
        <v>14298301.684</v>
      </c>
      <c r="J26" s="206">
        <v>12872343.874</v>
      </c>
      <c r="K26" s="206">
        <v>29712732.374000002</v>
      </c>
      <c r="L26" s="206">
        <v>25124260.441</v>
      </c>
      <c r="M26" s="206">
        <v>125118749.955</v>
      </c>
      <c r="N26" s="590">
        <f t="shared" si="0"/>
        <v>226539713.53600001</v>
      </c>
    </row>
    <row r="27" spans="1:14" s="204" customFormat="1" ht="17.149999999999999" customHeight="1">
      <c r="A27" s="196" t="s">
        <v>398</v>
      </c>
      <c r="B27" s="1109" t="s">
        <v>1101</v>
      </c>
      <c r="C27" s="206">
        <v>1097731.96</v>
      </c>
      <c r="D27" s="206">
        <v>2652250.8629999999</v>
      </c>
      <c r="E27" s="206">
        <v>4982831.5380000006</v>
      </c>
      <c r="F27" s="206">
        <v>6915318.7920000004</v>
      </c>
      <c r="G27" s="206">
        <v>8204808.2929999996</v>
      </c>
      <c r="H27" s="206">
        <v>9640830.5649999995</v>
      </c>
      <c r="I27" s="206">
        <v>21951185.859999999</v>
      </c>
      <c r="J27" s="206">
        <v>19337895.217</v>
      </c>
      <c r="K27" s="206">
        <v>40443157.152999997</v>
      </c>
      <c r="L27" s="206">
        <v>28196908.838</v>
      </c>
      <c r="M27" s="206">
        <v>71779320.388999999</v>
      </c>
      <c r="N27" s="590">
        <f t="shared" si="0"/>
        <v>215202239.46799999</v>
      </c>
    </row>
    <row r="28" spans="1:14" s="204" customFormat="1" ht="34" customHeight="1">
      <c r="A28" s="196" t="s">
        <v>400</v>
      </c>
      <c r="B28" s="1109" t="s">
        <v>1102</v>
      </c>
      <c r="C28" s="206">
        <v>28201247.781200003</v>
      </c>
      <c r="D28" s="206">
        <v>74588514.437999994</v>
      </c>
      <c r="E28" s="206">
        <v>116958094.419</v>
      </c>
      <c r="F28" s="206">
        <v>154117241.93900001</v>
      </c>
      <c r="G28" s="206">
        <v>179519691.66499999</v>
      </c>
      <c r="H28" s="206">
        <v>218956385.19800001</v>
      </c>
      <c r="I28" s="206">
        <v>557070039.505</v>
      </c>
      <c r="J28" s="206">
        <v>627944190.14699996</v>
      </c>
      <c r="K28" s="206">
        <v>1489470920.125</v>
      </c>
      <c r="L28" s="206">
        <v>1383469100.181</v>
      </c>
      <c r="M28" s="206">
        <v>8018286194.3959999</v>
      </c>
      <c r="N28" s="590">
        <f t="shared" si="0"/>
        <v>12848581619.794201</v>
      </c>
    </row>
    <row r="29" spans="1:14" s="204" customFormat="1" ht="17.149999999999999" customHeight="1">
      <c r="A29" s="196" t="s">
        <v>403</v>
      </c>
      <c r="B29" s="1109" t="s">
        <v>1103</v>
      </c>
      <c r="C29" s="206">
        <v>1301833.4109999998</v>
      </c>
      <c r="D29" s="206">
        <v>3237463.4279999998</v>
      </c>
      <c r="E29" s="206">
        <v>4907599.125</v>
      </c>
      <c r="F29" s="206">
        <v>5595187.0659999996</v>
      </c>
      <c r="G29" s="206">
        <v>7458535.9979999997</v>
      </c>
      <c r="H29" s="206">
        <v>8316316.801</v>
      </c>
      <c r="I29" s="206">
        <v>22465665.200999998</v>
      </c>
      <c r="J29" s="206">
        <v>23744982.082000002</v>
      </c>
      <c r="K29" s="206">
        <v>60824542.695</v>
      </c>
      <c r="L29" s="206">
        <v>58588941.916000001</v>
      </c>
      <c r="M29" s="206">
        <v>430138917.41600001</v>
      </c>
      <c r="N29" s="590">
        <f t="shared" si="0"/>
        <v>626579985.13899994</v>
      </c>
    </row>
    <row r="30" spans="1:14" s="204" customFormat="1" ht="17.149999999999999" customHeight="1">
      <c r="A30" s="196" t="s">
        <v>405</v>
      </c>
      <c r="B30" s="1109" t="s">
        <v>1104</v>
      </c>
      <c r="C30" s="206">
        <v>396926.647</v>
      </c>
      <c r="D30" s="206">
        <v>1056965.1440000001</v>
      </c>
      <c r="E30" s="206">
        <v>1824706.7009999999</v>
      </c>
      <c r="F30" s="206">
        <v>2900160</v>
      </c>
      <c r="G30" s="206">
        <v>3065308.98</v>
      </c>
      <c r="H30" s="206">
        <v>4387771.4040000001</v>
      </c>
      <c r="I30" s="206">
        <v>9385399.118999999</v>
      </c>
      <c r="J30" s="206">
        <v>9055657.5539999995</v>
      </c>
      <c r="K30" s="206">
        <v>20930528.100000001</v>
      </c>
      <c r="L30" s="206">
        <v>16474372.137</v>
      </c>
      <c r="M30" s="206">
        <v>46204742.501000002</v>
      </c>
      <c r="N30" s="590">
        <f t="shared" si="0"/>
        <v>115682538.287</v>
      </c>
    </row>
    <row r="31" spans="1:14" s="204" customFormat="1" ht="17.149999999999999" customHeight="1">
      <c r="A31" s="196" t="s">
        <v>408</v>
      </c>
      <c r="B31" s="1109" t="s">
        <v>1105</v>
      </c>
      <c r="C31" s="206">
        <v>3995341.8759999992</v>
      </c>
      <c r="D31" s="206">
        <v>10613682.237</v>
      </c>
      <c r="E31" s="206">
        <v>17545128.751999997</v>
      </c>
      <c r="F31" s="206">
        <v>24308337.888999999</v>
      </c>
      <c r="G31" s="206">
        <v>28884290.013999999</v>
      </c>
      <c r="H31" s="206">
        <v>34495095.325000003</v>
      </c>
      <c r="I31" s="206">
        <v>79613503.923000008</v>
      </c>
      <c r="J31" s="206">
        <v>86425057.567000002</v>
      </c>
      <c r="K31" s="206">
        <v>201623405.63100001</v>
      </c>
      <c r="L31" s="206">
        <v>191239859.94400001</v>
      </c>
      <c r="M31" s="206">
        <v>874286196.91700006</v>
      </c>
      <c r="N31" s="590">
        <f t="shared" si="0"/>
        <v>1553029900.075</v>
      </c>
    </row>
    <row r="32" spans="1:14" s="204" customFormat="1" ht="17.149999999999999" customHeight="1">
      <c r="A32" s="196" t="s">
        <v>411</v>
      </c>
      <c r="B32" s="1109" t="s">
        <v>1106</v>
      </c>
      <c r="C32" s="206">
        <v>837513.75200000009</v>
      </c>
      <c r="D32" s="206">
        <v>2389022.2089999998</v>
      </c>
      <c r="E32" s="206">
        <v>4269709.9739999995</v>
      </c>
      <c r="F32" s="206">
        <v>5058043.6140000001</v>
      </c>
      <c r="G32" s="206">
        <v>6063877.2340000002</v>
      </c>
      <c r="H32" s="206">
        <v>8970625.9539999999</v>
      </c>
      <c r="I32" s="206">
        <v>20377349.337000001</v>
      </c>
      <c r="J32" s="206">
        <v>19234598.545000002</v>
      </c>
      <c r="K32" s="206">
        <v>34787262.267999999</v>
      </c>
      <c r="L32" s="206">
        <v>25759877.515999999</v>
      </c>
      <c r="M32" s="206">
        <v>59280054.340000004</v>
      </c>
      <c r="N32" s="590">
        <f t="shared" si="0"/>
        <v>187027934.743</v>
      </c>
    </row>
    <row r="33" spans="1:14" s="204" customFormat="1" ht="34" customHeight="1">
      <c r="A33" s="196" t="s">
        <v>414</v>
      </c>
      <c r="B33" s="1109" t="s">
        <v>1107</v>
      </c>
      <c r="C33" s="206">
        <v>967155.78600000008</v>
      </c>
      <c r="D33" s="206">
        <v>3109376.915</v>
      </c>
      <c r="E33" s="206">
        <v>4811052.2039999999</v>
      </c>
      <c r="F33" s="206">
        <v>6733666.7640000004</v>
      </c>
      <c r="G33" s="206">
        <v>7261629.9210000001</v>
      </c>
      <c r="H33" s="206">
        <v>9101714.1079999991</v>
      </c>
      <c r="I33" s="206">
        <v>19317329.344999999</v>
      </c>
      <c r="J33" s="206">
        <v>15810716.879000001</v>
      </c>
      <c r="K33" s="206">
        <v>38797561.288999997</v>
      </c>
      <c r="L33" s="206">
        <v>32784681.884</v>
      </c>
      <c r="M33" s="206">
        <v>51360459.059</v>
      </c>
      <c r="N33" s="590">
        <f t="shared" si="0"/>
        <v>190055344.15399998</v>
      </c>
    </row>
    <row r="34" spans="1:14" s="204" customFormat="1" ht="17.149999999999999" customHeight="1">
      <c r="A34" s="196" t="s">
        <v>417</v>
      </c>
      <c r="B34" s="1109" t="s">
        <v>1108</v>
      </c>
      <c r="C34" s="206">
        <v>1963651.1659999997</v>
      </c>
      <c r="D34" s="206">
        <v>5863138.4029999999</v>
      </c>
      <c r="E34" s="206">
        <v>9504754.1099999994</v>
      </c>
      <c r="F34" s="206">
        <v>15435710.783</v>
      </c>
      <c r="G34" s="206">
        <v>16441650.097999999</v>
      </c>
      <c r="H34" s="206">
        <v>22107074.958999999</v>
      </c>
      <c r="I34" s="206">
        <v>51983831.658999994</v>
      </c>
      <c r="J34" s="206">
        <v>51041202.921999998</v>
      </c>
      <c r="K34" s="206">
        <v>118333245.236</v>
      </c>
      <c r="L34" s="206">
        <v>102346365.17299999</v>
      </c>
      <c r="M34" s="206">
        <v>262909736.55700001</v>
      </c>
      <c r="N34" s="590">
        <f t="shared" si="0"/>
        <v>657930361.06599998</v>
      </c>
    </row>
    <row r="35" spans="1:14" s="204" customFormat="1" ht="17.149999999999999" customHeight="1">
      <c r="A35" s="196" t="s">
        <v>420</v>
      </c>
      <c r="B35" s="1109" t="s">
        <v>1109</v>
      </c>
      <c r="C35" s="206">
        <v>1024502.845</v>
      </c>
      <c r="D35" s="206">
        <v>2860104.8739999998</v>
      </c>
      <c r="E35" s="206">
        <v>4464937.1579999998</v>
      </c>
      <c r="F35" s="206">
        <v>5980050.1310000001</v>
      </c>
      <c r="G35" s="206">
        <v>7142213.0219999999</v>
      </c>
      <c r="H35" s="206">
        <v>9558495.5739999991</v>
      </c>
      <c r="I35" s="206">
        <v>21253470.502999999</v>
      </c>
      <c r="J35" s="206">
        <v>20536620.912999999</v>
      </c>
      <c r="K35" s="206">
        <v>42980272.825000003</v>
      </c>
      <c r="L35" s="206">
        <v>31378236.754000001</v>
      </c>
      <c r="M35" s="206">
        <v>106168843.163</v>
      </c>
      <c r="N35" s="590">
        <f t="shared" si="0"/>
        <v>253347747.76200002</v>
      </c>
    </row>
    <row r="36" spans="1:14" s="204" customFormat="1" ht="17.149999999999999" customHeight="1">
      <c r="A36" s="197" t="s">
        <v>748</v>
      </c>
      <c r="B36" s="1088" t="s">
        <v>1110</v>
      </c>
      <c r="C36" s="206">
        <v>93925090.085800007</v>
      </c>
      <c r="D36" s="206">
        <v>222350587.942</v>
      </c>
      <c r="E36" s="206">
        <v>324265024.49800003</v>
      </c>
      <c r="F36" s="206">
        <v>382819827.24110001</v>
      </c>
      <c r="G36" s="206">
        <v>444649070.55299997</v>
      </c>
      <c r="H36" s="206">
        <v>500712139.79900002</v>
      </c>
      <c r="I36" s="206">
        <v>1150649126.2490001</v>
      </c>
      <c r="J36" s="206">
        <v>1322635586.7940001</v>
      </c>
      <c r="K36" s="206">
        <v>3876478629.5999999</v>
      </c>
      <c r="L36" s="206">
        <v>4268155376.5436001</v>
      </c>
      <c r="M36" s="206">
        <v>55531315795.211998</v>
      </c>
      <c r="N36" s="590">
        <f t="shared" si="0"/>
        <v>68117956254.517502</v>
      </c>
    </row>
    <row r="37" spans="1:14" s="204" customFormat="1" ht="17.149999999999999" customHeight="1">
      <c r="A37" s="197" t="s">
        <v>426</v>
      </c>
      <c r="B37" s="1088" t="s">
        <v>1111</v>
      </c>
      <c r="C37" s="207">
        <v>5161326.7880000006</v>
      </c>
      <c r="D37" s="207">
        <v>14474077.471000001</v>
      </c>
      <c r="E37" s="207">
        <v>21606913.844999999</v>
      </c>
      <c r="F37" s="207">
        <v>26218883.855</v>
      </c>
      <c r="G37" s="207">
        <v>33483749.605</v>
      </c>
      <c r="H37" s="207">
        <v>37128306.348999999</v>
      </c>
      <c r="I37" s="207">
        <v>90029276.493999988</v>
      </c>
      <c r="J37" s="207">
        <v>100756257.56200001</v>
      </c>
      <c r="K37" s="207">
        <v>271769613.09299999</v>
      </c>
      <c r="L37" s="207">
        <v>280099874.53899997</v>
      </c>
      <c r="M37" s="207">
        <v>2819802066.52</v>
      </c>
      <c r="N37" s="590">
        <f t="shared" si="0"/>
        <v>3700530346.1210003</v>
      </c>
    </row>
    <row r="38" spans="1:14" s="204" customFormat="1" ht="34" customHeight="1">
      <c r="A38" s="196" t="s">
        <v>429</v>
      </c>
      <c r="B38" s="1109" t="s">
        <v>1112</v>
      </c>
      <c r="C38" s="171">
        <v>1334786.7959999999</v>
      </c>
      <c r="D38" s="171">
        <v>3835477.8049999997</v>
      </c>
      <c r="E38" s="171">
        <v>6086325.0699999994</v>
      </c>
      <c r="F38" s="171">
        <v>7433303.085</v>
      </c>
      <c r="G38" s="171">
        <v>9450296.9289999995</v>
      </c>
      <c r="H38" s="171">
        <v>11351222.676000001</v>
      </c>
      <c r="I38" s="171">
        <v>25909543.325999998</v>
      </c>
      <c r="J38" s="171">
        <v>26028029.447000001</v>
      </c>
      <c r="K38" s="171">
        <v>57329136.618000001</v>
      </c>
      <c r="L38" s="171">
        <v>52636524</v>
      </c>
      <c r="M38" s="171">
        <v>138638935.81900001</v>
      </c>
      <c r="N38" s="272">
        <f t="shared" si="0"/>
        <v>340033581.57099998</v>
      </c>
    </row>
    <row r="39" spans="1:14" s="204" customFormat="1" ht="17.149999999999999" customHeight="1">
      <c r="A39" s="196" t="s">
        <v>431</v>
      </c>
      <c r="B39" s="1109" t="s">
        <v>1113</v>
      </c>
      <c r="C39" s="206">
        <v>1808442.0689999999</v>
      </c>
      <c r="D39" s="206">
        <v>5351112.318</v>
      </c>
      <c r="E39" s="206">
        <v>8159571.5370000005</v>
      </c>
      <c r="F39" s="206">
        <v>11066738.562999999</v>
      </c>
      <c r="G39" s="206">
        <v>14616236.307</v>
      </c>
      <c r="H39" s="206">
        <v>17338006.991</v>
      </c>
      <c r="I39" s="206">
        <v>43978326.050999999</v>
      </c>
      <c r="J39" s="206">
        <v>50802740.159000002</v>
      </c>
      <c r="K39" s="206">
        <v>115046761.711</v>
      </c>
      <c r="L39" s="206">
        <v>113927427.12</v>
      </c>
      <c r="M39" s="206">
        <v>374214153.70099998</v>
      </c>
      <c r="N39" s="590">
        <f t="shared" si="0"/>
        <v>756309516.52699995</v>
      </c>
    </row>
    <row r="40" spans="1:14" s="204" customFormat="1" ht="17.149999999999999" customHeight="1">
      <c r="A40" s="196" t="s">
        <v>434</v>
      </c>
      <c r="B40" s="1109" t="s">
        <v>1114</v>
      </c>
      <c r="C40" s="206">
        <v>4498524.5109999999</v>
      </c>
      <c r="D40" s="206">
        <v>12422894.247000001</v>
      </c>
      <c r="E40" s="206">
        <v>20207362.554000001</v>
      </c>
      <c r="F40" s="206">
        <v>26206696.750999998</v>
      </c>
      <c r="G40" s="206">
        <v>33945709.908</v>
      </c>
      <c r="H40" s="206">
        <v>42248330.601000004</v>
      </c>
      <c r="I40" s="206">
        <v>98443860.129000008</v>
      </c>
      <c r="J40" s="206">
        <v>91546525.843999997</v>
      </c>
      <c r="K40" s="206">
        <v>203828765.82600001</v>
      </c>
      <c r="L40" s="206">
        <v>166635801.058</v>
      </c>
      <c r="M40" s="206">
        <v>667864271.27400005</v>
      </c>
      <c r="N40" s="590">
        <f t="shared" si="0"/>
        <v>1367848742.7030001</v>
      </c>
    </row>
    <row r="41" spans="1:14" s="204" customFormat="1" ht="17.149999999999999" customHeight="1">
      <c r="A41" s="196" t="s">
        <v>436</v>
      </c>
      <c r="B41" s="1109" t="s">
        <v>1115</v>
      </c>
      <c r="C41" s="206">
        <v>7564556.0719999997</v>
      </c>
      <c r="D41" s="206">
        <v>20420132.814000003</v>
      </c>
      <c r="E41" s="206">
        <v>32058148.956000004</v>
      </c>
      <c r="F41" s="206">
        <v>41129619.766999997</v>
      </c>
      <c r="G41" s="206">
        <v>50496023.395999998</v>
      </c>
      <c r="H41" s="206">
        <v>60666877.792000003</v>
      </c>
      <c r="I41" s="206">
        <v>146783736.45899999</v>
      </c>
      <c r="J41" s="206">
        <v>161837447.7868</v>
      </c>
      <c r="K41" s="206">
        <v>394346833.48199999</v>
      </c>
      <c r="L41" s="206">
        <v>384545555.111</v>
      </c>
      <c r="M41" s="206">
        <v>1804236663.323</v>
      </c>
      <c r="N41" s="590">
        <f t="shared" si="0"/>
        <v>3104085594.9587998</v>
      </c>
    </row>
    <row r="42" spans="1:14" s="204" customFormat="1" ht="17.149999999999999" customHeight="1">
      <c r="A42" s="196" t="s">
        <v>439</v>
      </c>
      <c r="B42" s="1109" t="s">
        <v>1116</v>
      </c>
      <c r="C42" s="206">
        <v>1302470.1969999999</v>
      </c>
      <c r="D42" s="206">
        <v>4177010.7620000001</v>
      </c>
      <c r="E42" s="206">
        <v>6353794.3119999999</v>
      </c>
      <c r="F42" s="206">
        <v>9117798.8300000001</v>
      </c>
      <c r="G42" s="206">
        <v>12273206.425000001</v>
      </c>
      <c r="H42" s="206">
        <v>12709733.380000001</v>
      </c>
      <c r="I42" s="206">
        <v>30080792.273000002</v>
      </c>
      <c r="J42" s="206">
        <v>29386381.192000002</v>
      </c>
      <c r="K42" s="206">
        <v>68798252.317000002</v>
      </c>
      <c r="L42" s="206">
        <v>55709876.174999997</v>
      </c>
      <c r="M42" s="206">
        <v>130101872.061</v>
      </c>
      <c r="N42" s="590">
        <f t="shared" si="0"/>
        <v>360011187.92400002</v>
      </c>
    </row>
    <row r="43" spans="1:14" ht="18">
      <c r="A43" s="208" t="s">
        <v>606</v>
      </c>
      <c r="B43" s="1126"/>
      <c r="C43" s="209"/>
      <c r="D43" s="209"/>
      <c r="E43" s="209"/>
      <c r="F43" s="209"/>
      <c r="G43" s="209"/>
      <c r="H43" s="209"/>
      <c r="I43" s="209"/>
      <c r="J43" s="209"/>
      <c r="K43" s="209"/>
      <c r="L43" s="209"/>
      <c r="M43" s="209"/>
      <c r="N43" s="591"/>
    </row>
    <row r="44" spans="1:14" ht="17.149999999999999" customHeight="1">
      <c r="A44" s="201" t="s">
        <v>604</v>
      </c>
      <c r="B44" s="1124"/>
      <c r="C44" s="200"/>
      <c r="D44" s="200"/>
      <c r="E44" s="200"/>
      <c r="F44" s="200"/>
      <c r="G44" s="200"/>
      <c r="H44" s="200"/>
      <c r="I44" s="200"/>
      <c r="J44" s="200"/>
      <c r="K44" s="200"/>
      <c r="L44" s="200"/>
      <c r="M44" s="200"/>
      <c r="N44" s="592"/>
    </row>
    <row r="45" spans="1:14" ht="17.149999999999999" customHeight="1">
      <c r="A45" s="202" t="str">
        <f>A3</f>
        <v>Taxable Year 2020</v>
      </c>
      <c r="B45" s="1125"/>
      <c r="C45" s="200"/>
      <c r="D45" s="200"/>
      <c r="E45" s="200"/>
      <c r="F45" s="200"/>
      <c r="G45" s="200"/>
      <c r="H45" s="200"/>
      <c r="I45" s="200"/>
      <c r="J45" s="200"/>
      <c r="K45" s="200"/>
      <c r="L45" s="200"/>
      <c r="M45" s="200"/>
      <c r="N45" s="592"/>
    </row>
    <row r="46" spans="1:14" ht="2" customHeight="1">
      <c r="C46" s="210">
        <f t="shared" ref="C46:N46" si="1">SUM(C8:C37)</f>
        <v>206450895.2096</v>
      </c>
      <c r="D46" s="210">
        <f t="shared" si="1"/>
        <v>522045162.01580006</v>
      </c>
      <c r="E46" s="210">
        <f t="shared" si="1"/>
        <v>794369801.87599993</v>
      </c>
      <c r="F46" s="210">
        <f t="shared" si="1"/>
        <v>997587342.78010011</v>
      </c>
      <c r="G46" s="210">
        <f t="shared" si="1"/>
        <v>1195900159.5569</v>
      </c>
      <c r="H46" s="210">
        <f t="shared" si="1"/>
        <v>1394668417.8730001</v>
      </c>
      <c r="I46" s="210">
        <f t="shared" si="1"/>
        <v>3279951718.4165001</v>
      </c>
      <c r="J46" s="210">
        <f t="shared" si="1"/>
        <v>3615290954.7282</v>
      </c>
      <c r="K46" s="210">
        <f t="shared" si="1"/>
        <v>9654067801.2069988</v>
      </c>
      <c r="L46" s="210">
        <f t="shared" si="1"/>
        <v>9713516522.0016003</v>
      </c>
      <c r="M46" s="210">
        <f t="shared" si="1"/>
        <v>90800347116.798996</v>
      </c>
      <c r="N46" s="593">
        <f t="shared" si="1"/>
        <v>122174195892.4637</v>
      </c>
    </row>
    <row r="47" spans="1:14" s="204" customFormat="1" ht="2" customHeight="1">
      <c r="A47" s="202"/>
      <c r="B47" s="1125"/>
      <c r="C47" s="199"/>
      <c r="D47" s="203"/>
      <c r="E47" s="203"/>
      <c r="F47" s="203"/>
      <c r="G47" s="203"/>
      <c r="H47" s="203"/>
      <c r="I47" s="203"/>
      <c r="J47" s="203"/>
      <c r="K47" s="203"/>
      <c r="L47" s="203"/>
      <c r="M47" s="203"/>
      <c r="N47" s="1116"/>
    </row>
    <row r="48" spans="1:14" s="204" customFormat="1" ht="2" customHeight="1" thickBot="1">
      <c r="A48" s="201"/>
      <c r="B48" s="1124"/>
      <c r="C48" s="199"/>
      <c r="D48" s="1117"/>
      <c r="E48" s="1117"/>
      <c r="F48" s="1117"/>
      <c r="G48" s="1117"/>
      <c r="H48" s="1117"/>
      <c r="I48" s="1117"/>
      <c r="J48" s="1117"/>
      <c r="K48" s="1117"/>
      <c r="L48" s="1117"/>
      <c r="M48" s="1117"/>
      <c r="N48" s="1118"/>
    </row>
    <row r="49" spans="1:14" s="204" customFormat="1" ht="26">
      <c r="A49" s="1120" t="s">
        <v>21</v>
      </c>
      <c r="B49" s="1122" t="s">
        <v>963</v>
      </c>
      <c r="C49" s="1121" t="s">
        <v>605</v>
      </c>
      <c r="D49" s="1119" t="s">
        <v>1220</v>
      </c>
      <c r="E49" s="1119" t="s">
        <v>1221</v>
      </c>
      <c r="F49" s="1119" t="s">
        <v>1222</v>
      </c>
      <c r="G49" s="1119" t="s">
        <v>1223</v>
      </c>
      <c r="H49" s="1119" t="s">
        <v>1224</v>
      </c>
      <c r="I49" s="1119" t="s">
        <v>1225</v>
      </c>
      <c r="J49" s="1119" t="s">
        <v>1226</v>
      </c>
      <c r="K49" s="1119" t="s">
        <v>1227</v>
      </c>
      <c r="L49" s="1119" t="s">
        <v>1228</v>
      </c>
      <c r="M49" s="1119" t="s">
        <v>1229</v>
      </c>
      <c r="N49" s="1119" t="s">
        <v>1230</v>
      </c>
    </row>
    <row r="50" spans="1:14" s="204" customFormat="1" ht="34" customHeight="1">
      <c r="A50" s="196" t="s">
        <v>442</v>
      </c>
      <c r="B50" s="1109" t="s">
        <v>1117</v>
      </c>
      <c r="C50" s="206">
        <v>2740695.7930000001</v>
      </c>
      <c r="D50" s="206">
        <v>8073660.9730000002</v>
      </c>
      <c r="E50" s="206">
        <v>13281227.437999999</v>
      </c>
      <c r="F50" s="206">
        <v>18235243.215</v>
      </c>
      <c r="G50" s="206">
        <v>23492878.210999999</v>
      </c>
      <c r="H50" s="206">
        <v>26684715.103</v>
      </c>
      <c r="I50" s="206">
        <v>63402856.658000007</v>
      </c>
      <c r="J50" s="206">
        <v>66903285.129999995</v>
      </c>
      <c r="K50" s="206">
        <v>169027682.498</v>
      </c>
      <c r="L50" s="206">
        <v>150816805.38800001</v>
      </c>
      <c r="M50" s="206">
        <v>550150515.66299999</v>
      </c>
      <c r="N50" s="590">
        <f t="shared" ref="N50:N84" si="2">SUM(C50:M50)</f>
        <v>1092809566.0700002</v>
      </c>
    </row>
    <row r="51" spans="1:14" s="204" customFormat="1" ht="17.149999999999999" customHeight="1">
      <c r="A51" s="196" t="s">
        <v>444</v>
      </c>
      <c r="B51" s="1109" t="s">
        <v>1118</v>
      </c>
      <c r="C51" s="206">
        <v>1803417.5039999997</v>
      </c>
      <c r="D51" s="206">
        <v>4763792.1359999999</v>
      </c>
      <c r="E51" s="206">
        <v>6573545.2489999998</v>
      </c>
      <c r="F51" s="206">
        <v>8822205.0859999992</v>
      </c>
      <c r="G51" s="206">
        <v>10122459.723999999</v>
      </c>
      <c r="H51" s="206">
        <v>12788906.115</v>
      </c>
      <c r="I51" s="206">
        <v>32112180.127999999</v>
      </c>
      <c r="J51" s="206">
        <v>36230151.408</v>
      </c>
      <c r="K51" s="206">
        <v>91688415.597000003</v>
      </c>
      <c r="L51" s="206">
        <v>98503726.711999997</v>
      </c>
      <c r="M51" s="206">
        <v>1344994684.8800001</v>
      </c>
      <c r="N51" s="590">
        <f t="shared" si="2"/>
        <v>1648403484.539</v>
      </c>
    </row>
    <row r="52" spans="1:14" s="204" customFormat="1" ht="17.149999999999999" customHeight="1">
      <c r="A52" s="196" t="s">
        <v>446</v>
      </c>
      <c r="B52" s="1109" t="s">
        <v>1119</v>
      </c>
      <c r="C52" s="206">
        <v>1531578.6430000002</v>
      </c>
      <c r="D52" s="206">
        <v>4134945.6179999998</v>
      </c>
      <c r="E52" s="206">
        <v>6746790.3450000007</v>
      </c>
      <c r="F52" s="206">
        <v>8720747.7719999999</v>
      </c>
      <c r="G52" s="206">
        <v>10523046.812999999</v>
      </c>
      <c r="H52" s="206">
        <v>13576663.73</v>
      </c>
      <c r="I52" s="206">
        <v>26735242.995999999</v>
      </c>
      <c r="J52" s="206">
        <v>25612213.370999999</v>
      </c>
      <c r="K52" s="206">
        <v>51124305.332000002</v>
      </c>
      <c r="L52" s="206">
        <v>34868544.556000002</v>
      </c>
      <c r="M52" s="206">
        <v>69063457.187000006</v>
      </c>
      <c r="N52" s="590">
        <f t="shared" si="2"/>
        <v>252637536.36300001</v>
      </c>
    </row>
    <row r="53" spans="1:14" s="204" customFormat="1" ht="17.149999999999999" customHeight="1">
      <c r="A53" s="196" t="s">
        <v>449</v>
      </c>
      <c r="B53" s="1109" t="s">
        <v>1120</v>
      </c>
      <c r="C53" s="206">
        <v>1445285.084</v>
      </c>
      <c r="D53" s="206">
        <v>4144812.9409999996</v>
      </c>
      <c r="E53" s="206">
        <v>6197273.9649999999</v>
      </c>
      <c r="F53" s="206">
        <v>9922217.3900000006</v>
      </c>
      <c r="G53" s="206">
        <v>11398971.926999999</v>
      </c>
      <c r="H53" s="206">
        <v>14804212.829</v>
      </c>
      <c r="I53" s="206">
        <v>35622853.957000002</v>
      </c>
      <c r="J53" s="206">
        <v>35956324.593000002</v>
      </c>
      <c r="K53" s="206">
        <v>78884884.005999997</v>
      </c>
      <c r="L53" s="206">
        <v>79333663.206</v>
      </c>
      <c r="M53" s="206">
        <v>254236816.45199999</v>
      </c>
      <c r="N53" s="590">
        <f t="shared" si="2"/>
        <v>531947316.35000002</v>
      </c>
    </row>
    <row r="54" spans="1:14" s="204" customFormat="1" ht="17.149999999999999" customHeight="1">
      <c r="A54" s="196" t="s">
        <v>452</v>
      </c>
      <c r="B54" s="1109" t="s">
        <v>1121</v>
      </c>
      <c r="C54" s="206">
        <v>1192338.3589999999</v>
      </c>
      <c r="D54" s="206">
        <v>3430652.2810000004</v>
      </c>
      <c r="E54" s="206">
        <v>5190858.7229999993</v>
      </c>
      <c r="F54" s="206">
        <v>7061652.4670000002</v>
      </c>
      <c r="G54" s="206">
        <v>8076586.1140000001</v>
      </c>
      <c r="H54" s="206">
        <v>9757267.3660000004</v>
      </c>
      <c r="I54" s="206">
        <v>22710830.906999998</v>
      </c>
      <c r="J54" s="206">
        <v>23796919.039999999</v>
      </c>
      <c r="K54" s="206">
        <v>39326490.119999997</v>
      </c>
      <c r="L54" s="206">
        <v>26340254.030000001</v>
      </c>
      <c r="M54" s="206">
        <v>61571908.420000002</v>
      </c>
      <c r="N54" s="590">
        <f t="shared" si="2"/>
        <v>208455757.82700002</v>
      </c>
    </row>
    <row r="55" spans="1:14" s="204" customFormat="1" ht="34" customHeight="1">
      <c r="A55" s="196" t="s">
        <v>328</v>
      </c>
      <c r="B55" s="1109" t="s">
        <v>1122</v>
      </c>
      <c r="C55" s="206">
        <v>3202865.3</v>
      </c>
      <c r="D55" s="166">
        <v>9559509.0370000005</v>
      </c>
      <c r="E55" s="206">
        <v>14054190.816000002</v>
      </c>
      <c r="F55" s="206">
        <v>19692937.702</v>
      </c>
      <c r="G55" s="206">
        <v>24037404.213</v>
      </c>
      <c r="H55" s="206">
        <v>28341050.421</v>
      </c>
      <c r="I55" s="206">
        <v>63123502.609999999</v>
      </c>
      <c r="J55" s="206">
        <v>62606095.710999995</v>
      </c>
      <c r="K55" s="166">
        <v>115826435.01199999</v>
      </c>
      <c r="L55" s="206">
        <v>89389043.890000001</v>
      </c>
      <c r="M55" s="206">
        <v>256137417.54699999</v>
      </c>
      <c r="N55" s="590">
        <f t="shared" si="2"/>
        <v>685970452.25900006</v>
      </c>
    </row>
    <row r="56" spans="1:14" s="204" customFormat="1" ht="17.149999999999999" customHeight="1">
      <c r="A56" s="196" t="s">
        <v>332</v>
      </c>
      <c r="B56" s="1109" t="s">
        <v>1123</v>
      </c>
      <c r="C56" s="206">
        <v>8218996.7580000004</v>
      </c>
      <c r="D56" s="206">
        <v>21580602.903000005</v>
      </c>
      <c r="E56" s="206">
        <v>32139807.394000001</v>
      </c>
      <c r="F56" s="206">
        <v>40929692.75</v>
      </c>
      <c r="G56" s="206">
        <v>50403059.181999996</v>
      </c>
      <c r="H56" s="206">
        <v>61944554.865999997</v>
      </c>
      <c r="I56" s="206">
        <v>153461749.71799999</v>
      </c>
      <c r="J56" s="206">
        <v>184823655.22499999</v>
      </c>
      <c r="K56" s="166">
        <v>434500294.56099999</v>
      </c>
      <c r="L56" s="206">
        <v>440791698.315</v>
      </c>
      <c r="M56" s="206">
        <v>2940641560.527</v>
      </c>
      <c r="N56" s="590">
        <f t="shared" si="2"/>
        <v>4369435672.1989994</v>
      </c>
    </row>
    <row r="57" spans="1:14" s="204" customFormat="1" ht="17.149999999999999" customHeight="1">
      <c r="A57" s="196" t="s">
        <v>336</v>
      </c>
      <c r="B57" s="1109" t="s">
        <v>1124</v>
      </c>
      <c r="C57" s="206">
        <v>27638047.940200001</v>
      </c>
      <c r="D57" s="206">
        <v>75372942.616999999</v>
      </c>
      <c r="E57" s="206">
        <v>118921059.978</v>
      </c>
      <c r="F57" s="206">
        <v>153848783.61500001</v>
      </c>
      <c r="G57" s="206">
        <v>184739003.954</v>
      </c>
      <c r="H57" s="206">
        <v>228640206.00999999</v>
      </c>
      <c r="I57" s="206">
        <v>564602003.32500005</v>
      </c>
      <c r="J57" s="206">
        <v>624289524.11500001</v>
      </c>
      <c r="K57" s="166">
        <v>1381651934.487</v>
      </c>
      <c r="L57" s="206">
        <v>1173323928.967</v>
      </c>
      <c r="M57" s="206">
        <v>7821866499.2040005</v>
      </c>
      <c r="N57" s="590">
        <f t="shared" si="2"/>
        <v>12354893934.2122</v>
      </c>
    </row>
    <row r="58" spans="1:14" s="204" customFormat="1" ht="17.149999999999999" customHeight="1">
      <c r="A58" s="196" t="s">
        <v>340</v>
      </c>
      <c r="B58" s="1109" t="s">
        <v>1125</v>
      </c>
      <c r="C58" s="206">
        <v>5165601.3289999999</v>
      </c>
      <c r="D58" s="206">
        <v>14384512.696</v>
      </c>
      <c r="E58" s="206">
        <v>23145329.149000004</v>
      </c>
      <c r="F58" s="206">
        <v>32365933.796</v>
      </c>
      <c r="G58" s="206">
        <v>39752219.027999997</v>
      </c>
      <c r="H58" s="206">
        <v>49537564.737999998</v>
      </c>
      <c r="I58" s="206">
        <v>103322193.91499999</v>
      </c>
      <c r="J58" s="206">
        <v>89140632.238000005</v>
      </c>
      <c r="K58" s="166">
        <v>165036892.07800001</v>
      </c>
      <c r="L58" s="206">
        <v>117748448.848</v>
      </c>
      <c r="M58" s="206">
        <v>267473513.47400001</v>
      </c>
      <c r="N58" s="590">
        <f t="shared" si="2"/>
        <v>907072841.28900003</v>
      </c>
    </row>
    <row r="59" spans="1:14" s="204" customFormat="1" ht="17.149999999999999" customHeight="1">
      <c r="A59" s="196" t="s">
        <v>344</v>
      </c>
      <c r="B59" s="1109" t="s">
        <v>1126</v>
      </c>
      <c r="C59" s="206">
        <v>207536.34299999999</v>
      </c>
      <c r="D59" s="206">
        <v>641543.41899999999</v>
      </c>
      <c r="E59" s="206">
        <v>871480.28599999996</v>
      </c>
      <c r="F59" s="206">
        <v>1161097.47</v>
      </c>
      <c r="G59" s="206">
        <v>1460192.5530000001</v>
      </c>
      <c r="H59" s="206">
        <v>2068334</v>
      </c>
      <c r="I59" s="206">
        <v>4309216.2</v>
      </c>
      <c r="J59" s="206">
        <v>4011179.8030000003</v>
      </c>
      <c r="K59" s="206">
        <v>8718593.5879999995</v>
      </c>
      <c r="L59" s="206">
        <v>5945854.284</v>
      </c>
      <c r="M59" s="206">
        <v>25732604.140000001</v>
      </c>
      <c r="N59" s="590">
        <f t="shared" si="2"/>
        <v>55127632.086000003</v>
      </c>
    </row>
    <row r="60" spans="1:14" s="204" customFormat="1" ht="34" customHeight="1">
      <c r="A60" s="196" t="s">
        <v>348</v>
      </c>
      <c r="B60" s="1109" t="s">
        <v>1127</v>
      </c>
      <c r="C60" s="206">
        <v>2695899.6430000002</v>
      </c>
      <c r="D60" s="206">
        <v>7918769.9840000002</v>
      </c>
      <c r="E60" s="206">
        <v>12267965.286999999</v>
      </c>
      <c r="F60" s="206">
        <v>16628863.052999999</v>
      </c>
      <c r="G60" s="206">
        <v>19522881.666999999</v>
      </c>
      <c r="H60" s="206">
        <v>23142751.364</v>
      </c>
      <c r="I60" s="206">
        <v>55821528.329999998</v>
      </c>
      <c r="J60" s="206">
        <v>65506148.716000006</v>
      </c>
      <c r="K60" s="206">
        <v>154665686.58700001</v>
      </c>
      <c r="L60" s="206">
        <v>145808798.56799999</v>
      </c>
      <c r="M60" s="206">
        <v>768594760.16400003</v>
      </c>
      <c r="N60" s="590">
        <f t="shared" si="2"/>
        <v>1272574053.3629999</v>
      </c>
    </row>
    <row r="61" spans="1:14" s="204" customFormat="1" ht="17.149999999999999" customHeight="1">
      <c r="A61" s="196" t="s">
        <v>352</v>
      </c>
      <c r="B61" s="1109" t="s">
        <v>1128</v>
      </c>
      <c r="C61" s="206">
        <v>6422813.7139999997</v>
      </c>
      <c r="D61" s="206">
        <v>16488609.241999999</v>
      </c>
      <c r="E61" s="206">
        <v>24039796.798</v>
      </c>
      <c r="F61" s="206">
        <v>31990052.713</v>
      </c>
      <c r="G61" s="206">
        <v>36754530.596000001</v>
      </c>
      <c r="H61" s="206">
        <v>44104850.141999997</v>
      </c>
      <c r="I61" s="206">
        <v>99482295.826000005</v>
      </c>
      <c r="J61" s="206">
        <v>110611398.16600001</v>
      </c>
      <c r="K61" s="206">
        <v>291321579.241</v>
      </c>
      <c r="L61" s="206">
        <v>316493297.29299998</v>
      </c>
      <c r="M61" s="206">
        <v>2211825289.2069998</v>
      </c>
      <c r="N61" s="590">
        <f t="shared" si="2"/>
        <v>3189534512.9379997</v>
      </c>
    </row>
    <row r="62" spans="1:14" s="204" customFormat="1" ht="17.149999999999999" customHeight="1">
      <c r="A62" s="196" t="s">
        <v>356</v>
      </c>
      <c r="B62" s="1109" t="s">
        <v>1129</v>
      </c>
      <c r="C62" s="206">
        <v>492845.56699999992</v>
      </c>
      <c r="D62" s="206">
        <v>1582019.746</v>
      </c>
      <c r="E62" s="206">
        <v>3110717.7420000001</v>
      </c>
      <c r="F62" s="206">
        <v>3623456.9389999998</v>
      </c>
      <c r="G62" s="206">
        <v>4563174.1809999999</v>
      </c>
      <c r="H62" s="206">
        <v>5779918.1449999996</v>
      </c>
      <c r="I62" s="206">
        <v>13211185.058</v>
      </c>
      <c r="J62" s="206">
        <v>14615912.453</v>
      </c>
      <c r="K62" s="206">
        <v>29746825.739</v>
      </c>
      <c r="L62" s="206">
        <v>23563060.805</v>
      </c>
      <c r="M62" s="206">
        <v>79370678.946999997</v>
      </c>
      <c r="N62" s="590">
        <f t="shared" si="2"/>
        <v>179659795.322</v>
      </c>
    </row>
    <row r="63" spans="1:14" s="204" customFormat="1" ht="17.149999999999999" customHeight="1">
      <c r="A63" s="196" t="s">
        <v>360</v>
      </c>
      <c r="B63" s="1109" t="s">
        <v>1130</v>
      </c>
      <c r="C63" s="206">
        <v>2164021.2379999999</v>
      </c>
      <c r="D63" s="206">
        <v>5394767.0099999998</v>
      </c>
      <c r="E63" s="206">
        <v>7924453.3159999996</v>
      </c>
      <c r="F63" s="206">
        <v>10716886.975</v>
      </c>
      <c r="G63" s="206">
        <v>12662608.174000001</v>
      </c>
      <c r="H63" s="206">
        <v>14750805.460999999</v>
      </c>
      <c r="I63" s="206">
        <v>31991398.498999998</v>
      </c>
      <c r="J63" s="206">
        <v>35699421.817000002</v>
      </c>
      <c r="K63" s="206">
        <v>100316085.664</v>
      </c>
      <c r="L63" s="206">
        <v>104338227.233</v>
      </c>
      <c r="M63" s="206">
        <v>628600093.52900004</v>
      </c>
      <c r="N63" s="590">
        <f t="shared" si="2"/>
        <v>954558768.91600001</v>
      </c>
    </row>
    <row r="64" spans="1:14" s="204" customFormat="1" ht="17.149999999999999" customHeight="1">
      <c r="A64" s="196" t="s">
        <v>364</v>
      </c>
      <c r="B64" s="1109" t="s">
        <v>1131</v>
      </c>
      <c r="C64" s="206">
        <v>1377068.7</v>
      </c>
      <c r="D64" s="206">
        <v>3638925.4169999999</v>
      </c>
      <c r="E64" s="206">
        <v>5727576.9649999999</v>
      </c>
      <c r="F64" s="206">
        <v>7473060.4179999996</v>
      </c>
      <c r="G64" s="206">
        <v>10495664.014</v>
      </c>
      <c r="H64" s="206">
        <v>13516056.983999999</v>
      </c>
      <c r="I64" s="206">
        <v>30555573.074000001</v>
      </c>
      <c r="J64" s="206">
        <v>33415336.210999999</v>
      </c>
      <c r="K64" s="206">
        <v>87692587.005999997</v>
      </c>
      <c r="L64" s="206">
        <v>76752279.052000001</v>
      </c>
      <c r="M64" s="206">
        <v>223854230.292</v>
      </c>
      <c r="N64" s="590">
        <f t="shared" si="2"/>
        <v>494498358.13299996</v>
      </c>
    </row>
    <row r="65" spans="1:14" s="204" customFormat="1" ht="34" customHeight="1">
      <c r="A65" s="196" t="s">
        <v>368</v>
      </c>
      <c r="B65" s="1109" t="s">
        <v>1132</v>
      </c>
      <c r="C65" s="206">
        <v>1009962.4849999999</v>
      </c>
      <c r="D65" s="166">
        <v>2795941.0669999998</v>
      </c>
      <c r="E65" s="206">
        <v>4688640.3109999998</v>
      </c>
      <c r="F65" s="166">
        <v>6366369.5329999998</v>
      </c>
      <c r="G65" s="206">
        <v>7448636.0599999996</v>
      </c>
      <c r="H65" s="166">
        <v>8745814.0399999991</v>
      </c>
      <c r="I65" s="206">
        <v>19630181.115000002</v>
      </c>
      <c r="J65" s="166">
        <v>20155418.725000001</v>
      </c>
      <c r="K65" s="206">
        <v>40014880.788000003</v>
      </c>
      <c r="L65" s="206">
        <v>36493539.523000002</v>
      </c>
      <c r="M65" s="206">
        <v>227483390.917</v>
      </c>
      <c r="N65" s="590">
        <f t="shared" si="2"/>
        <v>374832774.56400001</v>
      </c>
    </row>
    <row r="66" spans="1:14" s="204" customFormat="1" ht="17.149999999999999" customHeight="1">
      <c r="A66" s="196" t="s">
        <v>372</v>
      </c>
      <c r="B66" s="1109" t="s">
        <v>1133</v>
      </c>
      <c r="C66" s="206">
        <v>1762405.382</v>
      </c>
      <c r="D66" s="206">
        <v>5279664.8899999997</v>
      </c>
      <c r="E66" s="206">
        <v>8430303.1300000008</v>
      </c>
      <c r="F66" s="206">
        <v>10811240.897</v>
      </c>
      <c r="G66" s="206">
        <v>12467975.979</v>
      </c>
      <c r="H66" s="206">
        <v>13808534.901000001</v>
      </c>
      <c r="I66" s="206">
        <v>33242692.300999999</v>
      </c>
      <c r="J66" s="206">
        <v>27557703.329</v>
      </c>
      <c r="K66" s="206">
        <v>60236003.068999998</v>
      </c>
      <c r="L66" s="206">
        <v>46027915.829999998</v>
      </c>
      <c r="M66" s="206">
        <v>71414630.437000006</v>
      </c>
      <c r="N66" s="590">
        <f t="shared" si="2"/>
        <v>291039070.14499998</v>
      </c>
    </row>
    <row r="67" spans="1:14" s="204" customFormat="1" ht="17.149999999999999" customHeight="1">
      <c r="A67" s="196" t="s">
        <v>376</v>
      </c>
      <c r="B67" s="1109" t="s">
        <v>1134</v>
      </c>
      <c r="C67" s="206">
        <v>33010608.344000001</v>
      </c>
      <c r="D67" s="206">
        <v>73474653.769999996</v>
      </c>
      <c r="E67" s="206">
        <v>102615997.35600001</v>
      </c>
      <c r="F67" s="206">
        <v>115977655.94400001</v>
      </c>
      <c r="G67" s="206">
        <v>138470224.875</v>
      </c>
      <c r="H67" s="206">
        <v>158923022.116</v>
      </c>
      <c r="I67" s="206">
        <v>371933352.741</v>
      </c>
      <c r="J67" s="206">
        <v>425654747.81599998</v>
      </c>
      <c r="K67" s="206">
        <v>1240191721.5190001</v>
      </c>
      <c r="L67" s="206">
        <v>1375363199.8770001</v>
      </c>
      <c r="M67" s="206">
        <v>20937623781.681999</v>
      </c>
      <c r="N67" s="590">
        <f t="shared" si="2"/>
        <v>24973238966.040001</v>
      </c>
    </row>
    <row r="68" spans="1:14" s="204" customFormat="1" ht="17.149999999999999" customHeight="1">
      <c r="A68" s="196" t="s">
        <v>380</v>
      </c>
      <c r="B68" s="1109" t="s">
        <v>1135</v>
      </c>
      <c r="C68" s="206">
        <v>2642973.6390000004</v>
      </c>
      <c r="D68" s="206">
        <v>8357529.3200000003</v>
      </c>
      <c r="E68" s="206">
        <v>12433172.954</v>
      </c>
      <c r="F68" s="206">
        <v>17398109.482000001</v>
      </c>
      <c r="G68" s="206">
        <v>21740613.712000001</v>
      </c>
      <c r="H68" s="206">
        <v>26476740.006000001</v>
      </c>
      <c r="I68" s="206">
        <v>66391610.663000003</v>
      </c>
      <c r="J68" s="206">
        <v>71063214.691</v>
      </c>
      <c r="K68" s="206">
        <v>159203547.67899999</v>
      </c>
      <c r="L68" s="206">
        <v>141469487.80000001</v>
      </c>
      <c r="M68" s="206">
        <v>573814299.21500003</v>
      </c>
      <c r="N68" s="590">
        <f t="shared" si="2"/>
        <v>1100991299.161</v>
      </c>
    </row>
    <row r="69" spans="1:14" s="204" customFormat="1" ht="17.149999999999999" customHeight="1">
      <c r="A69" s="196" t="s">
        <v>384</v>
      </c>
      <c r="B69" s="1109" t="s">
        <v>1136</v>
      </c>
      <c r="C69" s="206">
        <v>851779.86899999995</v>
      </c>
      <c r="D69" s="206">
        <v>2580682.7170000002</v>
      </c>
      <c r="E69" s="206">
        <v>3842845.2069999999</v>
      </c>
      <c r="F69" s="206">
        <v>5727566.216</v>
      </c>
      <c r="G69" s="206">
        <v>7123984</v>
      </c>
      <c r="H69" s="206">
        <v>10004350.377</v>
      </c>
      <c r="I69" s="206">
        <v>22476279.796999998</v>
      </c>
      <c r="J69" s="206">
        <v>18844842.791999999</v>
      </c>
      <c r="K69" s="206">
        <v>38158598.567000002</v>
      </c>
      <c r="L69" s="206">
        <v>26257754.504999999</v>
      </c>
      <c r="M69" s="206">
        <v>68609502.972000003</v>
      </c>
      <c r="N69" s="590">
        <f t="shared" si="2"/>
        <v>204478187.01899999</v>
      </c>
    </row>
    <row r="70" spans="1:14" s="204" customFormat="1" ht="34" customHeight="1">
      <c r="A70" s="196" t="s">
        <v>388</v>
      </c>
      <c r="B70" s="1109" t="s">
        <v>1137</v>
      </c>
      <c r="C70" s="206">
        <v>1115113.0419999999</v>
      </c>
      <c r="D70" s="206">
        <v>2896416.9550000001</v>
      </c>
      <c r="E70" s="206">
        <v>4697712.4069999997</v>
      </c>
      <c r="F70" s="206">
        <v>5916919.3320000004</v>
      </c>
      <c r="G70" s="206">
        <v>7785431.0559999999</v>
      </c>
      <c r="H70" s="206">
        <v>8962133.8489999995</v>
      </c>
      <c r="I70" s="206">
        <v>23839931.578000002</v>
      </c>
      <c r="J70" s="206">
        <v>24227080.031999998</v>
      </c>
      <c r="K70" s="206">
        <v>52705431.299000002</v>
      </c>
      <c r="L70" s="206">
        <v>44769843.877999999</v>
      </c>
      <c r="M70" s="206">
        <v>221562221.213</v>
      </c>
      <c r="N70" s="590">
        <f t="shared" si="2"/>
        <v>398478234.64099997</v>
      </c>
    </row>
    <row r="71" spans="1:14" s="204" customFormat="1" ht="17.149999999999999" customHeight="1">
      <c r="A71" s="196" t="s">
        <v>390</v>
      </c>
      <c r="B71" s="1109" t="s">
        <v>1138</v>
      </c>
      <c r="C71" s="206">
        <v>712155.255</v>
      </c>
      <c r="D71" s="206">
        <v>1984410.4279999998</v>
      </c>
      <c r="E71" s="206">
        <v>3120115.4139999999</v>
      </c>
      <c r="F71" s="206">
        <v>4746836.3540000003</v>
      </c>
      <c r="G71" s="206">
        <v>5554661.1359999999</v>
      </c>
      <c r="H71" s="206">
        <v>6289486.3820000002</v>
      </c>
      <c r="I71" s="206">
        <v>14215881.126</v>
      </c>
      <c r="J71" s="206">
        <v>15750242</v>
      </c>
      <c r="K71" s="206">
        <v>36822683.144000001</v>
      </c>
      <c r="L71" s="206">
        <v>33382313.554000001</v>
      </c>
      <c r="M71" s="206">
        <v>143967432.296</v>
      </c>
      <c r="N71" s="590">
        <f t="shared" si="2"/>
        <v>266546217.08899999</v>
      </c>
    </row>
    <row r="72" spans="1:14" s="204" customFormat="1" ht="17.149999999999999" customHeight="1">
      <c r="A72" s="196" t="s">
        <v>393</v>
      </c>
      <c r="B72" s="1109" t="s">
        <v>1139</v>
      </c>
      <c r="C72" s="206">
        <v>2946464.87</v>
      </c>
      <c r="D72" s="206">
        <v>8803023.1030000001</v>
      </c>
      <c r="E72" s="206">
        <v>14436034.026999999</v>
      </c>
      <c r="F72" s="206">
        <v>20184544.249000002</v>
      </c>
      <c r="G72" s="206">
        <v>22829552.425999999</v>
      </c>
      <c r="H72" s="206">
        <v>27738898.284000002</v>
      </c>
      <c r="I72" s="206">
        <v>61475586.748999998</v>
      </c>
      <c r="J72" s="206">
        <v>55537746.233999997</v>
      </c>
      <c r="K72" s="206">
        <v>103753367.89</v>
      </c>
      <c r="L72" s="206">
        <v>86468082.326000005</v>
      </c>
      <c r="M72" s="206">
        <v>279245974.53399998</v>
      </c>
      <c r="N72" s="590">
        <f t="shared" si="2"/>
        <v>683419274.69199991</v>
      </c>
    </row>
    <row r="73" spans="1:14" s="204" customFormat="1" ht="17.149999999999999" customHeight="1">
      <c r="A73" s="196" t="s">
        <v>396</v>
      </c>
      <c r="B73" s="1109" t="s">
        <v>1140</v>
      </c>
      <c r="C73" s="206">
        <v>873338.49099999992</v>
      </c>
      <c r="D73" s="206">
        <v>2806821.3689999999</v>
      </c>
      <c r="E73" s="206">
        <v>4341831.1900000004</v>
      </c>
      <c r="F73" s="206">
        <v>6033200.2620000001</v>
      </c>
      <c r="G73" s="206">
        <v>6534923.5810000002</v>
      </c>
      <c r="H73" s="206">
        <v>8512734.8969999999</v>
      </c>
      <c r="I73" s="206">
        <v>18095644.438000001</v>
      </c>
      <c r="J73" s="206">
        <v>17963303.916000001</v>
      </c>
      <c r="K73" s="206">
        <v>40142889.406000003</v>
      </c>
      <c r="L73" s="206">
        <v>39202194.151000001</v>
      </c>
      <c r="M73" s="206">
        <v>159915534.76800001</v>
      </c>
      <c r="N73" s="590">
        <f t="shared" si="2"/>
        <v>304422416.46899998</v>
      </c>
    </row>
    <row r="74" spans="1:14" s="204" customFormat="1" ht="17.149999999999999" customHeight="1">
      <c r="A74" s="197" t="s">
        <v>399</v>
      </c>
      <c r="B74" s="1088" t="s">
        <v>1141</v>
      </c>
      <c r="C74" s="207">
        <v>8209321.7680000002</v>
      </c>
      <c r="D74" s="207">
        <v>21551001.921000004</v>
      </c>
      <c r="E74" s="207">
        <v>28767729.405999996</v>
      </c>
      <c r="F74" s="207">
        <v>38450551.476999998</v>
      </c>
      <c r="G74" s="207">
        <v>52831083.659999996</v>
      </c>
      <c r="H74" s="207">
        <v>64869710.189000003</v>
      </c>
      <c r="I74" s="207">
        <v>127271923.193</v>
      </c>
      <c r="J74" s="207">
        <v>125034697.322</v>
      </c>
      <c r="K74" s="207">
        <v>283490307.68199998</v>
      </c>
      <c r="L74" s="207">
        <v>256896351.17500001</v>
      </c>
      <c r="M74" s="207">
        <v>1446377135.4879999</v>
      </c>
      <c r="N74" s="590">
        <f t="shared" si="2"/>
        <v>2453749813.2810001</v>
      </c>
    </row>
    <row r="75" spans="1:14" s="204" customFormat="1" ht="34" customHeight="1">
      <c r="A75" s="196" t="s">
        <v>401</v>
      </c>
      <c r="B75" s="1109" t="s">
        <v>1142</v>
      </c>
      <c r="C75" s="171">
        <v>1212367.6509999998</v>
      </c>
      <c r="D75" s="171">
        <v>4200729.5280000009</v>
      </c>
      <c r="E75" s="171">
        <v>6286030.120000001</v>
      </c>
      <c r="F75" s="171">
        <v>8363409.6739999996</v>
      </c>
      <c r="G75" s="171">
        <v>9867367.2280000001</v>
      </c>
      <c r="H75" s="171">
        <v>12033388.278000001</v>
      </c>
      <c r="I75" s="171">
        <v>31097374.956999999</v>
      </c>
      <c r="J75" s="171">
        <v>29418688.380000003</v>
      </c>
      <c r="K75" s="171">
        <v>60208923.592</v>
      </c>
      <c r="L75" s="171">
        <v>51858515.015000001</v>
      </c>
      <c r="M75" s="171">
        <v>225988811.03600001</v>
      </c>
      <c r="N75" s="272">
        <f t="shared" si="2"/>
        <v>440535605.45900005</v>
      </c>
    </row>
    <row r="76" spans="1:14" s="204" customFormat="1" ht="17.149999999999999" customHeight="1">
      <c r="A76" s="196" t="s">
        <v>404</v>
      </c>
      <c r="B76" s="1109" t="s">
        <v>1143</v>
      </c>
      <c r="C76" s="206">
        <v>1498555.8220000002</v>
      </c>
      <c r="D76" s="206">
        <v>4153056.8539999998</v>
      </c>
      <c r="E76" s="206">
        <v>6648994.1940000001</v>
      </c>
      <c r="F76" s="206">
        <v>8782600.2960000001</v>
      </c>
      <c r="G76" s="206">
        <v>12131679.592</v>
      </c>
      <c r="H76" s="206">
        <v>13515407.346000001</v>
      </c>
      <c r="I76" s="206">
        <v>35102084.232000001</v>
      </c>
      <c r="J76" s="206">
        <v>38407069.988000005</v>
      </c>
      <c r="K76" s="206">
        <v>104409730.26899999</v>
      </c>
      <c r="L76" s="206">
        <v>101340744.13500001</v>
      </c>
      <c r="M76" s="206">
        <v>551374246.42499995</v>
      </c>
      <c r="N76" s="590">
        <f t="shared" si="2"/>
        <v>877364169.15299988</v>
      </c>
    </row>
    <row r="77" spans="1:14" s="204" customFormat="1" ht="17.149999999999999" customHeight="1">
      <c r="A77" s="196" t="s">
        <v>406</v>
      </c>
      <c r="B77" s="1109" t="s">
        <v>1144</v>
      </c>
      <c r="C77" s="206">
        <v>1169705.5379999999</v>
      </c>
      <c r="D77" s="206">
        <v>3562136.514</v>
      </c>
      <c r="E77" s="206">
        <v>5810078.0180000002</v>
      </c>
      <c r="F77" s="206">
        <v>7016816.0470000003</v>
      </c>
      <c r="G77" s="206">
        <v>8526881.7190000005</v>
      </c>
      <c r="H77" s="206">
        <v>10917408.132999999</v>
      </c>
      <c r="I77" s="206">
        <v>21821539.508000001</v>
      </c>
      <c r="J77" s="206">
        <v>19403954.854000002</v>
      </c>
      <c r="K77" s="206">
        <v>39013129.534999996</v>
      </c>
      <c r="L77" s="206">
        <v>32631055.384</v>
      </c>
      <c r="M77" s="206">
        <v>142095002.803</v>
      </c>
      <c r="N77" s="590">
        <f t="shared" si="2"/>
        <v>291967708.05299997</v>
      </c>
    </row>
    <row r="78" spans="1:14" s="204" customFormat="1" ht="17.149999999999999" customHeight="1">
      <c r="A78" s="196" t="s">
        <v>409</v>
      </c>
      <c r="B78" s="1109" t="s">
        <v>1145</v>
      </c>
      <c r="C78" s="206">
        <v>1066111.0019999999</v>
      </c>
      <c r="D78" s="206">
        <v>2773916.6529999999</v>
      </c>
      <c r="E78" s="206">
        <v>4748204.5889999997</v>
      </c>
      <c r="F78" s="206">
        <v>5850701</v>
      </c>
      <c r="G78" s="206">
        <v>8159884.7690000003</v>
      </c>
      <c r="H78" s="206">
        <v>9808482.6060000006</v>
      </c>
      <c r="I78" s="206">
        <v>20511227.984999999</v>
      </c>
      <c r="J78" s="206">
        <v>23301580.636</v>
      </c>
      <c r="K78" s="206">
        <v>48618323.917999998</v>
      </c>
      <c r="L78" s="206">
        <v>43698702.963</v>
      </c>
      <c r="M78" s="206">
        <v>199457655.96799999</v>
      </c>
      <c r="N78" s="590">
        <f t="shared" si="2"/>
        <v>367994792.08899999</v>
      </c>
    </row>
    <row r="79" spans="1:14" s="204" customFormat="1" ht="17.149999999999999" customHeight="1">
      <c r="A79" s="196" t="s">
        <v>412</v>
      </c>
      <c r="B79" s="1109" t="s">
        <v>1146</v>
      </c>
      <c r="C79" s="206">
        <v>1130985.068</v>
      </c>
      <c r="D79" s="206">
        <v>3889850.6869999999</v>
      </c>
      <c r="E79" s="206">
        <v>5472912.8420000002</v>
      </c>
      <c r="F79" s="206">
        <v>7152684.1840000004</v>
      </c>
      <c r="G79" s="206">
        <v>9763818.4900000002</v>
      </c>
      <c r="H79" s="206">
        <v>12125067.711999999</v>
      </c>
      <c r="I79" s="206">
        <v>26701501.607999999</v>
      </c>
      <c r="J79" s="206">
        <v>22865034.844000001</v>
      </c>
      <c r="K79" s="206">
        <v>47081340.232000001</v>
      </c>
      <c r="L79" s="206">
        <v>37476014.218999997</v>
      </c>
      <c r="M79" s="206">
        <v>86559268.532000005</v>
      </c>
      <c r="N79" s="590">
        <f t="shared" si="2"/>
        <v>260218478.41799998</v>
      </c>
    </row>
    <row r="80" spans="1:14" s="204" customFormat="1" ht="34" customHeight="1">
      <c r="A80" s="196" t="s">
        <v>415</v>
      </c>
      <c r="B80" s="1109" t="s">
        <v>1147</v>
      </c>
      <c r="C80" s="206">
        <v>2693389.3089999999</v>
      </c>
      <c r="D80" s="206">
        <v>7856525.9890000001</v>
      </c>
      <c r="E80" s="206">
        <v>12721039.274</v>
      </c>
      <c r="F80" s="206">
        <v>17740262.741999999</v>
      </c>
      <c r="G80" s="206">
        <v>22790780.984000001</v>
      </c>
      <c r="H80" s="206">
        <v>26358181.912999999</v>
      </c>
      <c r="I80" s="206">
        <v>69573433.438999996</v>
      </c>
      <c r="J80" s="206">
        <v>74315172.562999994</v>
      </c>
      <c r="K80" s="206">
        <v>164488883.785</v>
      </c>
      <c r="L80" s="206">
        <v>154739223.354</v>
      </c>
      <c r="M80" s="206">
        <v>552714960.07000005</v>
      </c>
      <c r="N80" s="590">
        <f t="shared" si="2"/>
        <v>1105991853.4219999</v>
      </c>
    </row>
    <row r="81" spans="1:14" s="204" customFormat="1" ht="17.149999999999999" customHeight="1">
      <c r="A81" s="196" t="s">
        <v>418</v>
      </c>
      <c r="B81" s="1109" t="s">
        <v>1148</v>
      </c>
      <c r="C81" s="206">
        <v>2193627.3109999998</v>
      </c>
      <c r="D81" s="206">
        <v>6215571.602</v>
      </c>
      <c r="E81" s="206">
        <v>9519988.8279999997</v>
      </c>
      <c r="F81" s="206">
        <v>12961065.262</v>
      </c>
      <c r="G81" s="206">
        <v>15358996.348999999</v>
      </c>
      <c r="H81" s="206">
        <v>18197378.642000001</v>
      </c>
      <c r="I81" s="206">
        <v>45994864.276999995</v>
      </c>
      <c r="J81" s="206">
        <v>43731358.135000005</v>
      </c>
      <c r="K81" s="206">
        <v>88151276.542999998</v>
      </c>
      <c r="L81" s="206">
        <v>78024836.794</v>
      </c>
      <c r="M81" s="206">
        <v>179779319.95500001</v>
      </c>
      <c r="N81" s="590">
        <f t="shared" si="2"/>
        <v>500128283.69800007</v>
      </c>
    </row>
    <row r="82" spans="1:14" s="204" customFormat="1" ht="17.149999999999999" customHeight="1">
      <c r="A82" s="196" t="s">
        <v>421</v>
      </c>
      <c r="B82" s="1109" t="s">
        <v>1149</v>
      </c>
      <c r="C82" s="206">
        <v>1574084.9989999998</v>
      </c>
      <c r="D82" s="206">
        <v>4167429.9670000002</v>
      </c>
      <c r="E82" s="206">
        <v>6987582.4249999998</v>
      </c>
      <c r="F82" s="206">
        <v>9463783.307</v>
      </c>
      <c r="G82" s="206">
        <v>12475928.802999999</v>
      </c>
      <c r="H82" s="206">
        <v>14101537.015000001</v>
      </c>
      <c r="I82" s="206">
        <v>32053941.564000003</v>
      </c>
      <c r="J82" s="206">
        <v>28443795.287</v>
      </c>
      <c r="K82" s="206">
        <v>54468771.145999998</v>
      </c>
      <c r="L82" s="206">
        <v>39470928.159000002</v>
      </c>
      <c r="M82" s="206">
        <v>100925357.87100001</v>
      </c>
      <c r="N82" s="590">
        <f t="shared" si="2"/>
        <v>304133140.54300004</v>
      </c>
    </row>
    <row r="83" spans="1:14" s="204" customFormat="1" ht="17.149999999999999" customHeight="1">
      <c r="A83" s="196" t="s">
        <v>424</v>
      </c>
      <c r="B83" s="1109" t="s">
        <v>1150</v>
      </c>
      <c r="C83" s="206">
        <v>4962870.9160000002</v>
      </c>
      <c r="D83" s="206">
        <v>15127986.537999999</v>
      </c>
      <c r="E83" s="206">
        <v>25315888.513</v>
      </c>
      <c r="F83" s="206">
        <v>34591159.417000003</v>
      </c>
      <c r="G83" s="206">
        <v>39443941.945</v>
      </c>
      <c r="H83" s="206">
        <v>49255202.147</v>
      </c>
      <c r="I83" s="206">
        <v>115120484.214</v>
      </c>
      <c r="J83" s="206">
        <v>107127726.43000001</v>
      </c>
      <c r="K83" s="206">
        <v>227990778.54800001</v>
      </c>
      <c r="L83" s="206">
        <v>188876477.61500001</v>
      </c>
      <c r="M83" s="206">
        <v>464287035.24400002</v>
      </c>
      <c r="N83" s="590">
        <f t="shared" si="2"/>
        <v>1272099551.527</v>
      </c>
    </row>
    <row r="84" spans="1:14" s="204" customFormat="1" ht="17.149999999999999" customHeight="1">
      <c r="A84" s="196" t="s">
        <v>427</v>
      </c>
      <c r="B84" s="1109" t="s">
        <v>1151</v>
      </c>
      <c r="C84" s="206">
        <v>1979497.862</v>
      </c>
      <c r="D84" s="206">
        <v>5612689.3399999999</v>
      </c>
      <c r="E84" s="206">
        <v>9103301.2650000006</v>
      </c>
      <c r="F84" s="206">
        <v>11349931.483999999</v>
      </c>
      <c r="G84" s="206">
        <v>12646389.957</v>
      </c>
      <c r="H84" s="206">
        <v>16826606.18</v>
      </c>
      <c r="I84" s="206">
        <v>39934921.039000005</v>
      </c>
      <c r="J84" s="206">
        <v>46955529.046000004</v>
      </c>
      <c r="K84" s="206">
        <v>120933356.15700001</v>
      </c>
      <c r="L84" s="206">
        <v>122868860.611</v>
      </c>
      <c r="M84" s="206">
        <v>954018628.57000005</v>
      </c>
      <c r="N84" s="590">
        <f t="shared" si="2"/>
        <v>1342229711.5110002</v>
      </c>
    </row>
    <row r="85" spans="1:14" ht="18" customHeight="1">
      <c r="A85" s="208" t="s">
        <v>606</v>
      </c>
      <c r="B85" s="1126"/>
      <c r="C85" s="209"/>
      <c r="D85" s="209"/>
      <c r="E85" s="209"/>
      <c r="F85" s="209"/>
      <c r="G85" s="209"/>
      <c r="H85" s="209"/>
      <c r="I85" s="209"/>
      <c r="J85" s="209"/>
      <c r="K85" s="209"/>
      <c r="L85" s="209"/>
      <c r="M85" s="209"/>
      <c r="N85" s="591"/>
    </row>
    <row r="86" spans="1:14" ht="17.149999999999999" customHeight="1">
      <c r="A86" s="201" t="s">
        <v>604</v>
      </c>
      <c r="B86" s="1124"/>
      <c r="C86" s="200"/>
      <c r="D86" s="200"/>
      <c r="E86" s="200"/>
      <c r="F86" s="200"/>
      <c r="G86" s="200"/>
      <c r="H86" s="200"/>
      <c r="I86" s="200"/>
      <c r="J86" s="200"/>
      <c r="K86" s="200"/>
      <c r="L86" s="200"/>
      <c r="M86" s="200"/>
      <c r="N86" s="592"/>
    </row>
    <row r="87" spans="1:14" ht="17.149999999999999" customHeight="1">
      <c r="A87" s="202" t="str">
        <f>A3</f>
        <v>Taxable Year 2020</v>
      </c>
      <c r="B87" s="1125"/>
      <c r="C87" s="200"/>
      <c r="D87" s="200"/>
      <c r="E87" s="200"/>
      <c r="F87" s="200"/>
      <c r="G87" s="200"/>
      <c r="H87" s="200"/>
      <c r="I87" s="200"/>
      <c r="J87" s="200"/>
      <c r="K87" s="200"/>
      <c r="L87" s="200"/>
      <c r="M87" s="200"/>
      <c r="N87" s="592"/>
    </row>
    <row r="88" spans="1:14" ht="2" customHeight="1">
      <c r="C88" s="210">
        <f t="shared" ref="C88:N88" si="3">SUM(C38:C74)</f>
        <v>342392809.91479999</v>
      </c>
      <c r="D88" s="210">
        <f t="shared" si="3"/>
        <v>879892001.52180028</v>
      </c>
      <c r="E88" s="210">
        <f t="shared" si="3"/>
        <v>1334801459.1580002</v>
      </c>
      <c r="F88" s="210">
        <f t="shared" si="3"/>
        <v>1695347324.8831005</v>
      </c>
      <c r="G88" s="210">
        <f t="shared" si="3"/>
        <v>2047473399.3579001</v>
      </c>
      <c r="H88" s="210">
        <f t="shared" si="3"/>
        <v>2422751871.6279998</v>
      </c>
      <c r="I88" s="210">
        <f t="shared" si="3"/>
        <v>5684185671.5564985</v>
      </c>
      <c r="J88" s="210">
        <f t="shared" si="3"/>
        <v>6189899274.0110016</v>
      </c>
      <c r="K88" s="210">
        <f t="shared" si="3"/>
        <v>15747665673.719995</v>
      </c>
      <c r="L88" s="210">
        <f t="shared" si="3"/>
        <v>15457320019.231602</v>
      </c>
      <c r="M88" s="210">
        <f t="shared" si="3"/>
        <v>135549530946.132</v>
      </c>
      <c r="N88" s="593">
        <f t="shared" si="3"/>
        <v>187351260451.11465</v>
      </c>
    </row>
    <row r="89" spans="1:14" ht="2" customHeight="1">
      <c r="A89" s="202"/>
      <c r="B89" s="1125"/>
      <c r="D89" s="203"/>
      <c r="E89" s="203"/>
      <c r="F89" s="203"/>
      <c r="G89" s="203"/>
      <c r="H89" s="203"/>
      <c r="I89" s="203"/>
      <c r="J89" s="203"/>
      <c r="K89" s="203"/>
      <c r="L89" s="203"/>
      <c r="M89" s="203"/>
      <c r="N89" s="1116"/>
    </row>
    <row r="90" spans="1:14" ht="2" customHeight="1" thickBot="1">
      <c r="A90" s="201"/>
      <c r="B90" s="1124"/>
      <c r="D90" s="1117"/>
      <c r="E90" s="1117"/>
      <c r="F90" s="1117"/>
      <c r="G90" s="1117"/>
      <c r="H90" s="1117"/>
      <c r="I90" s="1117"/>
      <c r="J90" s="1117"/>
      <c r="K90" s="1117"/>
      <c r="L90" s="1117"/>
      <c r="M90" s="1117"/>
      <c r="N90" s="1118"/>
    </row>
    <row r="91" spans="1:14" ht="26">
      <c r="A91" s="1120" t="s">
        <v>21</v>
      </c>
      <c r="B91" s="1122" t="s">
        <v>963</v>
      </c>
      <c r="C91" s="1121" t="s">
        <v>605</v>
      </c>
      <c r="D91" s="1119" t="s">
        <v>1220</v>
      </c>
      <c r="E91" s="1119" t="s">
        <v>1221</v>
      </c>
      <c r="F91" s="1119" t="s">
        <v>1222</v>
      </c>
      <c r="G91" s="1119" t="s">
        <v>1223</v>
      </c>
      <c r="H91" s="1119" t="s">
        <v>1224</v>
      </c>
      <c r="I91" s="1119" t="s">
        <v>1225</v>
      </c>
      <c r="J91" s="1119" t="s">
        <v>1226</v>
      </c>
      <c r="K91" s="1119" t="s">
        <v>1227</v>
      </c>
      <c r="L91" s="1119" t="s">
        <v>1228</v>
      </c>
      <c r="M91" s="1119" t="s">
        <v>1229</v>
      </c>
      <c r="N91" s="1119" t="s">
        <v>1230</v>
      </c>
    </row>
    <row r="92" spans="1:14" s="204" customFormat="1" ht="34" customHeight="1">
      <c r="A92" s="196" t="s">
        <v>430</v>
      </c>
      <c r="B92" s="1109" t="s">
        <v>1152</v>
      </c>
      <c r="C92" s="166">
        <v>1599706.368</v>
      </c>
      <c r="D92" s="206">
        <v>4646807.3059999999</v>
      </c>
      <c r="E92" s="206">
        <v>7872095.7680000002</v>
      </c>
      <c r="F92" s="166">
        <v>10580652.492000001</v>
      </c>
      <c r="G92" s="166">
        <v>13023404.635</v>
      </c>
      <c r="H92" s="206">
        <v>15143735.6</v>
      </c>
      <c r="I92" s="206">
        <v>35892879.542999998</v>
      </c>
      <c r="J92" s="206">
        <v>33064235.954000004</v>
      </c>
      <c r="K92" s="206">
        <v>61996056.868000001</v>
      </c>
      <c r="L92" s="206">
        <v>46032536.817000002</v>
      </c>
      <c r="M92" s="206">
        <v>138815768.72400001</v>
      </c>
      <c r="N92" s="590">
        <f t="shared" ref="N92:N116" si="4">SUM(C92:M92)</f>
        <v>368667880.07500005</v>
      </c>
    </row>
    <row r="93" spans="1:14" s="204" customFormat="1" ht="17.149999999999999" customHeight="1">
      <c r="A93" s="196" t="s">
        <v>432</v>
      </c>
      <c r="B93" s="1109" t="s">
        <v>1153</v>
      </c>
      <c r="C93" s="206">
        <v>2633149.4010000001</v>
      </c>
      <c r="D93" s="206">
        <v>7591470.273</v>
      </c>
      <c r="E93" s="206">
        <v>11539957.574000001</v>
      </c>
      <c r="F93" s="206">
        <v>15917696.943</v>
      </c>
      <c r="G93" s="206">
        <v>19200594.214000002</v>
      </c>
      <c r="H93" s="206">
        <v>19955804.447000001</v>
      </c>
      <c r="I93" s="206">
        <v>52696511.164000005</v>
      </c>
      <c r="J93" s="206">
        <v>55433898.048999995</v>
      </c>
      <c r="K93" s="206">
        <v>131234217.391</v>
      </c>
      <c r="L93" s="206">
        <v>117739605.825</v>
      </c>
      <c r="M93" s="206">
        <v>422808916.42199999</v>
      </c>
      <c r="N93" s="590">
        <f t="shared" si="4"/>
        <v>856751821.70299995</v>
      </c>
    </row>
    <row r="94" spans="1:14" s="204" customFormat="1" ht="17.149999999999999" customHeight="1">
      <c r="A94" s="196" t="s">
        <v>435</v>
      </c>
      <c r="B94" s="1109" t="s">
        <v>1154</v>
      </c>
      <c r="C94" s="206">
        <v>39334451.543200001</v>
      </c>
      <c r="D94" s="206">
        <v>102122603.15899999</v>
      </c>
      <c r="E94" s="206">
        <v>155442781.78799999</v>
      </c>
      <c r="F94" s="206">
        <v>188543586.354</v>
      </c>
      <c r="G94" s="206">
        <v>223861374.993</v>
      </c>
      <c r="H94" s="206">
        <v>253282975.89399999</v>
      </c>
      <c r="I94" s="206">
        <v>600667671.01399994</v>
      </c>
      <c r="J94" s="206">
        <v>687483101.15499997</v>
      </c>
      <c r="K94" s="206">
        <v>1843287218.8989999</v>
      </c>
      <c r="L94" s="206">
        <v>1778428499.796</v>
      </c>
      <c r="M94" s="206">
        <v>12003195683.09</v>
      </c>
      <c r="N94" s="590">
        <f t="shared" si="4"/>
        <v>17875649947.6852</v>
      </c>
    </row>
    <row r="95" spans="1:14" s="204" customFormat="1" ht="17.149999999999999" customHeight="1">
      <c r="A95" s="196" t="s">
        <v>437</v>
      </c>
      <c r="B95" s="1109" t="s">
        <v>1155</v>
      </c>
      <c r="C95" s="206">
        <v>2388484.034</v>
      </c>
      <c r="D95" s="206">
        <v>7508876.6880000001</v>
      </c>
      <c r="E95" s="206">
        <v>13110501.816</v>
      </c>
      <c r="F95" s="206">
        <v>18050923.528999999</v>
      </c>
      <c r="G95" s="206">
        <v>22175948.778000001</v>
      </c>
      <c r="H95" s="206">
        <v>27018696.846999999</v>
      </c>
      <c r="I95" s="206">
        <v>60420755.891000003</v>
      </c>
      <c r="J95" s="206">
        <v>56528906.066</v>
      </c>
      <c r="K95" s="206">
        <v>125781843.05599999</v>
      </c>
      <c r="L95" s="206">
        <v>104311484.903</v>
      </c>
      <c r="M95" s="206">
        <v>279900960.31800002</v>
      </c>
      <c r="N95" s="590">
        <f t="shared" si="4"/>
        <v>717197381.926</v>
      </c>
    </row>
    <row r="96" spans="1:14" s="204" customFormat="1" ht="17.149999999999999" customHeight="1">
      <c r="A96" s="196" t="s">
        <v>440</v>
      </c>
      <c r="B96" s="1109" t="s">
        <v>1156</v>
      </c>
      <c r="C96" s="206">
        <v>588501.86800000002</v>
      </c>
      <c r="D96" s="206">
        <v>1577398.3160000001</v>
      </c>
      <c r="E96" s="206">
        <v>2356517.173</v>
      </c>
      <c r="F96" s="206">
        <v>3746437.585</v>
      </c>
      <c r="G96" s="206">
        <v>3867864.64</v>
      </c>
      <c r="H96" s="206">
        <v>4780771.0279999999</v>
      </c>
      <c r="I96" s="206">
        <v>11693766.351</v>
      </c>
      <c r="J96" s="206">
        <v>11127094.624</v>
      </c>
      <c r="K96" s="206">
        <v>29072622.831999999</v>
      </c>
      <c r="L96" s="206">
        <v>25871427.046</v>
      </c>
      <c r="M96" s="206">
        <v>190138659.23800001</v>
      </c>
      <c r="N96" s="590">
        <f t="shared" si="4"/>
        <v>284821060.70099998</v>
      </c>
    </row>
    <row r="97" spans="1:15" s="204" customFormat="1" ht="34" customHeight="1">
      <c r="A97" s="196" t="s">
        <v>370</v>
      </c>
      <c r="B97" s="1109" t="s">
        <v>1157</v>
      </c>
      <c r="C97" s="206">
        <v>1998402.4040000001</v>
      </c>
      <c r="D97" s="206">
        <v>4076271.9530000007</v>
      </c>
      <c r="E97" s="206">
        <v>5534275.9649999999</v>
      </c>
      <c r="F97" s="206">
        <v>6326106.1179999998</v>
      </c>
      <c r="G97" s="206">
        <v>7303776.477</v>
      </c>
      <c r="H97" s="206">
        <v>7580409.8640000001</v>
      </c>
      <c r="I97" s="206">
        <v>18645196.149999999</v>
      </c>
      <c r="J97" s="206">
        <v>19155779.498</v>
      </c>
      <c r="K97" s="206">
        <v>36942546.295999996</v>
      </c>
      <c r="L97" s="206">
        <v>30898618.427999999</v>
      </c>
      <c r="M97" s="206">
        <v>134452623.956</v>
      </c>
      <c r="N97" s="590">
        <f t="shared" si="4"/>
        <v>272914007.10899997</v>
      </c>
    </row>
    <row r="98" spans="1:15" s="204" customFormat="1" ht="17.149999999999999" customHeight="1">
      <c r="A98" s="196" t="s">
        <v>374</v>
      </c>
      <c r="B98" s="1109" t="s">
        <v>1158</v>
      </c>
      <c r="C98" s="206">
        <v>8117161.9409999996</v>
      </c>
      <c r="D98" s="206">
        <v>22149120.240000002</v>
      </c>
      <c r="E98" s="206">
        <v>33849508.229999997</v>
      </c>
      <c r="F98" s="206">
        <v>44636535.627999999</v>
      </c>
      <c r="G98" s="206">
        <v>56907106.707999997</v>
      </c>
      <c r="H98" s="206">
        <v>69155772.937000006</v>
      </c>
      <c r="I98" s="206">
        <v>167167026.627</v>
      </c>
      <c r="J98" s="206">
        <v>174989787.493</v>
      </c>
      <c r="K98" s="206">
        <v>413452849.50800002</v>
      </c>
      <c r="L98" s="206">
        <v>375514664.25800002</v>
      </c>
      <c r="M98" s="206">
        <v>1751314094.723</v>
      </c>
      <c r="N98" s="590">
        <f t="shared" si="4"/>
        <v>3117253628.2930002</v>
      </c>
    </row>
    <row r="99" spans="1:15" s="204" customFormat="1" ht="17.149999999999999" customHeight="1">
      <c r="A99" s="196" t="s">
        <v>447</v>
      </c>
      <c r="B99" s="1109" t="s">
        <v>1159</v>
      </c>
      <c r="C99" s="206">
        <v>1939705.7920000001</v>
      </c>
      <c r="D99" s="206">
        <v>5000964.2539999997</v>
      </c>
      <c r="E99" s="206">
        <v>8429530.0150000006</v>
      </c>
      <c r="F99" s="206">
        <v>11343630.365</v>
      </c>
      <c r="G99" s="206">
        <v>14290767.517999999</v>
      </c>
      <c r="H99" s="206">
        <v>17050592.691</v>
      </c>
      <c r="I99" s="206">
        <v>37580133.060000002</v>
      </c>
      <c r="J99" s="206">
        <v>37916357.314999998</v>
      </c>
      <c r="K99" s="206">
        <v>80694730.550999999</v>
      </c>
      <c r="L99" s="206">
        <v>69736800.893000007</v>
      </c>
      <c r="M99" s="206">
        <v>303259371.366</v>
      </c>
      <c r="N99" s="590">
        <f t="shared" si="4"/>
        <v>587242583.81999993</v>
      </c>
    </row>
    <row r="100" spans="1:15" s="204" customFormat="1" ht="17.149999999999999" customHeight="1">
      <c r="A100" s="196" t="s">
        <v>450</v>
      </c>
      <c r="B100" s="1109" t="s">
        <v>1160</v>
      </c>
      <c r="C100" s="206">
        <v>6461396.6439999994</v>
      </c>
      <c r="D100" s="206">
        <v>19833190.814999998</v>
      </c>
      <c r="E100" s="206">
        <v>30731766.743000001</v>
      </c>
      <c r="F100" s="206">
        <v>37031695.931999996</v>
      </c>
      <c r="G100" s="206">
        <v>50097048.153999999</v>
      </c>
      <c r="H100" s="206">
        <v>61329078.090999998</v>
      </c>
      <c r="I100" s="206">
        <v>151007796.25300002</v>
      </c>
      <c r="J100" s="206">
        <v>158245803.21200001</v>
      </c>
      <c r="K100" s="206">
        <v>347604156.11000001</v>
      </c>
      <c r="L100" s="206">
        <v>314181562.35900003</v>
      </c>
      <c r="M100" s="206">
        <v>1267331832.4089999</v>
      </c>
      <c r="N100" s="590">
        <f t="shared" si="4"/>
        <v>2443855326.7220001</v>
      </c>
    </row>
    <row r="101" spans="1:15" s="204" customFormat="1" ht="17.149999999999999" customHeight="1">
      <c r="A101" s="196" t="s">
        <v>453</v>
      </c>
      <c r="B101" s="1109" t="s">
        <v>1161</v>
      </c>
      <c r="C101" s="206">
        <v>1785917.6430000002</v>
      </c>
      <c r="D101" s="206">
        <v>5591212.9610000001</v>
      </c>
      <c r="E101" s="206">
        <v>9553985.4269999992</v>
      </c>
      <c r="F101" s="206">
        <v>12388727.873</v>
      </c>
      <c r="G101" s="206">
        <v>14671307.964</v>
      </c>
      <c r="H101" s="206">
        <v>17260229.686999999</v>
      </c>
      <c r="I101" s="206">
        <v>39295518.169</v>
      </c>
      <c r="J101" s="206">
        <v>36865551.178000003</v>
      </c>
      <c r="K101" s="206">
        <v>80617199.559</v>
      </c>
      <c r="L101" s="206">
        <v>64442394.591799997</v>
      </c>
      <c r="M101" s="206">
        <v>132020279.463</v>
      </c>
      <c r="N101" s="590">
        <f t="shared" si="4"/>
        <v>414492324.5158</v>
      </c>
    </row>
    <row r="102" spans="1:15" s="204" customFormat="1" ht="34" customHeight="1">
      <c r="A102" s="196" t="s">
        <v>329</v>
      </c>
      <c r="B102" s="1109" t="s">
        <v>1162</v>
      </c>
      <c r="C102" s="206">
        <v>1923115.3103</v>
      </c>
      <c r="D102" s="206">
        <v>5417663.7280000001</v>
      </c>
      <c r="E102" s="166">
        <v>8571188.7060000002</v>
      </c>
      <c r="F102" s="206">
        <v>10835976.665999999</v>
      </c>
      <c r="G102" s="206">
        <v>14900984.289999999</v>
      </c>
      <c r="H102" s="166">
        <v>15889509.966</v>
      </c>
      <c r="I102" s="166">
        <v>35243819.869000003</v>
      </c>
      <c r="J102" s="206">
        <v>31786386.361000001</v>
      </c>
      <c r="K102" s="206">
        <v>70261769.693000004</v>
      </c>
      <c r="L102" s="206">
        <v>53026287.394000001</v>
      </c>
      <c r="M102" s="206">
        <v>110871398.323</v>
      </c>
      <c r="N102" s="590">
        <f t="shared" si="4"/>
        <v>358728100.30629998</v>
      </c>
    </row>
    <row r="103" spans="1:15" s="204" customFormat="1" ht="17.149999999999999" customHeight="1">
      <c r="A103" s="196" t="s">
        <v>333</v>
      </c>
      <c r="B103" s="1109" t="s">
        <v>1163</v>
      </c>
      <c r="C103" s="166">
        <v>3481256.1290000002</v>
      </c>
      <c r="D103" s="206">
        <v>10500985.085999999</v>
      </c>
      <c r="E103" s="206">
        <v>17607381.818</v>
      </c>
      <c r="F103" s="206">
        <v>22155169.710999999</v>
      </c>
      <c r="G103" s="206">
        <v>26927547.397</v>
      </c>
      <c r="H103" s="206">
        <v>34533001.064000003</v>
      </c>
      <c r="I103" s="206">
        <v>86809352.407999992</v>
      </c>
      <c r="J103" s="206">
        <v>91082395.407000005</v>
      </c>
      <c r="K103" s="206">
        <v>196400373.44</v>
      </c>
      <c r="L103" s="206">
        <v>170222759.19600001</v>
      </c>
      <c r="M103" s="206">
        <v>542964466.24199998</v>
      </c>
      <c r="N103" s="590">
        <f t="shared" si="4"/>
        <v>1202684687.898</v>
      </c>
    </row>
    <row r="104" spans="1:15" s="204" customFormat="1" ht="17.149999999999999" customHeight="1">
      <c r="A104" s="196" t="s">
        <v>337</v>
      </c>
      <c r="B104" s="1109" t="s">
        <v>1164</v>
      </c>
      <c r="C104" s="206">
        <v>2650029.5889999997</v>
      </c>
      <c r="D104" s="206">
        <v>7841995.9910000004</v>
      </c>
      <c r="E104" s="206">
        <v>12974781.210999999</v>
      </c>
      <c r="F104" s="206">
        <v>17925385.528999999</v>
      </c>
      <c r="G104" s="206">
        <v>20259333.725000001</v>
      </c>
      <c r="H104" s="206">
        <v>22746394.688000001</v>
      </c>
      <c r="I104" s="206">
        <v>48953805.828000002</v>
      </c>
      <c r="J104" s="206">
        <v>52463552.395999998</v>
      </c>
      <c r="K104" s="206">
        <v>98123259.790999994</v>
      </c>
      <c r="L104" s="206">
        <v>73532051.892000005</v>
      </c>
      <c r="M104" s="206">
        <v>161423574.667</v>
      </c>
      <c r="N104" s="590">
        <f t="shared" si="4"/>
        <v>518894165.30700004</v>
      </c>
    </row>
    <row r="105" spans="1:15" s="204" customFormat="1" ht="17.149999999999999" customHeight="1">
      <c r="A105" s="196" t="s">
        <v>341</v>
      </c>
      <c r="B105" s="1109" t="s">
        <v>1165</v>
      </c>
      <c r="C105" s="206">
        <v>1391619.132</v>
      </c>
      <c r="D105" s="206">
        <v>4367848.2889999999</v>
      </c>
      <c r="E105" s="206">
        <v>6727021.7129999995</v>
      </c>
      <c r="F105" s="206">
        <v>9363210.773</v>
      </c>
      <c r="G105" s="206">
        <v>11033990.335999999</v>
      </c>
      <c r="H105" s="206">
        <v>12809476.5</v>
      </c>
      <c r="I105" s="206">
        <v>31542655.634</v>
      </c>
      <c r="J105" s="206">
        <v>34203141.013000004</v>
      </c>
      <c r="K105" s="206">
        <v>72831232.726999998</v>
      </c>
      <c r="L105" s="206">
        <v>61776100.077</v>
      </c>
      <c r="M105" s="206">
        <v>175221166.22299999</v>
      </c>
      <c r="N105" s="590">
        <f t="shared" si="4"/>
        <v>421267462.417</v>
      </c>
    </row>
    <row r="106" spans="1:15" s="204" customFormat="1" ht="17.149999999999999" customHeight="1">
      <c r="A106" s="196" t="s">
        <v>345</v>
      </c>
      <c r="B106" s="1109" t="s">
        <v>1166</v>
      </c>
      <c r="C106" s="206">
        <v>10906119.834000001</v>
      </c>
      <c r="D106" s="206">
        <v>28506518.970000003</v>
      </c>
      <c r="E106" s="206">
        <v>46859361.362000003</v>
      </c>
      <c r="F106" s="206">
        <v>61443594.847999997</v>
      </c>
      <c r="G106" s="206">
        <v>71539850.688999996</v>
      </c>
      <c r="H106" s="206">
        <v>83237597.081</v>
      </c>
      <c r="I106" s="206">
        <v>192411790.10399997</v>
      </c>
      <c r="J106" s="206">
        <v>218400976.78</v>
      </c>
      <c r="K106" s="206">
        <v>550712905.37300003</v>
      </c>
      <c r="L106" s="206">
        <v>538596632.68900001</v>
      </c>
      <c r="M106" s="206">
        <v>2885308546.2579999</v>
      </c>
      <c r="N106" s="590">
        <f t="shared" si="4"/>
        <v>4687923893.9879999</v>
      </c>
    </row>
    <row r="107" spans="1:15" s="204" customFormat="1" ht="34" customHeight="1">
      <c r="A107" s="196" t="s">
        <v>349</v>
      </c>
      <c r="B107" s="1109" t="s">
        <v>1167</v>
      </c>
      <c r="C107" s="206">
        <v>11412167.610000001</v>
      </c>
      <c r="D107" s="206">
        <v>29214027.475000001</v>
      </c>
      <c r="E107" s="206">
        <v>44233720.857000001</v>
      </c>
      <c r="F107" s="206">
        <v>55262227.391999997</v>
      </c>
      <c r="G107" s="206">
        <v>65910401.751000002</v>
      </c>
      <c r="H107" s="206">
        <v>75010068.142000005</v>
      </c>
      <c r="I107" s="206">
        <v>173895081.912</v>
      </c>
      <c r="J107" s="206">
        <v>189918283.44499999</v>
      </c>
      <c r="K107" s="206">
        <v>529464729.15799999</v>
      </c>
      <c r="L107" s="206">
        <v>557710733.95299995</v>
      </c>
      <c r="M107" s="206">
        <v>3923425128.3699999</v>
      </c>
      <c r="N107" s="590">
        <f t="shared" si="4"/>
        <v>5655456570.0650005</v>
      </c>
    </row>
    <row r="108" spans="1:15" s="204" customFormat="1" ht="17.149999999999999" customHeight="1">
      <c r="A108" s="196" t="s">
        <v>353</v>
      </c>
      <c r="B108" s="1109" t="s">
        <v>1168</v>
      </c>
      <c r="C108" s="206">
        <v>656966.60000000009</v>
      </c>
      <c r="D108" s="206">
        <v>1876649.0919999999</v>
      </c>
      <c r="E108" s="206">
        <v>2843097.2949999999</v>
      </c>
      <c r="F108" s="206">
        <v>3836726.1660000002</v>
      </c>
      <c r="G108" s="206">
        <v>4174423.622</v>
      </c>
      <c r="H108" s="206">
        <v>5192573.3820000002</v>
      </c>
      <c r="I108" s="206">
        <v>12296755.171999998</v>
      </c>
      <c r="J108" s="206">
        <v>13640488.936999999</v>
      </c>
      <c r="K108" s="206">
        <v>28666964.057</v>
      </c>
      <c r="L108" s="206">
        <v>22959907.953000002</v>
      </c>
      <c r="M108" s="206">
        <v>61737680.403999999</v>
      </c>
      <c r="N108" s="590">
        <f t="shared" si="4"/>
        <v>157882232.68000001</v>
      </c>
    </row>
    <row r="109" spans="1:15" s="204" customFormat="1" ht="17.149999999999999" customHeight="1">
      <c r="A109" s="196" t="s">
        <v>357</v>
      </c>
      <c r="B109" s="1109" t="s">
        <v>1169</v>
      </c>
      <c r="C109" s="206">
        <v>764032.35900000005</v>
      </c>
      <c r="D109" s="206">
        <v>2452794.2560000001</v>
      </c>
      <c r="E109" s="206">
        <v>3749621.7780000004</v>
      </c>
      <c r="F109" s="206">
        <v>5365705.6509999996</v>
      </c>
      <c r="G109" s="206">
        <v>6321622.2249999996</v>
      </c>
      <c r="H109" s="206">
        <v>7852244.0990000004</v>
      </c>
      <c r="I109" s="206">
        <v>15949713.24</v>
      </c>
      <c r="J109" s="206">
        <v>16282445.73</v>
      </c>
      <c r="K109" s="206">
        <v>33684561.630999997</v>
      </c>
      <c r="L109" s="206">
        <v>24850450.550000001</v>
      </c>
      <c r="M109" s="206">
        <v>63054132.579999998</v>
      </c>
      <c r="N109" s="590">
        <f t="shared" si="4"/>
        <v>180327324.09899998</v>
      </c>
    </row>
    <row r="110" spans="1:15" s="204" customFormat="1" ht="17.149999999999999" customHeight="1">
      <c r="A110" s="197" t="s">
        <v>361</v>
      </c>
      <c r="B110" s="1088" t="s">
        <v>1170</v>
      </c>
      <c r="C110" s="206">
        <v>3104739.2609999999</v>
      </c>
      <c r="D110" s="206">
        <v>9003950.7860000003</v>
      </c>
      <c r="E110" s="206">
        <v>15075219.510000002</v>
      </c>
      <c r="F110" s="206">
        <v>20720475.487</v>
      </c>
      <c r="G110" s="206">
        <v>25381697.223000001</v>
      </c>
      <c r="H110" s="206">
        <v>28084638.739999998</v>
      </c>
      <c r="I110" s="206">
        <v>63320075.968000002</v>
      </c>
      <c r="J110" s="206">
        <v>57178175.761</v>
      </c>
      <c r="K110" s="206">
        <v>126360807.48899999</v>
      </c>
      <c r="L110" s="206">
        <v>100144636.15000001</v>
      </c>
      <c r="M110" s="206">
        <v>275629865.49800003</v>
      </c>
      <c r="N110" s="590">
        <f t="shared" si="4"/>
        <v>724004281.87300003</v>
      </c>
    </row>
    <row r="111" spans="1:15" s="204" customFormat="1" ht="17.149999999999999" customHeight="1">
      <c r="A111" s="197" t="s">
        <v>365</v>
      </c>
      <c r="B111" s="1088" t="s">
        <v>1171</v>
      </c>
      <c r="C111" s="207">
        <v>3451200.73</v>
      </c>
      <c r="D111" s="207">
        <v>8942707.5960000008</v>
      </c>
      <c r="E111" s="207">
        <v>14946983.620999999</v>
      </c>
      <c r="F111" s="207">
        <v>20322398.204999998</v>
      </c>
      <c r="G111" s="207">
        <v>23378394.721999999</v>
      </c>
      <c r="H111" s="207">
        <v>28717414.504999999</v>
      </c>
      <c r="I111" s="207">
        <v>64596027.957000002</v>
      </c>
      <c r="J111" s="207">
        <v>67525293.465000004</v>
      </c>
      <c r="K111" s="207">
        <v>174642079.72400001</v>
      </c>
      <c r="L111" s="207">
        <v>157853084.41600001</v>
      </c>
      <c r="M111" s="207">
        <v>636445051.19000006</v>
      </c>
      <c r="N111" s="590">
        <f t="shared" si="4"/>
        <v>1200820636.131</v>
      </c>
    </row>
    <row r="112" spans="1:15" s="213" customFormat="1" ht="34" customHeight="1">
      <c r="A112" s="172" t="s">
        <v>369</v>
      </c>
      <c r="B112" s="1108" t="s">
        <v>1172</v>
      </c>
      <c r="C112" s="171">
        <v>5701185.983</v>
      </c>
      <c r="D112" s="171">
        <v>14992495.016000001</v>
      </c>
      <c r="E112" s="171">
        <v>23087037.457000002</v>
      </c>
      <c r="F112" s="171">
        <v>30438237.574999999</v>
      </c>
      <c r="G112" s="171">
        <v>38343073.129000001</v>
      </c>
      <c r="H112" s="171">
        <v>43269233.659999996</v>
      </c>
      <c r="I112" s="171">
        <v>98623322.925000012</v>
      </c>
      <c r="J112" s="171">
        <v>95672197.909999996</v>
      </c>
      <c r="K112" s="171">
        <v>199739288.31200001</v>
      </c>
      <c r="L112" s="171">
        <v>158244497.38800001</v>
      </c>
      <c r="M112" s="171">
        <v>574678632.801</v>
      </c>
      <c r="N112" s="272">
        <f t="shared" si="4"/>
        <v>1282789202.1560001</v>
      </c>
      <c r="O112" s="204"/>
    </row>
    <row r="113" spans="1:14" ht="17.149999999999999" customHeight="1">
      <c r="A113" s="196" t="s">
        <v>373</v>
      </c>
      <c r="B113" s="1109" t="s">
        <v>1173</v>
      </c>
      <c r="C113" s="206">
        <v>1559495.77</v>
      </c>
      <c r="D113" s="206">
        <v>4631954.216</v>
      </c>
      <c r="E113" s="206">
        <v>7299371.9670000002</v>
      </c>
      <c r="F113" s="206">
        <v>9832473.6520000007</v>
      </c>
      <c r="G113" s="206">
        <v>12271491.435000001</v>
      </c>
      <c r="H113" s="206">
        <v>13941736.903000001</v>
      </c>
      <c r="I113" s="206">
        <v>33218952.807</v>
      </c>
      <c r="J113" s="206">
        <v>33449989.651000001</v>
      </c>
      <c r="K113" s="206">
        <v>72764774.416999996</v>
      </c>
      <c r="L113" s="206">
        <v>67702927.497999996</v>
      </c>
      <c r="M113" s="206">
        <v>228319834.347</v>
      </c>
      <c r="N113" s="590">
        <f t="shared" si="4"/>
        <v>484993002.66299999</v>
      </c>
    </row>
    <row r="114" spans="1:14" ht="17.149999999999999" customHeight="1">
      <c r="A114" s="196" t="s">
        <v>377</v>
      </c>
      <c r="B114" s="1109" t="s">
        <v>1174</v>
      </c>
      <c r="C114" s="206">
        <v>3081686.2269000001</v>
      </c>
      <c r="D114" s="206">
        <v>8918551.1750000007</v>
      </c>
      <c r="E114" s="206">
        <v>13502525.637</v>
      </c>
      <c r="F114" s="206">
        <v>16643026.671</v>
      </c>
      <c r="G114" s="206">
        <v>21254288.392000001</v>
      </c>
      <c r="H114" s="206">
        <v>24078005.079</v>
      </c>
      <c r="I114" s="206">
        <v>53269959.732999995</v>
      </c>
      <c r="J114" s="206">
        <v>45324670.577</v>
      </c>
      <c r="K114" s="206">
        <v>100141930.377</v>
      </c>
      <c r="L114" s="206">
        <v>75868518.856999993</v>
      </c>
      <c r="M114" s="206">
        <v>181967290.76899999</v>
      </c>
      <c r="N114" s="590">
        <f t="shared" si="4"/>
        <v>544050453.49390006</v>
      </c>
    </row>
    <row r="115" spans="1:14" ht="17.149999999999999" customHeight="1">
      <c r="A115" s="196" t="s">
        <v>381</v>
      </c>
      <c r="B115" s="1109" t="s">
        <v>1175</v>
      </c>
      <c r="C115" s="206">
        <v>2415324.5359999998</v>
      </c>
      <c r="D115" s="206">
        <v>7107931.4459999995</v>
      </c>
      <c r="E115" s="206">
        <v>11249842.032000002</v>
      </c>
      <c r="F115" s="206">
        <v>15155400.864</v>
      </c>
      <c r="G115" s="206">
        <v>18903454.829999998</v>
      </c>
      <c r="H115" s="206">
        <v>22759987.498</v>
      </c>
      <c r="I115" s="206">
        <v>52869579.240999997</v>
      </c>
      <c r="J115" s="206">
        <v>47181466.990999997</v>
      </c>
      <c r="K115" s="206">
        <v>104263588.86399999</v>
      </c>
      <c r="L115" s="206">
        <v>82694086.357999995</v>
      </c>
      <c r="M115" s="206">
        <v>198638275.477</v>
      </c>
      <c r="N115" s="590">
        <f t="shared" si="4"/>
        <v>563238938.13699996</v>
      </c>
    </row>
    <row r="116" spans="1:14" ht="17.149999999999999" customHeight="1">
      <c r="A116" s="196" t="s">
        <v>385</v>
      </c>
      <c r="B116" s="1109" t="s">
        <v>1176</v>
      </c>
      <c r="C116" s="206">
        <v>5393093.4153999994</v>
      </c>
      <c r="D116" s="206">
        <v>13598005.058999998</v>
      </c>
      <c r="E116" s="206">
        <v>18713894.563000001</v>
      </c>
      <c r="F116" s="206">
        <v>23136997.217999998</v>
      </c>
      <c r="G116" s="206">
        <v>29690209.640999999</v>
      </c>
      <c r="H116" s="206">
        <v>34688088.531000003</v>
      </c>
      <c r="I116" s="206">
        <v>78257289.281000003</v>
      </c>
      <c r="J116" s="206">
        <v>91302061.51699999</v>
      </c>
      <c r="K116" s="206">
        <v>237124379.46599999</v>
      </c>
      <c r="L116" s="206">
        <v>249179372.567</v>
      </c>
      <c r="M116" s="206">
        <v>1592043872.625</v>
      </c>
      <c r="N116" s="590">
        <f t="shared" si="4"/>
        <v>2373127263.8834</v>
      </c>
    </row>
    <row r="117" spans="1:14" ht="17.149999999999999" customHeight="1">
      <c r="A117" s="197"/>
      <c r="B117" s="1088"/>
      <c r="C117" s="206"/>
      <c r="D117" s="206"/>
      <c r="E117" s="206"/>
      <c r="F117" s="206"/>
      <c r="G117" s="206"/>
      <c r="H117" s="206"/>
      <c r="I117" s="206"/>
      <c r="J117" s="206"/>
      <c r="K117" s="206"/>
      <c r="L117" s="206"/>
      <c r="M117" s="206"/>
      <c r="N117" s="248"/>
    </row>
    <row r="118" spans="1:14" s="216" customFormat="1" ht="17.149999999999999" customHeight="1">
      <c r="A118" s="214" t="s">
        <v>22</v>
      </c>
      <c r="B118" s="1110"/>
      <c r="C118" s="215">
        <f>SUM(C8:C42)+SUM(C50:C84)+SUM(C92:C116)</f>
        <v>486612915.51659995</v>
      </c>
      <c r="D118" s="215">
        <f t="shared" ref="D118:N118" si="5">SUM(D8:D42)+SUM(D50:D84)+SUM(D92:D116)</f>
        <v>1274923889.3397999</v>
      </c>
      <c r="E118" s="215">
        <f t="shared" si="5"/>
        <v>1953277449.2520003</v>
      </c>
      <c r="F118" s="215">
        <f t="shared" si="5"/>
        <v>2489622737.5231004</v>
      </c>
      <c r="G118" s="215">
        <f t="shared" si="5"/>
        <v>3014329026.6818995</v>
      </c>
      <c r="H118" s="215">
        <f t="shared" si="5"/>
        <v>3551258568.5240002</v>
      </c>
      <c r="I118" s="215">
        <f t="shared" si="5"/>
        <v>8338422480.680501</v>
      </c>
      <c r="J118" s="215">
        <f t="shared" si="5"/>
        <v>8980091224.6590004</v>
      </c>
      <c r="K118" s="215">
        <f t="shared" si="5"/>
        <v>22448896273.034</v>
      </c>
      <c r="L118" s="215">
        <f t="shared" si="5"/>
        <v>21629825019.335403</v>
      </c>
      <c r="M118" s="215">
        <f t="shared" si="5"/>
        <v>167241698338.08902</v>
      </c>
      <c r="N118" s="215">
        <f t="shared" si="5"/>
        <v>241408957922.63525</v>
      </c>
    </row>
    <row r="119" spans="1:14" s="212" customFormat="1" ht="17.149999999999999" customHeight="1">
      <c r="A119" s="217"/>
      <c r="B119" s="1105"/>
      <c r="C119" s="218"/>
      <c r="D119" s="218"/>
      <c r="E119" s="218"/>
      <c r="F119" s="218"/>
      <c r="G119" s="218"/>
      <c r="H119" s="218"/>
      <c r="I119" s="218"/>
      <c r="J119" s="218"/>
      <c r="K119" s="218"/>
      <c r="L119" s="218"/>
      <c r="M119" s="218"/>
      <c r="N119" s="249"/>
    </row>
    <row r="120" spans="1:14" s="212" customFormat="1" ht="17.149999999999999" customHeight="1">
      <c r="A120" s="211"/>
      <c r="B120" s="1085"/>
      <c r="C120" s="211"/>
      <c r="D120" s="211"/>
      <c r="E120" s="211"/>
      <c r="F120" s="211"/>
      <c r="G120" s="211"/>
      <c r="H120" s="211"/>
      <c r="I120" s="211"/>
      <c r="J120" s="211"/>
      <c r="K120" s="211"/>
      <c r="L120" s="211"/>
      <c r="M120" s="211"/>
      <c r="N120" s="589"/>
    </row>
    <row r="121" spans="1:14" s="221" customFormat="1" ht="18">
      <c r="A121" s="208" t="s">
        <v>606</v>
      </c>
      <c r="B121" s="1126"/>
      <c r="C121" s="220"/>
      <c r="D121" s="220"/>
      <c r="E121" s="220"/>
      <c r="F121" s="220"/>
      <c r="G121" s="220"/>
      <c r="H121" s="220"/>
      <c r="I121" s="220"/>
      <c r="J121" s="220"/>
      <c r="K121" s="220"/>
      <c r="L121" s="220"/>
      <c r="M121" s="220"/>
      <c r="N121" s="250"/>
    </row>
    <row r="122" spans="1:14" ht="17.149999999999999" customHeight="1">
      <c r="A122" s="201" t="s">
        <v>604</v>
      </c>
      <c r="B122" s="1124"/>
      <c r="C122" s="222"/>
      <c r="D122" s="222"/>
      <c r="E122" s="222"/>
      <c r="F122" s="222"/>
      <c r="G122" s="222"/>
      <c r="H122" s="222"/>
      <c r="I122" s="222"/>
      <c r="J122" s="222"/>
      <c r="K122" s="222"/>
      <c r="L122" s="222"/>
      <c r="M122" s="222"/>
      <c r="N122" s="251"/>
    </row>
    <row r="123" spans="1:14" ht="17.149999999999999" customHeight="1">
      <c r="A123" s="202" t="str">
        <f>A3</f>
        <v>Taxable Year 2020</v>
      </c>
      <c r="B123" s="1125"/>
      <c r="C123" s="223"/>
      <c r="D123" s="223"/>
      <c r="E123" s="223"/>
      <c r="F123" s="223"/>
      <c r="G123" s="223"/>
      <c r="H123" s="223"/>
      <c r="I123" s="223"/>
      <c r="J123" s="223"/>
      <c r="K123" s="223"/>
      <c r="L123" s="223"/>
      <c r="M123" s="223"/>
      <c r="N123" s="252"/>
    </row>
    <row r="124" spans="1:14" ht="2" customHeight="1">
      <c r="C124" s="210">
        <f t="shared" ref="C124:N124" si="6">SUM(C128:C147)</f>
        <v>90731923.496799991</v>
      </c>
      <c r="D124" s="210">
        <f t="shared" si="6"/>
        <v>242618485.35399997</v>
      </c>
      <c r="E124" s="210">
        <f t="shared" si="6"/>
        <v>375704897.53910005</v>
      </c>
      <c r="F124" s="210">
        <f t="shared" si="6"/>
        <v>476694595.40999997</v>
      </c>
      <c r="G124" s="210">
        <f t="shared" si="6"/>
        <v>576624448.25950003</v>
      </c>
      <c r="H124" s="210">
        <f t="shared" si="6"/>
        <v>670527507.87600017</v>
      </c>
      <c r="I124" s="210">
        <f t="shared" si="6"/>
        <v>1508202509.1639998</v>
      </c>
      <c r="J124" s="210">
        <f t="shared" si="6"/>
        <v>1594582258.4559999</v>
      </c>
      <c r="K124" s="210">
        <f t="shared" si="6"/>
        <v>3689491478.8330002</v>
      </c>
      <c r="L124" s="210">
        <f t="shared" si="6"/>
        <v>3195753910.5620999</v>
      </c>
      <c r="M124" s="210">
        <f t="shared" si="6"/>
        <v>18493991333.589001</v>
      </c>
      <c r="N124" s="210">
        <f t="shared" si="6"/>
        <v>30914923348.539497</v>
      </c>
    </row>
    <row r="125" spans="1:14" ht="2" customHeight="1">
      <c r="A125" s="202"/>
      <c r="B125" s="1125"/>
      <c r="D125" s="203"/>
      <c r="E125" s="203"/>
      <c r="F125" s="203"/>
      <c r="G125" s="203"/>
      <c r="H125" s="203"/>
      <c r="I125" s="203"/>
      <c r="J125" s="203"/>
      <c r="K125" s="203"/>
      <c r="L125" s="203"/>
      <c r="M125" s="203"/>
      <c r="N125" s="1116"/>
    </row>
    <row r="126" spans="1:14" ht="2" customHeight="1" thickBot="1">
      <c r="A126" s="201"/>
      <c r="B126" s="1124"/>
      <c r="D126" s="1117"/>
      <c r="E126" s="1117"/>
      <c r="F126" s="1117"/>
      <c r="G126" s="1117"/>
      <c r="H126" s="1117"/>
      <c r="I126" s="1117"/>
      <c r="J126" s="1117"/>
      <c r="K126" s="1117"/>
      <c r="L126" s="1117"/>
      <c r="M126" s="1117"/>
      <c r="N126" s="1118"/>
    </row>
    <row r="127" spans="1:14" ht="26">
      <c r="A127" s="1120" t="s">
        <v>23</v>
      </c>
      <c r="B127" s="1122" t="s">
        <v>963</v>
      </c>
      <c r="C127" s="1121" t="s">
        <v>605</v>
      </c>
      <c r="D127" s="1119" t="s">
        <v>1220</v>
      </c>
      <c r="E127" s="1119" t="s">
        <v>1221</v>
      </c>
      <c r="F127" s="1119" t="s">
        <v>1222</v>
      </c>
      <c r="G127" s="1119" t="s">
        <v>1223</v>
      </c>
      <c r="H127" s="1119" t="s">
        <v>1224</v>
      </c>
      <c r="I127" s="1119" t="s">
        <v>1225</v>
      </c>
      <c r="J127" s="1119" t="s">
        <v>1226</v>
      </c>
      <c r="K127" s="1119" t="s">
        <v>1227</v>
      </c>
      <c r="L127" s="1119" t="s">
        <v>1228</v>
      </c>
      <c r="M127" s="1119" t="s">
        <v>1229</v>
      </c>
      <c r="N127" s="1119" t="s">
        <v>1230</v>
      </c>
    </row>
    <row r="128" spans="1:14" s="204" customFormat="1" ht="21" customHeight="1">
      <c r="A128" s="196" t="s">
        <v>402</v>
      </c>
      <c r="B128" s="1109" t="s">
        <v>1177</v>
      </c>
      <c r="C128" s="171">
        <v>13668549.9559</v>
      </c>
      <c r="D128" s="171">
        <v>34475601.165999994</v>
      </c>
      <c r="E128" s="171">
        <v>53024404.512999997</v>
      </c>
      <c r="F128" s="171">
        <v>62582722.037</v>
      </c>
      <c r="G128" s="171">
        <v>74212334.431799993</v>
      </c>
      <c r="H128" s="171">
        <v>82202479.145999998</v>
      </c>
      <c r="I128" s="171">
        <v>182943697.683</v>
      </c>
      <c r="J128" s="171">
        <v>224979274.67299998</v>
      </c>
      <c r="K128" s="171">
        <v>709862984.227</v>
      </c>
      <c r="L128" s="171">
        <v>776250882.43690002</v>
      </c>
      <c r="M128" s="171">
        <v>7046025075.6990004</v>
      </c>
      <c r="N128" s="272">
        <f t="shared" ref="N128:N156" si="7">SUM(C128:M128)</f>
        <v>9260228005.9686012</v>
      </c>
    </row>
    <row r="129" spans="1:14" s="204" customFormat="1" ht="14.15" customHeight="1">
      <c r="A129" s="196" t="s">
        <v>407</v>
      </c>
      <c r="B129" s="1109" t="s">
        <v>1178</v>
      </c>
      <c r="C129" s="206">
        <v>3589935.3001999999</v>
      </c>
      <c r="D129" s="206">
        <v>8445987.2880000006</v>
      </c>
      <c r="E129" s="206">
        <v>12224081.137</v>
      </c>
      <c r="F129" s="206">
        <v>14929270.210000001</v>
      </c>
      <c r="G129" s="206">
        <v>18807529.971000001</v>
      </c>
      <c r="H129" s="206">
        <v>20699139.142000001</v>
      </c>
      <c r="I129" s="206">
        <v>44439413.364</v>
      </c>
      <c r="J129" s="206">
        <v>38132391.225000001</v>
      </c>
      <c r="K129" s="206">
        <v>61690845.122000001</v>
      </c>
      <c r="L129" s="206">
        <v>47248808.983999997</v>
      </c>
      <c r="M129" s="206">
        <v>122543616.587</v>
      </c>
      <c r="N129" s="590">
        <f t="shared" si="7"/>
        <v>392751018.33020002</v>
      </c>
    </row>
    <row r="130" spans="1:14" s="204" customFormat="1" ht="14.15" customHeight="1">
      <c r="A130" s="196" t="s">
        <v>410</v>
      </c>
      <c r="B130" s="1109" t="s">
        <v>1179</v>
      </c>
      <c r="C130" s="206">
        <v>753172.70400000003</v>
      </c>
      <c r="D130" s="206">
        <v>1851774.34</v>
      </c>
      <c r="E130" s="206">
        <v>2932834.801</v>
      </c>
      <c r="F130" s="206">
        <v>3473241.733</v>
      </c>
      <c r="G130" s="206">
        <v>4599600.3109999998</v>
      </c>
      <c r="H130" s="206">
        <v>6005397.2960000001</v>
      </c>
      <c r="I130" s="206">
        <v>10738849.364</v>
      </c>
      <c r="J130" s="206">
        <v>11614070.456</v>
      </c>
      <c r="K130" s="206">
        <v>22211611.065000001</v>
      </c>
      <c r="L130" s="206">
        <v>15692822.592</v>
      </c>
      <c r="M130" s="206">
        <v>24891133.144000001</v>
      </c>
      <c r="N130" s="590">
        <f t="shared" si="7"/>
        <v>104764507.80599999</v>
      </c>
    </row>
    <row r="131" spans="1:14" s="204" customFormat="1" ht="14.15" customHeight="1">
      <c r="A131" s="196" t="s">
        <v>413</v>
      </c>
      <c r="B131" s="1109" t="s">
        <v>1180</v>
      </c>
      <c r="C131" s="206">
        <v>4562478.7680000002</v>
      </c>
      <c r="D131" s="206">
        <v>11679053.739</v>
      </c>
      <c r="E131" s="206">
        <v>16778244.427999999</v>
      </c>
      <c r="F131" s="206">
        <v>22263041.738000002</v>
      </c>
      <c r="G131" s="206">
        <v>26758167.024999999</v>
      </c>
      <c r="H131" s="206">
        <v>32848129.794</v>
      </c>
      <c r="I131" s="206">
        <v>70439079.314999998</v>
      </c>
      <c r="J131" s="206">
        <v>72652831.094999999</v>
      </c>
      <c r="K131" s="206">
        <v>164568197.36000001</v>
      </c>
      <c r="L131" s="206">
        <v>123536864.388</v>
      </c>
      <c r="M131" s="206">
        <v>953840323.59300005</v>
      </c>
      <c r="N131" s="590">
        <f t="shared" si="7"/>
        <v>1499926411.243</v>
      </c>
    </row>
    <row r="132" spans="1:14" s="204" customFormat="1" ht="14.15" customHeight="1">
      <c r="A132" s="196" t="s">
        <v>416</v>
      </c>
      <c r="B132" s="1109" t="s">
        <v>1181</v>
      </c>
      <c r="C132" s="206">
        <v>19774503.666000001</v>
      </c>
      <c r="D132" s="206">
        <v>53606461.711999997</v>
      </c>
      <c r="E132" s="206">
        <v>82074835.282100007</v>
      </c>
      <c r="F132" s="206">
        <v>107344394.772</v>
      </c>
      <c r="G132" s="206">
        <v>131508600.96600001</v>
      </c>
      <c r="H132" s="206">
        <v>156517477.40900001</v>
      </c>
      <c r="I132" s="206">
        <v>363791098.80400002</v>
      </c>
      <c r="J132" s="206">
        <v>399627155.39700001</v>
      </c>
      <c r="K132" s="206">
        <v>962689676.023</v>
      </c>
      <c r="L132" s="206">
        <v>867570264.85000002</v>
      </c>
      <c r="M132" s="206">
        <v>4044580530.8639998</v>
      </c>
      <c r="N132" s="590">
        <f t="shared" si="7"/>
        <v>7189084999.7451</v>
      </c>
    </row>
    <row r="133" spans="1:14" s="204" customFormat="1" ht="21" customHeight="1">
      <c r="A133" s="196" t="s">
        <v>419</v>
      </c>
      <c r="B133" s="1109" t="s">
        <v>1182</v>
      </c>
      <c r="C133" s="206">
        <v>1523491.1300000001</v>
      </c>
      <c r="D133" s="206">
        <v>4486071.87</v>
      </c>
      <c r="E133" s="206">
        <v>7538688.5290000001</v>
      </c>
      <c r="F133" s="206">
        <v>9381615.5510000009</v>
      </c>
      <c r="G133" s="206">
        <v>12494282.306</v>
      </c>
      <c r="H133" s="206">
        <v>15279040.186000001</v>
      </c>
      <c r="I133" s="206">
        <v>36643580.052000001</v>
      </c>
      <c r="J133" s="206">
        <v>38722560.468999997</v>
      </c>
      <c r="K133" s="206">
        <v>76454329.559</v>
      </c>
      <c r="L133" s="206">
        <v>60947934.285999998</v>
      </c>
      <c r="M133" s="206">
        <v>155011478.28</v>
      </c>
      <c r="N133" s="590">
        <f t="shared" si="7"/>
        <v>418483072.21800005</v>
      </c>
    </row>
    <row r="134" spans="1:14" s="204" customFormat="1" ht="14.15" customHeight="1">
      <c r="A134" s="196" t="s">
        <v>422</v>
      </c>
      <c r="B134" s="1109" t="s">
        <v>1183</v>
      </c>
      <c r="C134" s="206">
        <v>756426.83</v>
      </c>
      <c r="D134" s="206">
        <v>1978965.07</v>
      </c>
      <c r="E134" s="206">
        <v>2917103.2489999998</v>
      </c>
      <c r="F134" s="206">
        <v>4009831.26</v>
      </c>
      <c r="G134" s="206">
        <v>5054798.1310000001</v>
      </c>
      <c r="H134" s="206">
        <v>5842742.0760000004</v>
      </c>
      <c r="I134" s="206">
        <v>11408232.254999999</v>
      </c>
      <c r="J134" s="206">
        <v>11336465.077</v>
      </c>
      <c r="K134" s="206">
        <v>21103364.57</v>
      </c>
      <c r="L134" s="206">
        <v>12874034.140000001</v>
      </c>
      <c r="M134" s="206">
        <v>30004475.642999999</v>
      </c>
      <c r="N134" s="590">
        <f t="shared" si="7"/>
        <v>107286438.301</v>
      </c>
    </row>
    <row r="135" spans="1:14" s="204" customFormat="1" ht="14.15" customHeight="1">
      <c r="A135" s="196" t="s">
        <v>425</v>
      </c>
      <c r="B135" s="1109" t="s">
        <v>1184</v>
      </c>
      <c r="C135" s="206">
        <v>5089421.7259999998</v>
      </c>
      <c r="D135" s="206">
        <v>14324429.541999999</v>
      </c>
      <c r="E135" s="206">
        <v>24972499.386999998</v>
      </c>
      <c r="F135" s="206">
        <v>31559253.409000002</v>
      </c>
      <c r="G135" s="206">
        <v>34125844.244999997</v>
      </c>
      <c r="H135" s="206">
        <v>38007676.457999997</v>
      </c>
      <c r="I135" s="206">
        <v>76481755.760000005</v>
      </c>
      <c r="J135" s="206">
        <v>69320853.194999993</v>
      </c>
      <c r="K135" s="206">
        <v>131983388.456</v>
      </c>
      <c r="L135" s="206">
        <v>83618119.605000004</v>
      </c>
      <c r="M135" s="206">
        <v>270527148.71399999</v>
      </c>
      <c r="N135" s="590">
        <f t="shared" si="7"/>
        <v>780010390.49699998</v>
      </c>
    </row>
    <row r="136" spans="1:14" s="204" customFormat="1" ht="14.15" customHeight="1">
      <c r="A136" s="196" t="s">
        <v>428</v>
      </c>
      <c r="B136" s="1109" t="s">
        <v>1185</v>
      </c>
      <c r="C136" s="206">
        <v>781970.1139</v>
      </c>
      <c r="D136" s="206">
        <v>2351131.9390000002</v>
      </c>
      <c r="E136" s="166">
        <v>3667962.8430000003</v>
      </c>
      <c r="F136" s="166">
        <v>4243118.9670000002</v>
      </c>
      <c r="G136" s="206">
        <v>4303263.6969999997</v>
      </c>
      <c r="H136" s="206">
        <v>4929587.915</v>
      </c>
      <c r="I136" s="206">
        <v>10366589.361</v>
      </c>
      <c r="J136" s="206">
        <v>10026112.019000001</v>
      </c>
      <c r="K136" s="206">
        <v>15118471.313999999</v>
      </c>
      <c r="L136" s="206">
        <v>8059146.9649999999</v>
      </c>
      <c r="M136" s="206">
        <v>19007932.846999999</v>
      </c>
      <c r="N136" s="590">
        <f t="shared" si="7"/>
        <v>82855287.980900005</v>
      </c>
    </row>
    <row r="137" spans="1:14" s="204" customFormat="1" ht="14.15" customHeight="1">
      <c r="A137" s="196" t="s">
        <v>423</v>
      </c>
      <c r="B137" s="1109" t="s">
        <v>1186</v>
      </c>
      <c r="C137" s="206">
        <v>3378926.6389999995</v>
      </c>
      <c r="D137" s="206">
        <v>7333910.0930000003</v>
      </c>
      <c r="E137" s="206">
        <v>9906654.602</v>
      </c>
      <c r="F137" s="206">
        <v>12003136.346000001</v>
      </c>
      <c r="G137" s="206">
        <v>13714638.338</v>
      </c>
      <c r="H137" s="206">
        <v>15031398.691</v>
      </c>
      <c r="I137" s="206">
        <v>33635084.722000003</v>
      </c>
      <c r="J137" s="206">
        <v>40251922.717</v>
      </c>
      <c r="K137" s="206">
        <v>108116265.402</v>
      </c>
      <c r="L137" s="206">
        <v>110110510.11300001</v>
      </c>
      <c r="M137" s="206">
        <v>1047048624.455</v>
      </c>
      <c r="N137" s="590">
        <f t="shared" si="7"/>
        <v>1400531072.118</v>
      </c>
    </row>
    <row r="138" spans="1:14" s="204" customFormat="1" ht="21" customHeight="1">
      <c r="A138" s="196" t="s">
        <v>433</v>
      </c>
      <c r="B138" s="1109" t="s">
        <v>1187</v>
      </c>
      <c r="C138" s="206">
        <v>1447876.1577999999</v>
      </c>
      <c r="D138" s="206">
        <v>2762548.577</v>
      </c>
      <c r="E138" s="206">
        <v>3707701.3339999998</v>
      </c>
      <c r="F138" s="206">
        <v>4958184.2980000004</v>
      </c>
      <c r="G138" s="206">
        <v>6135049.2599999998</v>
      </c>
      <c r="H138" s="206">
        <v>6405967.3360000001</v>
      </c>
      <c r="I138" s="206">
        <v>12818050.357000001</v>
      </c>
      <c r="J138" s="206">
        <v>19006908.465000004</v>
      </c>
      <c r="K138" s="206">
        <v>52718332.748000003</v>
      </c>
      <c r="L138" s="206">
        <v>61894084.244999997</v>
      </c>
      <c r="M138" s="206">
        <v>1017662476.934</v>
      </c>
      <c r="N138" s="590">
        <f t="shared" si="7"/>
        <v>1189517179.7118001</v>
      </c>
    </row>
    <row r="139" spans="1:14" s="204" customFormat="1" ht="14.15" customHeight="1">
      <c r="A139" s="196" t="s">
        <v>24</v>
      </c>
      <c r="B139" s="1109" t="s">
        <v>1188</v>
      </c>
      <c r="C139" s="166">
        <v>923937.82700000005</v>
      </c>
      <c r="D139" s="166">
        <v>2701122.9790000003</v>
      </c>
      <c r="E139" s="166">
        <v>4474482.6280000005</v>
      </c>
      <c r="F139" s="166">
        <v>4699061.4919999996</v>
      </c>
      <c r="G139" s="166">
        <v>6413378.0410000002</v>
      </c>
      <c r="H139" s="166">
        <v>6702107.4639999997</v>
      </c>
      <c r="I139" s="166">
        <v>14567674.879000001</v>
      </c>
      <c r="J139" s="166">
        <v>13786996.017999999</v>
      </c>
      <c r="K139" s="166">
        <v>26246989.829</v>
      </c>
      <c r="L139" s="166">
        <v>17713481.791000001</v>
      </c>
      <c r="M139" s="166">
        <v>47351065.182999998</v>
      </c>
      <c r="N139" s="590">
        <f t="shared" si="7"/>
        <v>145580298.13100001</v>
      </c>
    </row>
    <row r="140" spans="1:14" s="204" customFormat="1" ht="14.15" customHeight="1">
      <c r="A140" s="196" t="s">
        <v>438</v>
      </c>
      <c r="B140" s="1109" t="s">
        <v>1189</v>
      </c>
      <c r="C140" s="166">
        <v>2769848.2430000002</v>
      </c>
      <c r="D140" s="166">
        <v>7648199.199</v>
      </c>
      <c r="E140" s="166">
        <v>12463933.097999999</v>
      </c>
      <c r="F140" s="166">
        <v>15624711.273</v>
      </c>
      <c r="G140" s="166">
        <v>18092660.477000002</v>
      </c>
      <c r="H140" s="166">
        <v>20457298.291000001</v>
      </c>
      <c r="I140" s="166">
        <v>46816647.078999996</v>
      </c>
      <c r="J140" s="166">
        <v>51264625.489</v>
      </c>
      <c r="K140" s="166">
        <v>108150290.84999999</v>
      </c>
      <c r="L140" s="166">
        <v>85712225.122999996</v>
      </c>
      <c r="M140" s="166">
        <v>671479053.74199998</v>
      </c>
      <c r="N140" s="590">
        <f t="shared" si="7"/>
        <v>1040479492.864</v>
      </c>
    </row>
    <row r="141" spans="1:14" s="204" customFormat="1" ht="14.15" customHeight="1">
      <c r="A141" s="196" t="s">
        <v>441</v>
      </c>
      <c r="B141" s="1109" t="s">
        <v>1190</v>
      </c>
      <c r="C141" s="166">
        <v>1125927.0120000001</v>
      </c>
      <c r="D141" s="166">
        <v>2394591.6239999998</v>
      </c>
      <c r="E141" s="166">
        <v>3822576.9090000005</v>
      </c>
      <c r="F141" s="166">
        <v>4869682.523</v>
      </c>
      <c r="G141" s="166">
        <v>6172278.0460000001</v>
      </c>
      <c r="H141" s="166">
        <v>6236508.9000000004</v>
      </c>
      <c r="I141" s="166">
        <v>13743517.213</v>
      </c>
      <c r="J141" s="166">
        <v>10710089.227</v>
      </c>
      <c r="K141" s="166">
        <v>20941332.054000001</v>
      </c>
      <c r="L141" s="166">
        <v>15203499.288000001</v>
      </c>
      <c r="M141" s="166">
        <v>39551869.814000003</v>
      </c>
      <c r="N141" s="590">
        <f t="shared" si="7"/>
        <v>124771872.61000001</v>
      </c>
    </row>
    <row r="142" spans="1:14" s="204" customFormat="1" ht="14.15" customHeight="1">
      <c r="A142" s="196" t="s">
        <v>443</v>
      </c>
      <c r="B142" s="1109" t="s">
        <v>1191</v>
      </c>
      <c r="C142" s="166">
        <v>11125770.758000001</v>
      </c>
      <c r="D142" s="166">
        <v>33767875.349999994</v>
      </c>
      <c r="E142" s="166">
        <v>53521150.908</v>
      </c>
      <c r="F142" s="166">
        <v>68495757.111000001</v>
      </c>
      <c r="G142" s="166">
        <v>86289953.603</v>
      </c>
      <c r="H142" s="166">
        <v>102185191.91599999</v>
      </c>
      <c r="I142" s="166">
        <v>236813187.74699998</v>
      </c>
      <c r="J142" s="166">
        <v>247134373.92799997</v>
      </c>
      <c r="K142" s="166">
        <v>523318454.236</v>
      </c>
      <c r="L142" s="166">
        <v>391803879.676</v>
      </c>
      <c r="M142" s="166">
        <v>1009973146</v>
      </c>
      <c r="N142" s="590">
        <f t="shared" si="7"/>
        <v>2764428741.2329998</v>
      </c>
    </row>
    <row r="143" spans="1:14" s="204" customFormat="1" ht="21" customHeight="1">
      <c r="A143" s="196" t="s">
        <v>445</v>
      </c>
      <c r="B143" s="1109" t="s">
        <v>1192</v>
      </c>
      <c r="C143" s="166">
        <v>4591229.0422</v>
      </c>
      <c r="D143" s="166">
        <v>12036906.723000001</v>
      </c>
      <c r="E143" s="166">
        <v>18507129.125</v>
      </c>
      <c r="F143" s="166">
        <v>21922850.067000002</v>
      </c>
      <c r="G143" s="166">
        <v>27666317.436700001</v>
      </c>
      <c r="H143" s="166">
        <v>34038279.739</v>
      </c>
      <c r="I143" s="166">
        <v>82049450.312999994</v>
      </c>
      <c r="J143" s="166">
        <v>79984682.524000004</v>
      </c>
      <c r="K143" s="166">
        <v>143784906.104</v>
      </c>
      <c r="L143" s="166">
        <v>106247149.233</v>
      </c>
      <c r="M143" s="166">
        <v>316053659.42500001</v>
      </c>
      <c r="N143" s="590">
        <f t="shared" si="7"/>
        <v>846882559.73189998</v>
      </c>
    </row>
    <row r="144" spans="1:14" s="204" customFormat="1" ht="14.15" customHeight="1">
      <c r="A144" s="166" t="s">
        <v>448</v>
      </c>
      <c r="B144" s="1081" t="s">
        <v>1193</v>
      </c>
      <c r="C144" s="166">
        <v>2107355.9928000001</v>
      </c>
      <c r="D144" s="166">
        <v>6770644.6579999998</v>
      </c>
      <c r="E144" s="166">
        <v>10960051.912</v>
      </c>
      <c r="F144" s="166">
        <v>14423716.924000001</v>
      </c>
      <c r="G144" s="166">
        <v>19015898.164000001</v>
      </c>
      <c r="H144" s="166">
        <v>21574327.598000001</v>
      </c>
      <c r="I144" s="166">
        <v>47519793.589000002</v>
      </c>
      <c r="J144" s="166">
        <v>43061401.956</v>
      </c>
      <c r="K144" s="166">
        <v>79792172.806999996</v>
      </c>
      <c r="L144" s="166">
        <v>48651256.891199999</v>
      </c>
      <c r="M144" s="166">
        <v>86916055.643999994</v>
      </c>
      <c r="N144" s="590">
        <f t="shared" si="7"/>
        <v>380792676.13599998</v>
      </c>
    </row>
    <row r="145" spans="1:14" s="204" customFormat="1" ht="14.15" customHeight="1">
      <c r="A145" s="197" t="s">
        <v>451</v>
      </c>
      <c r="B145" s="1088" t="s">
        <v>1194</v>
      </c>
      <c r="C145" s="169">
        <v>652145.11599999992</v>
      </c>
      <c r="D145" s="169">
        <v>1298932.1530000002</v>
      </c>
      <c r="E145" s="169">
        <v>1926002.8650000002</v>
      </c>
      <c r="F145" s="169">
        <v>2674294.7000000002</v>
      </c>
      <c r="G145" s="169">
        <v>3332050.7080000001</v>
      </c>
      <c r="H145" s="169">
        <v>3670393.5109999999</v>
      </c>
      <c r="I145" s="169">
        <v>8025000.3849999998</v>
      </c>
      <c r="J145" s="169">
        <v>7759171.9519999996</v>
      </c>
      <c r="K145" s="169">
        <v>18905008.653999999</v>
      </c>
      <c r="L145" s="169">
        <v>17101310.627</v>
      </c>
      <c r="M145" s="169">
        <v>98108941.449000001</v>
      </c>
      <c r="N145" s="590">
        <f t="shared" si="7"/>
        <v>163453252.12</v>
      </c>
    </row>
    <row r="146" spans="1:14" s="204" customFormat="1" ht="14.15" customHeight="1">
      <c r="A146" s="197" t="s">
        <v>454</v>
      </c>
      <c r="B146" s="1088" t="s">
        <v>1195</v>
      </c>
      <c r="C146" s="169">
        <v>8183288.1679999996</v>
      </c>
      <c r="D146" s="169">
        <v>21530429.824000001</v>
      </c>
      <c r="E146" s="169">
        <v>32202468.006999999</v>
      </c>
      <c r="F146" s="169">
        <v>42917603.711999997</v>
      </c>
      <c r="G146" s="169">
        <v>51422389.18</v>
      </c>
      <c r="H146" s="169">
        <v>59844841.498000003</v>
      </c>
      <c r="I146" s="169">
        <v>133207834.807</v>
      </c>
      <c r="J146" s="169">
        <v>124200218.41</v>
      </c>
      <c r="K146" s="169">
        <v>241021158.00600001</v>
      </c>
      <c r="L146" s="169">
        <v>177906464.627</v>
      </c>
      <c r="M146" s="169">
        <v>852622646.85800004</v>
      </c>
      <c r="N146" s="590">
        <f t="shared" si="7"/>
        <v>1745059343.0970001</v>
      </c>
    </row>
    <row r="147" spans="1:14" s="204" customFormat="1" ht="14.15" customHeight="1">
      <c r="A147" s="196" t="s">
        <v>330</v>
      </c>
      <c r="B147" s="1109" t="s">
        <v>1196</v>
      </c>
      <c r="C147" s="166">
        <v>3925668.3470000001</v>
      </c>
      <c r="D147" s="166">
        <v>11173847.507999999</v>
      </c>
      <c r="E147" s="166">
        <v>18082091.981999997</v>
      </c>
      <c r="F147" s="166">
        <v>24319107.287</v>
      </c>
      <c r="G147" s="166">
        <v>26505413.921999998</v>
      </c>
      <c r="H147" s="166">
        <v>32049523.510000002</v>
      </c>
      <c r="I147" s="166">
        <v>71753972.114999995</v>
      </c>
      <c r="J147" s="166">
        <v>81010154.164000005</v>
      </c>
      <c r="K147" s="166">
        <v>200813700.447</v>
      </c>
      <c r="L147" s="166">
        <v>167611170.70100001</v>
      </c>
      <c r="M147" s="166">
        <v>640792078.71399999</v>
      </c>
      <c r="N147" s="590">
        <f t="shared" si="7"/>
        <v>1278036728.697</v>
      </c>
    </row>
    <row r="148" spans="1:14" s="204" customFormat="1" ht="21" customHeight="1">
      <c r="A148" s="196" t="s">
        <v>334</v>
      </c>
      <c r="B148" s="1109" t="s">
        <v>1197</v>
      </c>
      <c r="C148" s="172">
        <v>1725163.8740000001</v>
      </c>
      <c r="D148" s="172">
        <v>4861323.1830000002</v>
      </c>
      <c r="E148" s="172">
        <v>7941695.7010000004</v>
      </c>
      <c r="F148" s="172">
        <v>9563333.2359999996</v>
      </c>
      <c r="G148" s="172">
        <v>11372248.223999999</v>
      </c>
      <c r="H148" s="172">
        <v>11355545.405999999</v>
      </c>
      <c r="I148" s="172">
        <v>32421132.193</v>
      </c>
      <c r="J148" s="172">
        <v>34415123.170000002</v>
      </c>
      <c r="K148" s="172">
        <v>87681852.5</v>
      </c>
      <c r="L148" s="172">
        <v>75011913.545000002</v>
      </c>
      <c r="M148" s="172">
        <v>234334962.803</v>
      </c>
      <c r="N148" s="272">
        <f t="shared" si="7"/>
        <v>510684293.83500004</v>
      </c>
    </row>
    <row r="149" spans="1:14" s="204" customFormat="1" ht="14.15" customHeight="1">
      <c r="A149" s="196" t="s">
        <v>338</v>
      </c>
      <c r="B149" s="1109" t="s">
        <v>1198</v>
      </c>
      <c r="C149" s="166">
        <v>1712415.9380000001</v>
      </c>
      <c r="D149" s="166">
        <v>5007617.3870000001</v>
      </c>
      <c r="E149" s="166">
        <v>6942670.398</v>
      </c>
      <c r="F149" s="166">
        <v>9562246.1689999998</v>
      </c>
      <c r="G149" s="166">
        <v>11986981.097999999</v>
      </c>
      <c r="H149" s="166">
        <v>14182389.596000001</v>
      </c>
      <c r="I149" s="166">
        <v>26436462.502</v>
      </c>
      <c r="J149" s="166">
        <v>21240261.207000002</v>
      </c>
      <c r="K149" s="166">
        <v>36340977.998000003</v>
      </c>
      <c r="L149" s="166">
        <v>22909195.588</v>
      </c>
      <c r="M149" s="166">
        <v>79442057.637999997</v>
      </c>
      <c r="N149" s="590">
        <f t="shared" si="7"/>
        <v>235763275.51899999</v>
      </c>
    </row>
    <row r="150" spans="1:14" s="204" customFormat="1" ht="14.15" customHeight="1">
      <c r="A150" s="196" t="s">
        <v>342</v>
      </c>
      <c r="B150" s="1109" t="s">
        <v>1199</v>
      </c>
      <c r="C150" s="166">
        <v>15451055.2958</v>
      </c>
      <c r="D150" s="166">
        <v>45561568.479000002</v>
      </c>
      <c r="E150" s="166">
        <v>76322453.619000003</v>
      </c>
      <c r="F150" s="166">
        <v>96975894.354000002</v>
      </c>
      <c r="G150" s="166">
        <v>119560174.877</v>
      </c>
      <c r="H150" s="166">
        <v>143409492.40700001</v>
      </c>
      <c r="I150" s="166">
        <v>316636277.861</v>
      </c>
      <c r="J150" s="166">
        <v>325104323.12099999</v>
      </c>
      <c r="K150" s="166">
        <v>677095516.49300003</v>
      </c>
      <c r="L150" s="166">
        <v>516294529.71700001</v>
      </c>
      <c r="M150" s="166">
        <v>1508650525.056</v>
      </c>
      <c r="N150" s="590">
        <f t="shared" si="7"/>
        <v>3841061811.2798004</v>
      </c>
    </row>
    <row r="151" spans="1:14" s="204" customFormat="1" ht="14.15" customHeight="1">
      <c r="A151" s="196" t="s">
        <v>346</v>
      </c>
      <c r="B151" s="1109" t="s">
        <v>1200</v>
      </c>
      <c r="C151" s="166">
        <v>20140721.4175</v>
      </c>
      <c r="D151" s="166">
        <v>58344561.148000002</v>
      </c>
      <c r="E151" s="166">
        <v>94458299.994000003</v>
      </c>
      <c r="F151" s="166">
        <v>124258991.777</v>
      </c>
      <c r="G151" s="166">
        <v>144202940.10800001</v>
      </c>
      <c r="H151" s="166">
        <v>166757475.25999999</v>
      </c>
      <c r="I151" s="166">
        <v>355901517.21700001</v>
      </c>
      <c r="J151" s="166">
        <v>336332215.352</v>
      </c>
      <c r="K151" s="166">
        <v>707698360.59500003</v>
      </c>
      <c r="L151" s="166">
        <v>511713154.57200003</v>
      </c>
      <c r="M151" s="166">
        <v>2130668903.8099999</v>
      </c>
      <c r="N151" s="590">
        <f t="shared" si="7"/>
        <v>4650477141.2504997</v>
      </c>
    </row>
    <row r="152" spans="1:14" s="204" customFormat="1" ht="14.15" customHeight="1">
      <c r="A152" s="196" t="s">
        <v>350</v>
      </c>
      <c r="B152" s="1109" t="s">
        <v>1201</v>
      </c>
      <c r="C152" s="166">
        <v>499389.87099999998</v>
      </c>
      <c r="D152" s="166">
        <v>1304065.0079999999</v>
      </c>
      <c r="E152" s="166">
        <v>2061102.12</v>
      </c>
      <c r="F152" s="166">
        <v>2748004.6430000002</v>
      </c>
      <c r="G152" s="166">
        <v>3712431.219</v>
      </c>
      <c r="H152" s="166">
        <v>4439079.3760000002</v>
      </c>
      <c r="I152" s="166">
        <v>8362572.4610000011</v>
      </c>
      <c r="J152" s="166">
        <v>6815911.6090000002</v>
      </c>
      <c r="K152" s="166">
        <v>14062340.185000001</v>
      </c>
      <c r="L152" s="166">
        <v>10163282.535</v>
      </c>
      <c r="M152" s="166">
        <v>24247582.02</v>
      </c>
      <c r="N152" s="590">
        <f t="shared" si="7"/>
        <v>78415761.046999991</v>
      </c>
    </row>
    <row r="153" spans="1:14" s="204" customFormat="1" ht="21" customHeight="1">
      <c r="A153" s="196" t="s">
        <v>354</v>
      </c>
      <c r="B153" s="1109" t="s">
        <v>1202</v>
      </c>
      <c r="C153" s="166">
        <v>3615066.4779999997</v>
      </c>
      <c r="D153" s="166">
        <v>10542571.08</v>
      </c>
      <c r="E153" s="166">
        <v>16955313.100000001</v>
      </c>
      <c r="F153" s="166">
        <v>22945656.27</v>
      </c>
      <c r="G153" s="166">
        <v>28115454.307999998</v>
      </c>
      <c r="H153" s="166">
        <v>32209576.631999999</v>
      </c>
      <c r="I153" s="166">
        <v>69956553.403999999</v>
      </c>
      <c r="J153" s="166">
        <v>57128415.524999999</v>
      </c>
      <c r="K153" s="166">
        <v>91950501.113999993</v>
      </c>
      <c r="L153" s="166">
        <v>49467605.156999998</v>
      </c>
      <c r="M153" s="166">
        <v>88926832.501000002</v>
      </c>
      <c r="N153" s="590">
        <f t="shared" si="7"/>
        <v>471813545.56900001</v>
      </c>
    </row>
    <row r="154" spans="1:14" s="204" customFormat="1" ht="14.15" customHeight="1">
      <c r="A154" s="196" t="s">
        <v>358</v>
      </c>
      <c r="B154" s="1109" t="s">
        <v>1203</v>
      </c>
      <c r="C154" s="166">
        <v>830653.02500000002</v>
      </c>
      <c r="D154" s="166">
        <v>2268251.0419999999</v>
      </c>
      <c r="E154" s="166">
        <v>3326710.3279999997</v>
      </c>
      <c r="F154" s="166">
        <v>3919963.898</v>
      </c>
      <c r="G154" s="166">
        <v>5111606.97</v>
      </c>
      <c r="H154" s="166">
        <v>5520874.3099999996</v>
      </c>
      <c r="I154" s="166">
        <v>14948560.116</v>
      </c>
      <c r="J154" s="166">
        <v>17230770.079999998</v>
      </c>
      <c r="K154" s="166">
        <v>48414500.457000002</v>
      </c>
      <c r="L154" s="166">
        <v>46609593.575999998</v>
      </c>
      <c r="M154" s="166">
        <v>339130487.95200002</v>
      </c>
      <c r="N154" s="590">
        <f t="shared" si="7"/>
        <v>487311971.75400001</v>
      </c>
    </row>
    <row r="155" spans="1:14" s="204" customFormat="1" ht="14.15" customHeight="1">
      <c r="A155" s="196" t="s">
        <v>362</v>
      </c>
      <c r="B155" s="1109" t="s">
        <v>1204</v>
      </c>
      <c r="C155" s="166">
        <v>7626850.8379999995</v>
      </c>
      <c r="D155" s="166">
        <v>24141486.511</v>
      </c>
      <c r="E155" s="166">
        <v>41453948.663000003</v>
      </c>
      <c r="F155" s="166">
        <v>53337327.365999997</v>
      </c>
      <c r="G155" s="166">
        <v>64977584.452</v>
      </c>
      <c r="H155" s="166">
        <v>74992256.748999998</v>
      </c>
      <c r="I155" s="166">
        <v>168972068.66800001</v>
      </c>
      <c r="J155" s="166">
        <v>179317182.24000001</v>
      </c>
      <c r="K155" s="166">
        <v>373633345.542</v>
      </c>
      <c r="L155" s="166">
        <v>271027420.509</v>
      </c>
      <c r="M155" s="166">
        <v>540307105.84200001</v>
      </c>
      <c r="N155" s="590">
        <f t="shared" si="7"/>
        <v>1799786577.3800001</v>
      </c>
    </row>
    <row r="156" spans="1:14" s="204" customFormat="1" ht="14.15" customHeight="1">
      <c r="A156" s="196" t="s">
        <v>366</v>
      </c>
      <c r="B156" s="1109" t="s">
        <v>1205</v>
      </c>
      <c r="C156" s="166">
        <v>1401236.0290000001</v>
      </c>
      <c r="D156" s="166">
        <v>4291530.3550000004</v>
      </c>
      <c r="E156" s="166">
        <v>5726139.165</v>
      </c>
      <c r="F156" s="166">
        <v>7191160.0300000003</v>
      </c>
      <c r="G156" s="166">
        <v>8921943.1559999995</v>
      </c>
      <c r="H156" s="166">
        <v>10258211.35</v>
      </c>
      <c r="I156" s="166">
        <v>22301522.638999999</v>
      </c>
      <c r="J156" s="166">
        <v>19862264.82</v>
      </c>
      <c r="K156" s="166">
        <v>43595104.016000003</v>
      </c>
      <c r="L156" s="166">
        <v>36816017.873999998</v>
      </c>
      <c r="M156" s="166">
        <v>122156293.858</v>
      </c>
      <c r="N156" s="590">
        <f t="shared" si="7"/>
        <v>282521423.292</v>
      </c>
    </row>
    <row r="157" spans="1:14" s="204" customFormat="1" ht="14.15" customHeight="1">
      <c r="A157" s="196" t="s">
        <v>370</v>
      </c>
      <c r="B157" s="1109" t="s">
        <v>1206</v>
      </c>
      <c r="C157" s="166">
        <v>23379104.1888</v>
      </c>
      <c r="D157" s="166">
        <v>62965249.747400008</v>
      </c>
      <c r="E157" s="166">
        <v>102090158.763</v>
      </c>
      <c r="F157" s="166">
        <v>127910676.535</v>
      </c>
      <c r="G157" s="166">
        <v>146878259.558</v>
      </c>
      <c r="H157" s="166">
        <v>176511161.63100001</v>
      </c>
      <c r="I157" s="166">
        <v>397445543.56400001</v>
      </c>
      <c r="J157" s="166">
        <v>416869338.55900002</v>
      </c>
      <c r="K157" s="166">
        <v>824362055.15900004</v>
      </c>
      <c r="L157" s="166">
        <v>547621137.51400006</v>
      </c>
      <c r="M157" s="166">
        <v>4628436586.6040001</v>
      </c>
      <c r="N157" s="590">
        <f t="shared" ref="N157:N165" si="8">SUM(C157:M157)</f>
        <v>7454469271.8232002</v>
      </c>
    </row>
    <row r="158" spans="1:14" s="204" customFormat="1" ht="21" customHeight="1">
      <c r="A158" s="196" t="s">
        <v>25</v>
      </c>
      <c r="B158" s="1109" t="s">
        <v>1207</v>
      </c>
      <c r="C158" s="166">
        <v>9917819.3629999999</v>
      </c>
      <c r="D158" s="166">
        <v>28825903.910999998</v>
      </c>
      <c r="E158" s="166">
        <v>48197672.060999997</v>
      </c>
      <c r="F158" s="166">
        <v>58556474.931999996</v>
      </c>
      <c r="G158" s="166">
        <v>76638287.155000001</v>
      </c>
      <c r="H158" s="166">
        <v>93449226.597000003</v>
      </c>
      <c r="I158" s="166">
        <v>208016161.421</v>
      </c>
      <c r="J158" s="166">
        <v>186302376.36500001</v>
      </c>
      <c r="K158" s="166">
        <v>333248654.70300001</v>
      </c>
      <c r="L158" s="166">
        <v>212997896.73800001</v>
      </c>
      <c r="M158" s="166">
        <v>961445350.32299995</v>
      </c>
      <c r="N158" s="590">
        <f t="shared" si="8"/>
        <v>2217595823.5690002</v>
      </c>
    </row>
    <row r="159" spans="1:14" s="204" customFormat="1" ht="14.15" customHeight="1">
      <c r="A159" s="196" t="s">
        <v>378</v>
      </c>
      <c r="B159" s="1109" t="s">
        <v>1208</v>
      </c>
      <c r="C159" s="166">
        <v>2320648.34</v>
      </c>
      <c r="D159" s="166">
        <v>6286637.9110000003</v>
      </c>
      <c r="E159" s="166">
        <v>9570339.1849999987</v>
      </c>
      <c r="F159" s="166">
        <v>12543900.176999999</v>
      </c>
      <c r="G159" s="166">
        <v>17155462.337000001</v>
      </c>
      <c r="H159" s="166">
        <v>20748735.986000001</v>
      </c>
      <c r="I159" s="166">
        <v>47672113.513999999</v>
      </c>
      <c r="J159" s="166">
        <v>50563343</v>
      </c>
      <c r="K159" s="166">
        <v>103102836.204</v>
      </c>
      <c r="L159" s="166">
        <v>80558473.488000005</v>
      </c>
      <c r="M159" s="166">
        <v>386696819.63499999</v>
      </c>
      <c r="N159" s="590">
        <f t="shared" si="8"/>
        <v>737219309.77699995</v>
      </c>
    </row>
    <row r="160" spans="1:14" s="204" customFormat="1" ht="14.15" customHeight="1">
      <c r="A160" s="196" t="s">
        <v>382</v>
      </c>
      <c r="B160" s="1109" t="s">
        <v>1209</v>
      </c>
      <c r="C160" s="166">
        <v>2280010.2459999998</v>
      </c>
      <c r="D160" s="166">
        <v>6525110.0769999996</v>
      </c>
      <c r="E160" s="166">
        <v>10205516.559999999</v>
      </c>
      <c r="F160" s="166">
        <v>14033817.704</v>
      </c>
      <c r="G160" s="166">
        <v>17701490.094000001</v>
      </c>
      <c r="H160" s="166">
        <v>21561430.298</v>
      </c>
      <c r="I160" s="166">
        <v>50758083.298999995</v>
      </c>
      <c r="J160" s="166">
        <v>55600921</v>
      </c>
      <c r="K160" s="166">
        <v>110977533.84900001</v>
      </c>
      <c r="L160" s="166">
        <v>82314667.018000007</v>
      </c>
      <c r="M160" s="166">
        <v>250704895.15900001</v>
      </c>
      <c r="N160" s="590">
        <f t="shared" si="8"/>
        <v>622663475.30400002</v>
      </c>
    </row>
    <row r="161" spans="1:14" s="204" customFormat="1" ht="14.15" customHeight="1">
      <c r="A161" s="196" t="s">
        <v>386</v>
      </c>
      <c r="B161" s="1109" t="s">
        <v>1210</v>
      </c>
      <c r="C161" s="166">
        <v>7127959.1710000001</v>
      </c>
      <c r="D161" s="166">
        <v>21307486.965</v>
      </c>
      <c r="E161" s="166">
        <v>31573792.301000006</v>
      </c>
      <c r="F161" s="166">
        <v>42304560.439999998</v>
      </c>
      <c r="G161" s="166">
        <v>52947130.414999999</v>
      </c>
      <c r="H161" s="166">
        <v>60180358.362999998</v>
      </c>
      <c r="I161" s="166">
        <v>133367539.905</v>
      </c>
      <c r="J161" s="166">
        <v>146840919.20700002</v>
      </c>
      <c r="K161" s="166">
        <v>353152896.31900001</v>
      </c>
      <c r="L161" s="166">
        <v>326615645.042</v>
      </c>
      <c r="M161" s="166">
        <v>1505996207.3310001</v>
      </c>
      <c r="N161" s="590">
        <f t="shared" si="8"/>
        <v>2681414495.4590001</v>
      </c>
    </row>
    <row r="162" spans="1:14" s="204" customFormat="1" ht="21" customHeight="1">
      <c r="A162" s="196" t="s">
        <v>26</v>
      </c>
      <c r="B162" s="1109" t="s">
        <v>1211</v>
      </c>
      <c r="C162" s="166">
        <v>36495122.972000003</v>
      </c>
      <c r="D162" s="166">
        <v>99398131.488999993</v>
      </c>
      <c r="E162" s="166">
        <v>154212743.29300001</v>
      </c>
      <c r="F162" s="166">
        <v>204319890.20100001</v>
      </c>
      <c r="G162" s="166">
        <v>250405562.19100001</v>
      </c>
      <c r="H162" s="166">
        <v>295584839.23100001</v>
      </c>
      <c r="I162" s="166">
        <v>691834169.505</v>
      </c>
      <c r="J162" s="166">
        <v>771465251.55999994</v>
      </c>
      <c r="K162" s="166">
        <v>1807845465.6659999</v>
      </c>
      <c r="L162" s="166">
        <v>1559863294.8759999</v>
      </c>
      <c r="M162" s="166">
        <v>9247942385.5170002</v>
      </c>
      <c r="N162" s="590">
        <f>SUM(C162:M162)</f>
        <v>15119366856.500999</v>
      </c>
    </row>
    <row r="163" spans="1:14" s="204" customFormat="1" ht="14.15" customHeight="1">
      <c r="A163" s="196" t="s">
        <v>391</v>
      </c>
      <c r="B163" s="1109" t="s">
        <v>1212</v>
      </c>
      <c r="C163" s="166">
        <v>2102949.1320000002</v>
      </c>
      <c r="D163" s="166">
        <v>5380120.4620000003</v>
      </c>
      <c r="E163" s="166">
        <v>9868872.5199999996</v>
      </c>
      <c r="F163" s="166">
        <v>12102521.824999999</v>
      </c>
      <c r="G163" s="166">
        <v>15433438.551000001</v>
      </c>
      <c r="H163" s="166">
        <v>19008016.682999998</v>
      </c>
      <c r="I163" s="166">
        <v>47750618.004000001</v>
      </c>
      <c r="J163" s="166">
        <v>47945297.327</v>
      </c>
      <c r="K163" s="166">
        <v>96883565.856999993</v>
      </c>
      <c r="L163" s="166">
        <v>71917100.821999997</v>
      </c>
      <c r="M163" s="166">
        <v>182088118.998</v>
      </c>
      <c r="N163" s="590">
        <f t="shared" si="8"/>
        <v>510480620.18099999</v>
      </c>
    </row>
    <row r="164" spans="1:14" s="204" customFormat="1" ht="14.15" customHeight="1">
      <c r="A164" s="196" t="s">
        <v>394</v>
      </c>
      <c r="B164" s="1109" t="s">
        <v>1213</v>
      </c>
      <c r="C164" s="166">
        <v>1764622.0180000002</v>
      </c>
      <c r="D164" s="166">
        <v>3597295.852</v>
      </c>
      <c r="E164" s="166">
        <v>5598002.7059999993</v>
      </c>
      <c r="F164" s="166">
        <v>6819321.5810000002</v>
      </c>
      <c r="G164" s="166">
        <v>9350250.1730000004</v>
      </c>
      <c r="H164" s="166">
        <v>9811808.6989999991</v>
      </c>
      <c r="I164" s="166">
        <v>19658137.968000002</v>
      </c>
      <c r="J164" s="166">
        <v>20163393.767999999</v>
      </c>
      <c r="K164" s="166">
        <v>43570642.530000001</v>
      </c>
      <c r="L164" s="166">
        <v>39347591.388999999</v>
      </c>
      <c r="M164" s="166">
        <v>234324023.815</v>
      </c>
      <c r="N164" s="590">
        <f t="shared" si="8"/>
        <v>394005090.49900001</v>
      </c>
    </row>
    <row r="165" spans="1:14" s="204" customFormat="1" ht="14.15" customHeight="1">
      <c r="A165" s="197" t="s">
        <v>397</v>
      </c>
      <c r="B165" s="1088" t="s">
        <v>1214</v>
      </c>
      <c r="C165" s="169">
        <v>3173296.858</v>
      </c>
      <c r="D165" s="169">
        <v>7765849.7670000009</v>
      </c>
      <c r="E165" s="169">
        <v>12466471.384</v>
      </c>
      <c r="F165" s="169">
        <v>17152445.614999998</v>
      </c>
      <c r="G165" s="169">
        <v>18943181.068999998</v>
      </c>
      <c r="H165" s="169">
        <v>23194586.107999999</v>
      </c>
      <c r="I165" s="169">
        <v>54739994.247999996</v>
      </c>
      <c r="J165" s="169">
        <v>54117225.055</v>
      </c>
      <c r="K165" s="169">
        <v>111827774.50300001</v>
      </c>
      <c r="L165" s="169">
        <v>79084593.158999994</v>
      </c>
      <c r="M165" s="169">
        <v>390907209.90799999</v>
      </c>
      <c r="N165" s="590">
        <f t="shared" si="8"/>
        <v>773372627.67400002</v>
      </c>
    </row>
    <row r="166" spans="1:14" ht="9" customHeight="1">
      <c r="A166" s="197"/>
      <c r="B166" s="1088"/>
      <c r="C166" s="224"/>
      <c r="D166" s="224"/>
      <c r="E166" s="224"/>
      <c r="F166" s="224"/>
      <c r="G166" s="224"/>
      <c r="H166" s="224"/>
      <c r="I166" s="224"/>
      <c r="J166" s="219"/>
      <c r="K166" s="219"/>
      <c r="L166" s="219"/>
      <c r="M166" s="219"/>
      <c r="N166" s="249"/>
    </row>
    <row r="167" spans="1:14" s="216" customFormat="1" ht="18" customHeight="1">
      <c r="A167" s="214" t="s">
        <v>27</v>
      </c>
      <c r="B167" s="1110"/>
      <c r="C167" s="215">
        <f>SUM(C128:C165)</f>
        <v>232296008.55190003</v>
      </c>
      <c r="D167" s="215">
        <f t="shared" ref="D167:N167" si="9">SUM(D128:D165)</f>
        <v>640993245.72839999</v>
      </c>
      <c r="E167" s="215">
        <f t="shared" si="9"/>
        <v>1014676799.4000998</v>
      </c>
      <c r="F167" s="215">
        <f t="shared" si="9"/>
        <v>1302940782.1630001</v>
      </c>
      <c r="G167" s="215">
        <f t="shared" si="9"/>
        <v>1580038874.2145002</v>
      </c>
      <c r="H167" s="215">
        <f t="shared" si="9"/>
        <v>1853702572.5580001</v>
      </c>
      <c r="I167" s="215">
        <f t="shared" si="9"/>
        <v>4175381537.6530008</v>
      </c>
      <c r="J167" s="215">
        <f t="shared" si="9"/>
        <v>4341896791.4210005</v>
      </c>
      <c r="K167" s="215">
        <f t="shared" si="9"/>
        <v>9554935402.5230026</v>
      </c>
      <c r="L167" s="215">
        <f t="shared" si="9"/>
        <v>7736087023.681098</v>
      </c>
      <c r="M167" s="215">
        <f t="shared" si="9"/>
        <v>41350397682.359001</v>
      </c>
      <c r="N167" s="215">
        <f t="shared" si="9"/>
        <v>73783346720.252975</v>
      </c>
    </row>
    <row r="168" spans="1:14" s="216" customFormat="1" ht="18" customHeight="1">
      <c r="A168" s="214" t="s">
        <v>22</v>
      </c>
      <c r="B168" s="1110"/>
      <c r="C168" s="317">
        <f t="shared" ref="C168:N168" si="10">C118</f>
        <v>486612915.51659995</v>
      </c>
      <c r="D168" s="317">
        <f t="shared" si="10"/>
        <v>1274923889.3397999</v>
      </c>
      <c r="E168" s="317">
        <f t="shared" si="10"/>
        <v>1953277449.2520003</v>
      </c>
      <c r="F168" s="317">
        <f t="shared" si="10"/>
        <v>2489622737.5231004</v>
      </c>
      <c r="G168" s="317">
        <f t="shared" si="10"/>
        <v>3014329026.6818995</v>
      </c>
      <c r="H168" s="317">
        <f t="shared" si="10"/>
        <v>3551258568.5240002</v>
      </c>
      <c r="I168" s="317">
        <f t="shared" si="10"/>
        <v>8338422480.680501</v>
      </c>
      <c r="J168" s="317">
        <f t="shared" si="10"/>
        <v>8980091224.6590004</v>
      </c>
      <c r="K168" s="317">
        <f t="shared" si="10"/>
        <v>22448896273.034</v>
      </c>
      <c r="L168" s="317">
        <f t="shared" si="10"/>
        <v>21629825019.335403</v>
      </c>
      <c r="M168" s="317">
        <f t="shared" si="10"/>
        <v>167241698338.08902</v>
      </c>
      <c r="N168" s="321">
        <f t="shared" si="10"/>
        <v>241408957922.63525</v>
      </c>
    </row>
    <row r="169" spans="1:14" s="204" customFormat="1" ht="18" customHeight="1">
      <c r="A169" s="214" t="s">
        <v>607</v>
      </c>
      <c r="B169" s="1105" t="s">
        <v>1215</v>
      </c>
      <c r="C169" s="166">
        <v>53332282.177299991</v>
      </c>
      <c r="D169" s="166">
        <v>105827831.7475</v>
      </c>
      <c r="E169" s="166">
        <v>124674409.95</v>
      </c>
      <c r="F169" s="166">
        <v>133742955.6732</v>
      </c>
      <c r="G169" s="166">
        <v>144844127.85699999</v>
      </c>
      <c r="H169" s="166">
        <v>151237259.618</v>
      </c>
      <c r="I169" s="166">
        <v>309261337.80920005</v>
      </c>
      <c r="J169" s="166">
        <v>304220681.4411</v>
      </c>
      <c r="K169" s="166">
        <v>705143178.65499997</v>
      </c>
      <c r="L169" s="166">
        <v>574617177.39199996</v>
      </c>
      <c r="M169" s="166">
        <v>5819318257.9132996</v>
      </c>
      <c r="N169" s="590">
        <f t="shared" ref="N169" si="11">SUM(C169:M169)</f>
        <v>8426219500.2335997</v>
      </c>
    </row>
    <row r="170" spans="1:14" s="216" customFormat="1" ht="6" customHeight="1">
      <c r="A170" s="214"/>
      <c r="B170" s="1110"/>
      <c r="C170" s="317"/>
      <c r="D170" s="317"/>
      <c r="E170" s="317"/>
      <c r="F170" s="317"/>
      <c r="G170" s="317"/>
      <c r="H170" s="317"/>
      <c r="I170" s="317"/>
      <c r="J170" s="317"/>
      <c r="K170" s="317"/>
      <c r="L170" s="317"/>
      <c r="M170" s="317"/>
      <c r="N170" s="321"/>
    </row>
    <row r="171" spans="1:14" s="216" customFormat="1" ht="18" customHeight="1">
      <c r="A171" s="214" t="s">
        <v>28</v>
      </c>
      <c r="B171" s="1128"/>
      <c r="C171" s="980">
        <f>SUM(C167:C169)</f>
        <v>772241206.24580002</v>
      </c>
      <c r="D171" s="980">
        <f t="shared" ref="D171:L171" si="12">SUM(D167:D169)</f>
        <v>2021744966.8156998</v>
      </c>
      <c r="E171" s="980">
        <f t="shared" si="12"/>
        <v>3092628658.6020999</v>
      </c>
      <c r="F171" s="980">
        <f t="shared" si="12"/>
        <v>3926306475.3593006</v>
      </c>
      <c r="G171" s="980">
        <f t="shared" si="12"/>
        <v>4739212028.7533998</v>
      </c>
      <c r="H171" s="980">
        <f t="shared" si="12"/>
        <v>5556198400.7000008</v>
      </c>
      <c r="I171" s="980">
        <f t="shared" si="12"/>
        <v>12823065356.142702</v>
      </c>
      <c r="J171" s="980">
        <f t="shared" si="12"/>
        <v>13626208697.521101</v>
      </c>
      <c r="K171" s="980">
        <f t="shared" si="12"/>
        <v>32708974854.212002</v>
      </c>
      <c r="L171" s="980">
        <f t="shared" si="12"/>
        <v>29940529220.408501</v>
      </c>
      <c r="M171" s="980">
        <f>SUM(M167:M169)</f>
        <v>214411414278.36133</v>
      </c>
      <c r="N171" s="981">
        <f>SUM(N167:N169)</f>
        <v>323618524143.12183</v>
      </c>
    </row>
    <row r="172" spans="1:14" ht="9" customHeight="1"/>
    <row r="173" spans="1:14" s="1216" customFormat="1" ht="10" customHeight="1">
      <c r="A173" s="1214" t="s">
        <v>18</v>
      </c>
      <c r="B173" s="1127"/>
      <c r="N173" s="1219"/>
    </row>
    <row r="174" spans="1:14" s="1216" customFormat="1" ht="10" customHeight="1">
      <c r="A174" s="1214" t="s">
        <v>608</v>
      </c>
      <c r="B174" s="1127"/>
      <c r="N174" s="1217"/>
    </row>
    <row r="175" spans="1:14" s="772" customFormat="1" ht="12.75" customHeight="1">
      <c r="A175" s="862" t="s">
        <v>993</v>
      </c>
      <c r="B175" s="1112"/>
      <c r="C175" s="773"/>
      <c r="D175" s="773"/>
      <c r="E175" s="773"/>
      <c r="F175" s="774"/>
    </row>
    <row r="181" spans="1:2" s="1665" customFormat="1" ht="11.5">
      <c r="B181" s="1638"/>
    </row>
    <row r="182" spans="1:2" s="1665" customFormat="1" ht="10" customHeight="1">
      <c r="A182" s="1666"/>
      <c r="B182" s="1647"/>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hyperlinks>
    <hyperlink ref="O1" location="TOC!A1" display="Back"/>
  </hyperlinks>
  <pageMargins left="0.5" right="0.25" top="0.4" bottom="0.25" header="0.25" footer="0.25"/>
  <pageSetup scale="67" firstPageNumber="7" fitToHeight="4" orientation="landscape" r:id="rId2"/>
  <headerFooter scaleWithDoc="0">
    <oddHeader>&amp;R&amp;P</oddHeader>
  </headerFooter>
  <rowBreaks count="3" manualBreakCount="3">
    <brk id="42" max="12" man="1"/>
    <brk id="84" max="12" man="1"/>
    <brk id="1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38</vt:i4>
      </vt:variant>
    </vt:vector>
  </HeadingPairs>
  <TitlesOfParts>
    <vt:vector size="76" baseType="lpstr">
      <vt:lpstr>TitlePage</vt:lpstr>
      <vt:lpstr>TOC</vt:lpstr>
      <vt:lpstr>RevExp</vt:lpstr>
      <vt:lpstr>ByAcct</vt:lpstr>
      <vt:lpstr>1.1</vt:lpstr>
      <vt:lpstr>1.2</vt:lpstr>
      <vt:lpstr>1.3</vt:lpstr>
      <vt:lpstr>1.4</vt:lpstr>
      <vt:lpstr>1.5</vt:lpstr>
      <vt:lpstr>1.6</vt:lpstr>
      <vt:lpstr>1.6p</vt:lpstr>
      <vt:lpstr>1.7</vt:lpstr>
      <vt:lpstr>1.8-1.9</vt:lpstr>
      <vt:lpstr>1.10</vt:lpstr>
      <vt:lpstr>2.1</vt:lpstr>
      <vt:lpstr>2.2</vt:lpstr>
      <vt:lpstr>3.1</vt:lpstr>
      <vt:lpstr>4.1</vt:lpstr>
      <vt:lpstr>4.1_v1</vt:lpstr>
      <vt:lpstr>4.1k</vt:lpstr>
      <vt:lpstr>4.2</vt:lpstr>
      <vt:lpstr>4.3</vt:lpstr>
      <vt:lpstr>5.1</vt:lpstr>
      <vt:lpstr>5.2</vt:lpstr>
      <vt:lpstr>5.3-5.4</vt:lpstr>
      <vt:lpstr>5.5</vt:lpstr>
      <vt:lpstr>5.6</vt:lpstr>
      <vt:lpstr>5.7</vt:lpstr>
      <vt:lpstr>6.1</vt:lpstr>
      <vt:lpstr>6.1p</vt:lpstr>
      <vt:lpstr>6.2</vt:lpstr>
      <vt:lpstr>6.2p</vt:lpstr>
      <vt:lpstr>6.3</vt:lpstr>
      <vt:lpstr>6.3p</vt:lpstr>
      <vt:lpstr>6.4</vt:lpstr>
      <vt:lpstr>6.4p</vt:lpstr>
      <vt:lpstr>7.1</vt:lpstr>
      <vt:lpstr>Directory</vt:lpstr>
      <vt:lpstr>'3.1'!OLE_LINK1</vt:lpstr>
      <vt:lpstr>'1.1'!Print_Area</vt:lpstr>
      <vt:lpstr>'1.10'!Print_Area</vt:lpstr>
      <vt:lpstr>'1.2'!Print_Area</vt:lpstr>
      <vt:lpstr>'1.3'!Print_Area</vt:lpstr>
      <vt:lpstr>'1.4'!Print_Area</vt:lpstr>
      <vt:lpstr>'1.5'!Print_Area</vt:lpstr>
      <vt:lpstr>'1.6'!Print_Area</vt:lpstr>
      <vt:lpstr>'1.6p'!Print_Area</vt:lpstr>
      <vt:lpstr>'1.7'!Print_Area</vt:lpstr>
      <vt:lpstr>'1.8-1.9'!Print_Area</vt:lpstr>
      <vt:lpstr>'2.1'!Print_Area</vt:lpstr>
      <vt:lpstr>'2.2'!Print_Area</vt:lpstr>
      <vt:lpstr>'3.1'!Print_Area</vt:lpstr>
      <vt:lpstr>'4.1'!Print_Area</vt:lpstr>
      <vt:lpstr>'4.1_v1'!Print_Area</vt:lpstr>
      <vt:lpstr>'4.1k'!Print_Area</vt:lpstr>
      <vt:lpstr>'4.2'!Print_Area</vt:lpstr>
      <vt:lpstr>'4.3'!Print_Area</vt:lpstr>
      <vt:lpstr>'5.1'!Print_Area</vt:lpstr>
      <vt:lpstr>'5.2'!Print_Area</vt:lpstr>
      <vt:lpstr>'5.3-5.4'!Print_Area</vt:lpstr>
      <vt:lpstr>'5.5'!Print_Area</vt:lpstr>
      <vt:lpstr>'5.6'!Print_Area</vt:lpstr>
      <vt:lpstr>'5.7'!Print_Area</vt:lpstr>
      <vt:lpstr>'6.1'!Print_Area</vt:lpstr>
      <vt:lpstr>'6.1p'!Print_Area</vt:lpstr>
      <vt:lpstr>'6.2'!Print_Area</vt:lpstr>
      <vt:lpstr>'6.2p'!Print_Area</vt:lpstr>
      <vt:lpstr>'6.3'!Print_Area</vt:lpstr>
      <vt:lpstr>'6.4'!Print_Area</vt:lpstr>
      <vt:lpstr>'7.1'!Print_Area</vt:lpstr>
      <vt:lpstr>ByAcct!Print_Area</vt:lpstr>
      <vt:lpstr>Directory!Print_Area</vt:lpstr>
      <vt:lpstr>RevExp!Print_Area</vt:lpstr>
      <vt:lpstr>TitlePage!Print_Area</vt:lpstr>
      <vt:lpstr>TOC!Print_Area</vt:lpstr>
      <vt:lpstr>'3.1'!Print_Titles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Badillo, Frank (TAX)</cp:lastModifiedBy>
  <cp:lastPrinted>2023-03-16T18:34:07Z</cp:lastPrinted>
  <dcterms:created xsi:type="dcterms:W3CDTF">2008-10-20T18:07:18Z</dcterms:created>
  <dcterms:modified xsi:type="dcterms:W3CDTF">2023-03-16T18:34:23Z</dcterms:modified>
</cp:coreProperties>
</file>